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15" windowHeight="1561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_\AUTOEXEC">#REF!</definedName>
    <definedName name="_\k" localSheetId="4">#REF!</definedName>
    <definedName name="__\k">#REF!</definedName>
    <definedName name="_\m" localSheetId="4">#REF!</definedName>
    <definedName name="__\m">#REF!</definedName>
    <definedName name="_\s" localSheetId="4">#REF!</definedName>
    <definedName name="__\s">#REF!</definedName>
    <definedName name="_\z" localSheetId="4">#REF!</definedName>
    <definedName name="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Itog" localSheetId="4">#REF!</definedName>
    <definedName name="Itog">#REF!</definedName>
    <definedName name="_xlnm.Print_Area" localSheetId="4">'ССР Б'!$A$1:$H$112</definedName>
    <definedName name="_xlnm.Print_Area" localSheetId="1">'ССР Т'!$A$1:$H$112</definedName>
    <definedName name="_xlnm.Print_Titles" localSheetId="4">'ССР Б'!$18:$18</definedName>
    <definedName name="_xlnm.Print_Titles" localSheetId="1">'ССР Т'!$18:$18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ПЗ!$A$1:$T$75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Area" localSheetId="2">'ССР Т ВЫП'!$A$1:$H$112</definedName>
    <definedName name="_xlnm.Print_Titles" localSheetId="2">'ССР Т ВЫП'!$18:$18</definedName>
    <definedName name="_xlnm.Print_Area" localSheetId="3">'ССР Т ОСТ'!$A$1:$H$112</definedName>
    <definedName name="_xlnm.Print_Titles" localSheetId="3">'ССР Т ОСТ'!$18:$18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<sst xmlns="http://schemas.openxmlformats.org/spreadsheetml/2006/main" count="521" uniqueCount="158">
  <si>
    <t>Пояснительная записка к сметной документации:</t>
  </si>
  <si>
    <t>Сметная документация выполнена в соответствии с Методикой определения сметной стоимостью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культуры) народов РФ на территории РФ,  утвержденной приказом Министерства строительства и жилищно-коммунального хозяйства РФ от 04.08.2020 
№ 421/пр</t>
  </si>
  <si>
    <t>Адрес объекта строительства: Московская область.</t>
  </si>
  <si>
    <t>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Локальные сметы составлены по сметным нормативам ТСНБ-2001 Московской области редакция 2014 г.: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
В локальных сметах накладные расходы и сметная прибыль учтены по видам строительства в процентах от фонда оплаты труда рабочих строителей и механизаторов (Приказы Минстроя РФ от 21.12.2020 № 812пр, от 02.09.2021 № 636пр, от 11.12.2020 
№ 774пр).
К ценам материалов и оборудования применены следующие коэффициенты:                                                                                                                      К=1,02 согласно Мет. 421/пр 04.08.20 п. 92 пп. а);
К=1,012 согласно Мет. 421/пр 04.08.20 п. 92 пп. в);
К=1,03 согласно Мет. 421/пр 04.08.20 п. 91.
Стоимость строительства определена базисно-индексным методом в ценах на 01.01.2000 с пересчётом в текущий уровень цен с использованием расчетных индексов пересчета стоимости строительных, специальных строительных, ремонтно-строительных, монтажных и пусконаладочных работ для Московской области к базе ТСНБ-2001 МО в редакции 2014 года, разработанных ГАУ МО «Мособлэкспертиза».
Стоимость материалов, изделий и оборудования в локальные сметы включена по прайс-листам с пересчетом в базисный уровень цен по письмам Минстроя РФ: от 15.12.2021 № 55265-ИФ/09, от 22.11.2021 № 50719-ИФ/09. Пересчет стоимости изыскательских проектных работ в базовый уровень цен по письму Минстроя РФ от 25.10.2021 № 46012-ИФ/09.
В сметах применены поправочные коэффициенты:
Демонтаж: Оборудование, не пригодное для дальнейшего использования, (предназначено в лом) без разборки и резки
Демонтаж: Оборудование, пригодное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хранения.
Средства по главам 8-12 определяются на основании действующих нормативов и положений.
Резерв средств содержание службы заказчика-застройщика 5,68%, приказ от 22.01.2018 № 50 ПАО «МОЭСК». Резерв средств заказчика на осуществление строительного контроля 2,14%,  постановление Правительства РФ от 21.06.2010 № 468.
Резерв средств на непредвиденные работы и затраты определен в размере 3% от глав 1-12 согласно М-ке 421/пр 04.08.2020 п.179 пп. б).</t>
  </si>
  <si>
    <t>"УТВЕРЖДАЮ"</t>
  </si>
  <si>
    <t>Заместитель директора по капитальному строительству - начальник УКС</t>
  </si>
  <si>
    <t>_______________________ 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</si>
  <si>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</si>
  <si>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</si>
  <si>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</si>
  <si>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ЛЭП-0,4 кВ от проект. ВЛИ-0,38 (по дог-ру ТП №Ю8-25-302-275052(472200)), ПС №529 «Сидорово», в т.ч. ПИР,МО, г.о. Ступино, д. Петрищево, ул. Тенистая, зем. уч. 56 Ю8-25-302-284094(603588)</t>
  </si>
  <si>
    <t>(наименование стройки, объекта)</t>
  </si>
  <si>
    <t>Договор № 04-Ф-Ст от 12.01.2026</t>
  </si>
  <si>
    <t>Составлен в ценах по состоянию на</t>
  </si>
  <si>
    <t>2026.03</t>
  </si>
  <si>
    <t>I-355461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</si>
  <si>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</si>
  <si>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</si>
  <si>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</si>
  <si>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</si>
  <si>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</si>
  <si>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</si>
  <si>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</si>
  <si>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</si>
  <si>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</si>
  <si>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</si>
  <si>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</si>
  <si>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</si>
  <si>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</si>
  <si>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Строительство ВЛИ</t>
  </si>
  <si>
    <t>02-01-02</t>
  </si>
  <si>
    <t>Установка РЩ</t>
  </si>
  <si>
    <t>02-01-03</t>
  </si>
  <si>
    <t>Строительство ТП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</si>
  <si>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</si>
  <si>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</si>
  <si>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</si>
  <si>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</si>
  <si>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</si>
  <si>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</si>
  <si>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</si>
  <si>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</si>
  <si>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</si>
  <si>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</si>
  <si>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</si>
  <si>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</si>
  <si>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</si>
  <si>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</si>
  <si>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</si>
  <si>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</si>
  <si>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</si>
  <si>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</si>
  <si>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</si>
  <si>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</si>
  <si>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</si>
  <si>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</si>
  <si>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</si>
  <si>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</si>
  <si>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</si>
  <si>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</si>
  <si>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</si>
  <si>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</si>
  <si>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</si>
  <si>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</si>
  <si>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</si>
  <si>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ВЛИ</t>
  </si>
  <si>
    <t>обор</t>
  </si>
  <si>
    <t>09-01-02</t>
  </si>
  <si>
    <t>ПНР РЩ</t>
  </si>
  <si>
    <t>09-01-03</t>
  </si>
  <si>
    <t>ПНР ТП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</si>
  <si>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</si>
  <si>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</si>
  <si>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</si>
  <si>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</si>
  <si>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</si>
  <si>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</si>
  <si>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</si>
  <si>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</si>
  <si>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</si>
  <si>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</si>
  <si>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</si>
  <si>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</si>
  <si>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</si>
  <si>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</si>
  <si>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</si>
  <si>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</si>
  <si>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</si>
  <si>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Смета 12-02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</si>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</sst>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0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 applyNumberFormat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3" fillId="0" borderId="4">
      <alignment horizont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3" fillId="0" borderId="4">
      <alignment horizontal="center"/>
    </xf>
    <xf numFmtId="0" fontId="53" fillId="0" borderId="0">
      <alignment vertical="top"/>
    </xf>
    <xf numFmtId="0" fontId="53" fillId="0" borderId="0">
      <alignment horizontal="right" vertical="top" wrapText="1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4">
      <alignment horizontal="center" wrapText="1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 applyNumberFormat="0"/>
    <xf numFmtId="0" fontId="54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4" fillId="0" borderId="0"/>
    <xf numFmtId="0" fontId="5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/>
    <xf numFmtId="0" fontId="55" fillId="0" borderId="0"/>
    <xf numFmtId="0" fontId="5" fillId="0" borderId="0"/>
    <xf numFmtId="0" fontId="57" fillId="0" borderId="0" applyNumberFormat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4">
      <alignment horizontal="center" wrapText="1"/>
    </xf>
    <xf numFmtId="9" fontId="54" fillId="0" borderId="0" applyFont="0" applyFill="0" applyBorder="0" applyAlignment="0" applyProtection="0"/>
    <xf numFmtId="0" fontId="53" fillId="0" borderId="4">
      <alignment horizontal="center"/>
    </xf>
    <xf numFmtId="0" fontId="53" fillId="0" borderId="4">
      <alignment horizontal="center" wrapText="1"/>
    </xf>
    <xf numFmtId="0" fontId="54" fillId="0" borderId="0"/>
    <xf numFmtId="0" fontId="54" fillId="0" borderId="0"/>
    <xf numFmtId="0" fontId="54" fillId="0" borderId="0"/>
    <xf numFmtId="0" fontId="57" fillId="0" borderId="4"/>
    <xf numFmtId="0" fontId="53" fillId="0" borderId="0">
      <alignment horizontal="center"/>
    </xf>
    <xf numFmtId="180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3" fillId="0" borderId="0">
      <alignment horizontal="left" vertical="top"/>
    </xf>
    <xf numFmtId="0" fontId="53" fillId="0" borderId="0"/>
  </cellStyleXfs>
  <cellXfs count="201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32" applyFont="1" applyFill="1" applyBorder="1"/>
    <xf numFmtId="0" fontId="2" fillId="0" borderId="4" xfId="98" applyFont="1" applyBorder="1" applyAlignment="1">
      <alignment wrapText="1"/>
    </xf>
    <xf numFmtId="182" fontId="0" fillId="2" borderId="6" xfId="232" applyFont="1" applyFill="1" applyBorder="1"/>
    <xf numFmtId="0" fontId="2" fillId="0" borderId="4" xfId="98" applyBorder="1" applyAlignment="1">
      <alignment wrapText="1"/>
    </xf>
    <xf numFmtId="0" fontId="2" fillId="0" borderId="5" xfId="98" applyFont="1" applyBorder="1" applyAlignment="1">
      <alignment wrapText="1"/>
    </xf>
    <xf numFmtId="182" fontId="5" fillId="2" borderId="6" xfId="232" applyFont="1" applyFill="1" applyBorder="1"/>
    <xf numFmtId="182" fontId="5" fillId="2" borderId="7" xfId="232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32" applyFont="1" applyFill="1" applyBorder="1"/>
    <xf numFmtId="182" fontId="0" fillId="2" borderId="9" xfId="232" applyFont="1" applyFill="1" applyBorder="1"/>
    <xf numFmtId="182" fontId="0" fillId="4" borderId="4" xfId="232" applyFont="1" applyFill="1" applyBorder="1"/>
    <xf numFmtId="182" fontId="0" fillId="2" borderId="10" xfId="232" applyFont="1" applyFill="1" applyBorder="1"/>
    <xf numFmtId="182" fontId="0" fillId="2" borderId="11" xfId="232" applyFont="1" applyFill="1" applyBorder="1"/>
    <xf numFmtId="182" fontId="0" fillId="2" borderId="5" xfId="232" applyFont="1" applyFill="1" applyBorder="1"/>
    <xf numFmtId="182" fontId="0" fillId="2" borderId="12" xfId="232" applyFont="1" applyFill="1" applyBorder="1"/>
    <xf numFmtId="182" fontId="0" fillId="4" borderId="6" xfId="232" applyFont="1" applyFill="1" applyBorder="1"/>
    <xf numFmtId="182" fontId="5" fillId="4" borderId="6" xfId="232" applyFont="1" applyFill="1" applyBorder="1"/>
    <xf numFmtId="182" fontId="5" fillId="4" borderId="4" xfId="232" applyFont="1" applyFill="1" applyBorder="1"/>
    <xf numFmtId="182" fontId="5" fillId="4" borderId="7" xfId="232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32" applyFont="1" applyFill="1" applyBorder="1"/>
    <xf numFmtId="182" fontId="0" fillId="4" borderId="13" xfId="232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32" applyFont="1" applyFill="1" applyBorder="1"/>
    <xf numFmtId="182" fontId="0" fillId="4" borderId="15" xfId="232" applyFont="1" applyFill="1" applyBorder="1"/>
    <xf numFmtId="182" fontId="0" fillId="4" borderId="12" xfId="232" applyFont="1" applyFill="1" applyBorder="1"/>
    <xf numFmtId="182" fontId="7" fillId="4" borderId="7" xfId="232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33" applyFont="1" applyFill="1" applyBorder="1"/>
    <xf numFmtId="184" fontId="2" fillId="0" borderId="0" xfId="99" applyNumberFormat="1" applyAlignment="1">
      <alignment horizontal="center"/>
    </xf>
    <xf numFmtId="0" fontId="10" fillId="0" borderId="0" xfId="176" applyFont="1"/>
    <xf numFmtId="0" fontId="1" fillId="0" borderId="0" xfId="176" applyFont="1"/>
    <xf numFmtId="0" fontId="1" fillId="0" borderId="0" xfId="176" applyFont="1" applyAlignment="1">
      <alignment horizontal="center" vertical="center"/>
    </xf>
    <xf numFmtId="0" fontId="2" fillId="0" borderId="0" xfId="176" applyAlignment="1">
      <alignment horizontal="center" vertical="center"/>
    </xf>
    <xf numFmtId="0" fontId="11" fillId="0" borderId="0" xfId="176" applyFont="1" applyAlignment="1">
      <alignment horizontal="center" vertical="center"/>
    </xf>
    <xf numFmtId="0" fontId="2" fillId="0" borderId="0" xfId="176" applyAlignment="1">
      <alignment horizontal="center"/>
    </xf>
    <xf numFmtId="0" fontId="2" fillId="0" borderId="0" xfId="176"/>
    <xf numFmtId="0" fontId="12" fillId="0" borderId="0" xfId="176" applyFont="1"/>
    <xf numFmtId="0" fontId="13" fillId="0" borderId="0" xfId="176" applyFont="1" applyAlignment="1">
      <alignment horizontal="left"/>
    </xf>
    <xf numFmtId="0" fontId="13" fillId="0" borderId="0" xfId="176" applyFont="1"/>
    <xf numFmtId="0" fontId="14" fillId="0" borderId="0" xfId="176" applyFont="1" applyAlignment="1">
      <alignment horizontal="left"/>
    </xf>
    <xf numFmtId="0" fontId="14" fillId="0" borderId="0" xfId="176" applyFont="1"/>
    <xf numFmtId="0" fontId="14" fillId="0" borderId="0" xfId="176" applyFont="1" applyAlignment="1">
      <alignment horizontal="left" vertical="top" wrapText="1"/>
    </xf>
    <xf numFmtId="0" fontId="14" fillId="0" borderId="0" xfId="176" applyFont="1" applyAlignment="1">
      <alignment horizontal="left" vertical="top"/>
    </xf>
    <xf numFmtId="0" fontId="14" fillId="0" borderId="0" xfId="176" applyFont="1" applyAlignment="1">
      <alignment vertical="top" wrapText="1"/>
    </xf>
    <xf numFmtId="0" fontId="14" fillId="0" borderId="0" xfId="176" applyFont="1" applyAlignment="1">
      <alignment horizontal="left" wrapText="1"/>
    </xf>
    <xf numFmtId="0" fontId="14" fillId="0" borderId="0" xfId="176" applyFont="1" applyAlignment="1">
      <alignment wrapText="1"/>
    </xf>
    <xf numFmtId="0" fontId="14" fillId="0" borderId="0" xfId="176" applyFont="1" applyAlignment="1">
      <alignment horizontal="center"/>
    </xf>
    <xf numFmtId="0" fontId="15" fillId="0" borderId="0" xfId="176" applyFont="1" applyAlignment="1">
      <alignment horizontal="center"/>
    </xf>
    <xf numFmtId="0" fontId="14" fillId="0" borderId="1" xfId="176" applyFont="1" applyBorder="1" applyAlignment="1">
      <alignment horizontal="center" wrapText="1"/>
    </xf>
    <xf numFmtId="0" fontId="14" fillId="0" borderId="0" xfId="176" applyFont="1" applyAlignment="1">
      <alignment horizontal="center" vertical="top" wrapText="1"/>
    </xf>
    <xf numFmtId="0" fontId="16" fillId="0" borderId="0" xfId="176" applyFont="1" applyAlignment="1">
      <alignment horizontal="left" vertical="top"/>
    </xf>
    <xf numFmtId="0" fontId="17" fillId="0" borderId="0" xfId="176" applyFont="1"/>
    <xf numFmtId="0" fontId="17" fillId="0" borderId="0" xfId="176" applyFont="1" applyAlignment="1">
      <alignment horizontal="left" vertical="center"/>
    </xf>
    <xf numFmtId="0" fontId="17" fillId="0" borderId="0" xfId="176" applyFont="1" applyAlignment="1">
      <alignment horizontal="center"/>
    </xf>
    <xf numFmtId="0" fontId="17" fillId="0" borderId="0" xfId="176" applyFont="1" applyAlignment="1">
      <alignment horizontal="left"/>
    </xf>
    <xf numFmtId="0" fontId="17" fillId="0" borderId="4" xfId="176" applyFont="1" applyBorder="1" applyAlignment="1">
      <alignment horizontal="center" vertical="center" wrapText="1"/>
    </xf>
    <xf numFmtId="0" fontId="17" fillId="0" borderId="4" xfId="176" applyFont="1" applyBorder="1" applyAlignment="1">
      <alignment horizontal="center" vertical="center"/>
    </xf>
    <xf numFmtId="0" fontId="18" fillId="0" borderId="5" xfId="176" applyFont="1" applyBorder="1" applyAlignment="1">
      <alignment vertical="center" wrapText="1"/>
    </xf>
    <xf numFmtId="0" fontId="18" fillId="0" borderId="16" xfId="176" applyFont="1" applyBorder="1" applyAlignment="1">
      <alignment horizontal="left" vertical="center" wrapText="1"/>
    </xf>
    <xf numFmtId="0" fontId="12" fillId="0" borderId="2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/>
    </xf>
    <xf numFmtId="0" fontId="12" fillId="0" borderId="4" xfId="176" applyFont="1" applyBorder="1" applyAlignment="1">
      <alignment horizontal="justify" vertical="center"/>
    </xf>
    <xf numFmtId="181" fontId="17" fillId="0" borderId="4" xfId="231" applyFont="1" applyFill="1" applyBorder="1" applyAlignment="1">
      <alignment horizontal="center" vertical="center"/>
    </xf>
    <xf numFmtId="181" fontId="19" fillId="0" borderId="4" xfId="231" applyFont="1" applyFill="1" applyBorder="1" applyAlignment="1">
      <alignment horizontal="center" vertical="center"/>
    </xf>
    <xf numFmtId="0" fontId="20" fillId="0" borderId="5" xfId="176" applyFont="1" applyBorder="1" applyAlignment="1">
      <alignment horizontal="right" vertical="center"/>
    </xf>
    <xf numFmtId="0" fontId="20" fillId="0" borderId="16" xfId="176" applyFont="1" applyBorder="1" applyAlignment="1">
      <alignment horizontal="right" vertical="center"/>
    </xf>
    <xf numFmtId="0" fontId="20" fillId="0" borderId="17" xfId="176" applyFont="1" applyBorder="1" applyAlignment="1">
      <alignment horizontal="right" vertical="center"/>
    </xf>
    <xf numFmtId="181" fontId="20" fillId="0" borderId="4" xfId="231" applyFont="1" applyFill="1" applyBorder="1" applyAlignment="1">
      <alignment horizontal="center" vertical="center"/>
    </xf>
    <xf numFmtId="49" fontId="12" fillId="0" borderId="4" xfId="176" applyNumberFormat="1" applyFont="1" applyBorder="1" applyAlignment="1">
      <alignment horizontal="center" vertical="center"/>
    </xf>
    <xf numFmtId="0" fontId="12" fillId="0" borderId="4" xfId="176" applyFont="1" applyBorder="1" applyAlignment="1">
      <alignment horizontal="left" vertical="center"/>
    </xf>
    <xf numFmtId="186" fontId="17" fillId="10" borderId="4" xfId="231" applyNumberFormat="1" applyFont="1" applyFill="1" applyBorder="1" applyAlignment="1">
      <alignment horizontal="center" vertical="center"/>
    </xf>
    <xf numFmtId="186" fontId="17" fillId="10" borderId="17" xfId="231" applyNumberFormat="1" applyFont="1" applyFill="1" applyBorder="1" applyAlignment="1">
      <alignment horizontal="center" vertical="center"/>
    </xf>
    <xf numFmtId="186" fontId="17" fillId="0" borderId="17" xfId="231" applyNumberFormat="1" applyFont="1" applyFill="1" applyBorder="1" applyAlignment="1">
      <alignment horizontal="center" vertical="center"/>
    </xf>
    <xf numFmtId="186" fontId="19" fillId="0" borderId="4" xfId="231" applyNumberFormat="1" applyFont="1" applyFill="1" applyBorder="1" applyAlignment="1">
      <alignment horizontal="center" vertical="center"/>
    </xf>
    <xf numFmtId="186" fontId="20" fillId="0" borderId="4" xfId="231" applyNumberFormat="1" applyFont="1" applyFill="1" applyBorder="1" applyAlignment="1">
      <alignment horizontal="center" vertical="center"/>
    </xf>
    <xf numFmtId="0" fontId="18" fillId="0" borderId="5" xfId="176" applyFont="1" applyBorder="1" applyAlignment="1">
      <alignment horizontal="right" vertical="center"/>
    </xf>
    <xf numFmtId="0" fontId="18" fillId="0" borderId="16" xfId="176" applyFont="1" applyBorder="1" applyAlignment="1">
      <alignment horizontal="right" vertical="center"/>
    </xf>
    <xf numFmtId="0" fontId="18" fillId="0" borderId="17" xfId="176" applyFont="1" applyBorder="1" applyAlignment="1">
      <alignment horizontal="right" vertical="center"/>
    </xf>
    <xf numFmtId="186" fontId="18" fillId="0" borderId="4" xfId="231" applyNumberFormat="1" applyFont="1" applyFill="1" applyBorder="1" applyAlignment="1">
      <alignment horizontal="center" vertical="center"/>
    </xf>
    <xf numFmtId="0" fontId="18" fillId="0" borderId="16" xfId="176" applyFont="1" applyBorder="1" applyAlignment="1">
      <alignment horizontal="left" vertical="center"/>
    </xf>
    <xf numFmtId="0" fontId="18" fillId="0" borderId="17" xfId="176" applyFont="1" applyBorder="1" applyAlignment="1">
      <alignment horizontal="left" vertical="center"/>
    </xf>
    <xf numFmtId="181" fontId="18" fillId="0" borderId="2" xfId="231" applyFont="1" applyFill="1" applyBorder="1" applyAlignment="1">
      <alignment horizontal="center" vertical="center"/>
    </xf>
    <xf numFmtId="181" fontId="18" fillId="0" borderId="4" xfId="231" applyFont="1" applyFill="1" applyBorder="1" applyAlignment="1">
      <alignment horizontal="center" vertical="center"/>
    </xf>
    <xf numFmtId="0" fontId="18" fillId="0" borderId="5" xfId="176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31" applyNumberFormat="1" applyFont="1" applyFill="1" applyBorder="1" applyAlignment="1">
      <alignment horizontal="center" vertical="center"/>
    </xf>
    <xf numFmtId="186" fontId="19" fillId="11" borderId="4" xfId="231" applyNumberFormat="1" applyFont="1" applyFill="1" applyBorder="1" applyAlignment="1">
      <alignment horizontal="center" vertical="center"/>
    </xf>
    <xf numFmtId="0" fontId="12" fillId="0" borderId="5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 wrapText="1"/>
    </xf>
    <xf numFmtId="0" fontId="12" fillId="0" borderId="17" xfId="176" applyFont="1" applyBorder="1" applyAlignment="1">
      <alignment horizontal="left" vertical="center" wrapText="1"/>
    </xf>
    <xf numFmtId="186" fontId="17" fillId="0" borderId="4" xfId="231" applyNumberFormat="1" applyFont="1" applyFill="1" applyBorder="1" applyAlignment="1">
      <alignment horizontal="center" vertical="center"/>
    </xf>
    <xf numFmtId="0" fontId="1" fillId="0" borderId="0" xfId="176" applyFont="1" applyAlignment="1">
      <alignment vertical="center" wrapText="1"/>
    </xf>
    <xf numFmtId="0" fontId="21" fillId="0" borderId="0" xfId="176" applyFont="1" applyAlignment="1">
      <alignment horizontal="center" vertical="center"/>
    </xf>
    <xf numFmtId="187" fontId="21" fillId="0" borderId="0" xfId="176" applyNumberFormat="1" applyFont="1" applyAlignment="1">
      <alignment horizontal="center" vertical="center"/>
    </xf>
    <xf numFmtId="186" fontId="2" fillId="0" borderId="0" xfId="176" applyNumberFormat="1" applyAlignment="1">
      <alignment horizontal="center" vertical="center"/>
    </xf>
    <xf numFmtId="0" fontId="2" fillId="0" borderId="0" xfId="176" applyFont="1" applyAlignment="1">
      <alignment horizontal="center" vertical="center"/>
    </xf>
    <xf numFmtId="188" fontId="2" fillId="0" borderId="0" xfId="176" applyNumberFormat="1" applyAlignment="1">
      <alignment horizontal="center" vertical="center"/>
    </xf>
    <xf numFmtId="189" fontId="11" fillId="0" borderId="0" xfId="176" applyNumberFormat="1" applyFont="1" applyAlignment="1">
      <alignment horizontal="center" vertical="center"/>
    </xf>
    <xf numFmtId="0" fontId="22" fillId="0" borderId="0" xfId="176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horizontal="left" vertical="center" wrapText="1"/>
    </xf>
    <xf numFmtId="0" fontId="12" fillId="10" borderId="4" xfId="176" applyFont="1" applyFill="1" applyBorder="1" applyAlignment="1">
      <alignment horizontal="center" vertical="center" wrapText="1"/>
    </xf>
    <xf numFmtId="0" fontId="19" fillId="13" borderId="4" xfId="130" applyFont="1" applyFill="1" applyBorder="1" applyAlignment="1">
      <alignment vertical="center" wrapText="1"/>
    </xf>
    <xf numFmtId="0" fontId="19" fillId="13" borderId="4" xfId="130" applyFont="1" applyFill="1" applyBorder="1" applyAlignment="1">
      <alignment horizontal="left" vertical="center" wrapText="1"/>
    </xf>
    <xf numFmtId="0" fontId="12" fillId="0" borderId="17" xfId="176" applyFont="1" applyBorder="1" applyAlignment="1">
      <alignment horizontal="left" vertical="center"/>
    </xf>
    <xf numFmtId="0" fontId="17" fillId="0" borderId="4" xfId="176" applyFont="1" applyBorder="1" applyAlignment="1">
      <alignment vertical="center"/>
    </xf>
    <xf numFmtId="0" fontId="12" fillId="0" borderId="4" xfId="176" applyFont="1" applyBorder="1" applyAlignment="1">
      <alignment vertical="center"/>
    </xf>
    <xf numFmtId="186" fontId="12" fillId="0" borderId="4" xfId="176" applyNumberFormat="1" applyFont="1" applyBorder="1" applyAlignment="1">
      <alignment vertical="center"/>
    </xf>
    <xf numFmtId="0" fontId="17" fillId="10" borderId="4" xfId="176" applyFont="1" applyFill="1" applyBorder="1" applyAlignment="1">
      <alignment vertical="center"/>
    </xf>
    <xf numFmtId="186" fontId="18" fillId="10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vertical="center" wrapText="1"/>
    </xf>
    <xf numFmtId="0" fontId="17" fillId="0" borderId="4" xfId="176" applyFont="1" applyBorder="1" applyAlignment="1">
      <alignment vertical="center" wrapText="1"/>
    </xf>
    <xf numFmtId="0" fontId="17" fillId="0" borderId="0" xfId="176" applyFont="1" applyAlignment="1">
      <alignment vertical="center"/>
    </xf>
    <xf numFmtId="0" fontId="17" fillId="0" borderId="0" xfId="176" applyFont="1" applyAlignment="1">
      <alignment vertical="center" wrapText="1"/>
    </xf>
    <xf numFmtId="186" fontId="18" fillId="0" borderId="0" xfId="231" applyNumberFormat="1" applyFont="1" applyFill="1" applyBorder="1" applyAlignment="1">
      <alignment horizontal="center" vertical="center"/>
    </xf>
    <xf numFmtId="186" fontId="17" fillId="0" borderId="0" xfId="231" applyNumberFormat="1" applyFont="1" applyFill="1" applyBorder="1" applyAlignment="1">
      <alignment horizontal="center" vertical="center"/>
    </xf>
    <xf numFmtId="0" fontId="12" fillId="0" borderId="0" xfId="176" applyFont="1" applyAlignment="1">
      <alignment horizontal="center" vertical="center"/>
    </xf>
    <xf numFmtId="0" fontId="12" fillId="0" borderId="0" xfId="176" applyFont="1" applyAlignment="1">
      <alignment horizontal="center"/>
    </xf>
    <xf numFmtId="0" fontId="21" fillId="0" borderId="0" xfId="176" applyFont="1" applyAlignment="1">
      <alignment horizontal="center"/>
    </xf>
    <xf numFmtId="0" fontId="21" fillId="0" borderId="0" xfId="176" applyFont="1" applyAlignment="1"/>
    <xf numFmtId="0" fontId="21" fillId="0" borderId="1" xfId="176" applyFont="1" applyBorder="1" applyAlignment="1">
      <alignment horizontal="center"/>
    </xf>
    <xf numFmtId="0" fontId="21" fillId="0" borderId="0" xfId="176" applyFont="1" applyAlignment="1">
      <alignment horizontal="left"/>
    </xf>
    <xf numFmtId="189" fontId="12" fillId="0" borderId="0" xfId="176" applyNumberFormat="1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190" fontId="17" fillId="0" borderId="0" xfId="176" applyNumberFormat="1" applyFont="1" applyAlignment="1">
      <alignment horizontal="center" vertical="center"/>
    </xf>
    <xf numFmtId="187" fontId="17" fillId="0" borderId="0" xfId="176" applyNumberFormat="1" applyFont="1" applyAlignment="1">
      <alignment horizontal="center" vertical="center"/>
    </xf>
    <xf numFmtId="189" fontId="21" fillId="0" borderId="0" xfId="176" applyNumberFormat="1" applyFont="1" applyAlignment="1">
      <alignment horizontal="center" vertical="center"/>
    </xf>
    <xf numFmtId="0" fontId="23" fillId="13" borderId="0" xfId="130" applyFont="1" applyFill="1"/>
    <xf numFmtId="184" fontId="23" fillId="13" borderId="0" xfId="130" applyNumberFormat="1" applyFont="1" applyFill="1"/>
    <xf numFmtId="184" fontId="24" fillId="13" borderId="0" xfId="130" applyNumberFormat="1" applyFont="1" applyFill="1" applyAlignment="1">
      <alignment horizontal="right" vertical="center"/>
    </xf>
    <xf numFmtId="191" fontId="15" fillId="0" borderId="18" xfId="176" applyNumberFormat="1" applyFont="1" applyBorder="1" applyAlignment="1">
      <alignment horizontal="center" vertical="center"/>
    </xf>
    <xf numFmtId="189" fontId="21" fillId="0" borderId="18" xfId="176" applyNumberFormat="1" applyFont="1" applyBorder="1" applyAlignment="1">
      <alignment horizontal="center" vertical="center"/>
    </xf>
    <xf numFmtId="0" fontId="24" fillId="13" borderId="0" xfId="130" applyFont="1" applyFill="1" applyAlignment="1">
      <alignment horizontal="right"/>
    </xf>
    <xf numFmtId="0" fontId="25" fillId="13" borderId="0" xfId="130" applyFont="1" applyFill="1" applyAlignment="1">
      <alignment horizontal="left"/>
    </xf>
    <xf numFmtId="0" fontId="15" fillId="0" borderId="0" xfId="176" applyFont="1" applyAlignment="1">
      <alignment horizontal="center" vertical="center"/>
    </xf>
    <xf numFmtId="191" fontId="24" fillId="13" borderId="0" xfId="130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76" applyNumberFormat="1" applyFont="1" applyBorder="1" applyAlignment="1">
      <alignment horizontal="center" vertical="center"/>
    </xf>
    <xf numFmtId="0" fontId="15" fillId="0" borderId="0" xfId="176" applyFont="1" applyAlignment="1">
      <alignment horizontal="right" vertical="center"/>
    </xf>
    <xf numFmtId="191" fontId="28" fillId="0" borderId="0" xfId="176" applyNumberFormat="1" applyFont="1" applyAlignment="1">
      <alignment horizontal="center" vertical="center"/>
    </xf>
    <xf numFmtId="189" fontId="2" fillId="0" borderId="0" xfId="176" applyNumberFormat="1" applyAlignment="1">
      <alignment horizontal="center" vertical="center"/>
    </xf>
    <xf numFmtId="191" fontId="15" fillId="0" borderId="0" xfId="176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77" applyFont="1"/>
    <xf numFmtId="0" fontId="30" fillId="0" borderId="0" xfId="177" applyFont="1" applyAlignment="1">
      <alignment horizontal="center" wrapText="1"/>
    </xf>
    <xf numFmtId="0" fontId="30" fillId="0" borderId="0" xfId="177" applyFont="1" applyAlignment="1">
      <alignment horizontal="center"/>
    </xf>
    <xf numFmtId="0" fontId="30" fillId="0" borderId="0" xfId="177" applyFont="1" applyAlignment="1">
      <alignment horizontal="center" vertical="center" wrapText="1"/>
    </xf>
    <xf numFmtId="0" fontId="29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 wrapText="1"/>
    </xf>
    <xf numFmtId="0" fontId="31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/>
    </xf>
    <xf numFmtId="0" fontId="31" fillId="0" borderId="0" xfId="177" applyFont="1" applyAlignment="1">
      <alignment horizontal="left" vertical="top" wrapText="1"/>
    </xf>
    <xf numFmtId="0" fontId="31" fillId="0" borderId="0" xfId="177" applyFont="1" applyAlignment="1">
      <alignment horizontal="left" vertical="top"/>
    </xf>
    <xf numFmtId="0" fontId="30" fillId="0" borderId="0" xfId="177" applyFont="1" applyAlignment="1">
      <alignment horizontal="right" vertical="center"/>
    </xf>
    <xf numFmtId="0" fontId="31" fillId="0" borderId="0" xfId="100" applyFont="1"/>
  </cellXfs>
  <cellStyles count="2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3" xfId="114"/>
    <cellStyle name="Обычный 2 2 4 2" xfId="115"/>
    <cellStyle name="Обычный 2 3" xfId="116"/>
    <cellStyle name="Обычный 2 4 2 2" xfId="117"/>
    <cellStyle name="Обычный 2_Мартемьянова 126_12 испарав лен после замеч" xfId="118"/>
    <cellStyle name="Обычный 20" xfId="119"/>
    <cellStyle name="Обычный 21" xfId="120"/>
    <cellStyle name="Обычный 22" xfId="121"/>
    <cellStyle name="Обычный 23" xfId="122"/>
    <cellStyle name="Обычный 24" xfId="123"/>
    <cellStyle name="Обычный 25" xfId="124"/>
    <cellStyle name="Обычный 26" xfId="125"/>
    <cellStyle name="Обычный 27" xfId="126"/>
    <cellStyle name="Обычный 28" xfId="127"/>
    <cellStyle name="Обычный 29" xfId="128"/>
    <cellStyle name="Обычный 3" xfId="129"/>
    <cellStyle name="Обычный 3 2" xfId="130"/>
    <cellStyle name="Обычный 3 3" xfId="131"/>
    <cellStyle name="Обычный 3 3 2" xfId="132"/>
    <cellStyle name="Обычный 3_Мартемьянова 126_12 испарав лен после замеч" xfId="133"/>
    <cellStyle name="Обычный 30" xfId="134"/>
    <cellStyle name="Обычный 31" xfId="135"/>
    <cellStyle name="Обычный 32" xfId="136"/>
    <cellStyle name="Обычный 33" xfId="137"/>
    <cellStyle name="Обычный 34" xfId="138"/>
    <cellStyle name="Обычный 35" xfId="139"/>
    <cellStyle name="Обычный 36" xfId="140"/>
    <cellStyle name="Обычный 37" xfId="141"/>
    <cellStyle name="Обычный 38" xfId="142"/>
    <cellStyle name="Обычный 39" xfId="143"/>
    <cellStyle name="Обычный 4" xfId="144"/>
    <cellStyle name="Обычный 40" xfId="145"/>
    <cellStyle name="Обычный 41" xfId="146"/>
    <cellStyle name="Обычный 42" xfId="147"/>
    <cellStyle name="Обычный 43" xfId="148"/>
    <cellStyle name="Обычный 44" xfId="149"/>
    <cellStyle name="Обычный 45" xfId="150"/>
    <cellStyle name="Обычный 46" xfId="151"/>
    <cellStyle name="Обычный 47" xfId="152"/>
    <cellStyle name="Обычный 48" xfId="153"/>
    <cellStyle name="Обычный 49" xfId="154"/>
    <cellStyle name="Обычный 5" xfId="155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6" xfId="162"/>
    <cellStyle name="Обычный 57" xfId="163"/>
    <cellStyle name="Обычный 58" xfId="164"/>
    <cellStyle name="Обычный 59" xfId="165"/>
    <cellStyle name="Обычный 6" xfId="166"/>
    <cellStyle name="Обычный 60" xfId="167"/>
    <cellStyle name="Обычный 61" xfId="168"/>
    <cellStyle name="Обычный 62" xfId="169"/>
    <cellStyle name="Обычный 63" xfId="170"/>
    <cellStyle name="Обычный 63 2 2" xfId="171"/>
    <cellStyle name="Обычный 63 2 2 2" xfId="172"/>
    <cellStyle name="Обычный 63 2 2 3" xfId="173"/>
    <cellStyle name="Обычный 64" xfId="174"/>
    <cellStyle name="Обычный 65" xfId="175"/>
    <cellStyle name="Обычный 65 2" xfId="176"/>
    <cellStyle name="Обычный 65 2 2" xfId="177"/>
    <cellStyle name="Обычный 66" xfId="178"/>
    <cellStyle name="Обычный 67" xfId="179"/>
    <cellStyle name="Обычный 68" xfId="180"/>
    <cellStyle name="Обычный 69" xfId="181"/>
    <cellStyle name="Обычный 7" xfId="182"/>
    <cellStyle name="Обычный 70" xfId="183"/>
    <cellStyle name="Обычный 71" xfId="184"/>
    <cellStyle name="Обычный 72" xfId="185"/>
    <cellStyle name="Обычный 73" xfId="186"/>
    <cellStyle name="Обычный 73 2" xfId="187"/>
    <cellStyle name="Обычный 74" xfId="188"/>
    <cellStyle name="Обычный 75" xfId="189"/>
    <cellStyle name="Обычный 75 2" xfId="190"/>
    <cellStyle name="Обычный 76" xfId="191"/>
    <cellStyle name="Обычный 77" xfId="192"/>
    <cellStyle name="Обычный 78" xfId="193"/>
    <cellStyle name="Обычный 79" xfId="194"/>
    <cellStyle name="Обычный 8" xfId="195"/>
    <cellStyle name="Обычный 8 2" xfId="196"/>
    <cellStyle name="Обычный 80" xfId="197"/>
    <cellStyle name="Обычный 81" xfId="198"/>
    <cellStyle name="Обычный 82" xfId="199"/>
    <cellStyle name="Обычный 83" xfId="200"/>
    <cellStyle name="Обычный 84" xfId="201"/>
    <cellStyle name="Обычный 85" xfId="202"/>
    <cellStyle name="Обычный 86" xfId="203"/>
    <cellStyle name="Обычный 87" xfId="204"/>
    <cellStyle name="Обычный 88" xfId="205"/>
    <cellStyle name="Обычный 89" xfId="206"/>
    <cellStyle name="Обычный 9" xfId="207"/>
    <cellStyle name="Обычный 90" xfId="208"/>
    <cellStyle name="Обычный 91" xfId="209"/>
    <cellStyle name="Обычный 92" xfId="210"/>
    <cellStyle name="Обычный 93" xfId="211"/>
    <cellStyle name="Обычный 94" xfId="212"/>
    <cellStyle name="Обычный 95" xfId="213"/>
    <cellStyle name="Обычный 96" xfId="214"/>
    <cellStyle name="Обычный 97" xfId="215"/>
    <cellStyle name="Обычный 98" xfId="216"/>
    <cellStyle name="Обычный 99" xfId="217"/>
    <cellStyle name="Параметр" xfId="218"/>
    <cellStyle name="ПеременныеСметы" xfId="219"/>
    <cellStyle name="Процентный 2" xfId="220"/>
    <cellStyle name="РесСмета" xfId="221"/>
    <cellStyle name="СводкаСтоимРаб" xfId="222"/>
    <cellStyle name="СводРасч" xfId="223"/>
    <cellStyle name="СводРасч 2" xfId="224"/>
    <cellStyle name="СводРасч 3" xfId="225"/>
    <cellStyle name="Стиль 1_АКТ" xfId="226"/>
    <cellStyle name="Титул" xfId="227"/>
    <cellStyle name="Финансовый [0] 2" xfId="228"/>
    <cellStyle name="Финансовый 2" xfId="229"/>
    <cellStyle name="Финансовый 3" xfId="230"/>
    <cellStyle name="Финансовый 3 2" xfId="231"/>
    <cellStyle name="Финансовый 4" xfId="232"/>
    <cellStyle name="Финансовый 5" xfId="233"/>
    <cellStyle name="Хвост" xfId="234"/>
    <cellStyle name="Экспертиза" xfId="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Хаттон_90_礊め_x0005_"/>
      <sheetName val="ПС"/>
      <sheetName val="таблица_руко_x0019__x0015_ 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view="pageBreakPreview" zoomScale="55" zoomScaleNormal="100" topLeftCell="A19" workbookViewId="0">
      <selection activeCell="R16" sqref="R16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0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ht="20.1" customHeight="1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0">
      <c r="A7" s="192" t="str">
        <f>'ССР Т'!B11</f>
        <v>Строительство ЛЭП-0,4 кВ от проект. ВЛИ-0,38 (по дог-ру ТП №Ю8-25-302-275052(472200)), ПС №529 «Сидорово», в т.ч. ПИР,МО, г.о. Ступино, д. Петрищево, ул. Тенистая, зем. уч. 56 Ю8-25-302-284094(603588)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ht="20.1" customHeight="1" spans="1:20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ht="20.1" customHeight="1" spans="1:20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ht="20.1" customHeight="1" spans="1:2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</row>
    <row r="11" ht="20.1" customHeight="1" spans="1:20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ht="20.1" customHeight="1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ht="20.1" customHeight="1" spans="1:20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ht="20.1" customHeight="1" spans="1:20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0.75" customHeight="1" spans="1:2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9" t="str">
        <f>'ССР Т'!H15</f>
        <v>I-355461</v>
      </c>
      <c r="S15" s="199"/>
      <c r="T15" s="199"/>
    </row>
    <row r="16" ht="30.75" customHeight="1" spans="1:20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9"/>
      <c r="S16" s="199"/>
      <c r="T16" s="199"/>
    </row>
    <row r="17" ht="20.1" customHeight="1" spans="1:20">
      <c r="A17" s="194" t="s">
        <v>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ht="20.1" customHeight="1" spans="1:20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ht="141" customHeight="1" spans="1:20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ht="20.1" customHeight="1" spans="1:20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20.1" customHeight="1" spans="1:20">
      <c r="A21" s="196" t="s">
        <v>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ht="20.1" customHeight="1" spans="1:20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0">
      <c r="A24" s="197" t="s">
        <v>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ht="20.1" customHeight="1" spans="1:20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20.1" customHeight="1" spans="1:20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ht="20.1" customHeight="1" spans="1:20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ht="20.1" customHeight="1" spans="1:20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20.1" customHeight="1" spans="1:20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ht="20.1" customHeight="1" spans="1:20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ht="20.1" customHeight="1" spans="1:20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ht="20.1" customHeight="1" spans="1:20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</row>
    <row r="33" ht="20.1" customHeight="1" spans="1:20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</row>
    <row r="34" ht="20.1" customHeight="1" spans="1:20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</row>
    <row r="35" ht="20.1" customHeight="1" spans="1:20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</row>
    <row r="36" ht="20.1" customHeight="1" spans="1:20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</row>
    <row r="37" ht="20.1" customHeight="1" spans="1:20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</row>
    <row r="38" ht="20.1" customHeight="1" spans="1:20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</row>
    <row r="39" ht="20.1" customHeight="1" spans="1:20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20.1" customHeight="1" spans="1:20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ht="20.1" customHeight="1" spans="1:20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</row>
    <row r="42" ht="20.1" customHeight="1" spans="1:20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</row>
    <row r="43" ht="20.1" customHeight="1" spans="1:20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ht="20.1" customHeight="1" spans="1:20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ht="20.1" customHeight="1" spans="1:20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  <row r="46" ht="20.1" customHeight="1" spans="1:20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ht="20.1" customHeight="1" spans="1:20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8" ht="20.1" customHeight="1" spans="1:20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</row>
    <row r="49" ht="20.1" customHeight="1" spans="1:20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</row>
    <row r="50" ht="20.1" customHeight="1" spans="1:20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ht="20.1" customHeight="1" spans="1:20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</row>
    <row r="52" ht="20.1" customHeight="1" spans="1:20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</row>
    <row r="53" ht="20.1" customHeight="1" spans="1:20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</row>
    <row r="54" ht="20.1" customHeight="1" spans="1:20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</row>
    <row r="55" ht="20.1" customHeight="1" spans="1:20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</row>
    <row r="56" ht="20.1" customHeight="1" spans="1:20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</row>
    <row r="57" ht="20.1" customHeight="1" spans="1:20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</row>
    <row r="58" ht="20.1" customHeight="1" spans="1:20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</row>
    <row r="59" ht="20.1" customHeight="1" spans="1:20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</row>
    <row r="60" ht="20.1" customHeight="1" spans="1:20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</row>
    <row r="61" ht="20.1" customHeight="1" spans="1:20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</row>
    <row r="62" ht="20.1" customHeight="1" spans="1:20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</row>
    <row r="63" ht="20.1" customHeight="1" spans="1:20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</row>
    <row r="64" ht="20.1" customHeight="1" spans="1:20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</row>
    <row r="65" ht="20.1" customHeight="1" spans="1:20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</row>
    <row r="66" ht="20.1" customHeight="1" spans="1:20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</row>
    <row r="67" ht="20.1" customHeight="1" spans="1:20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</row>
    <row r="68" ht="20.1" customHeight="1" spans="1:20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ht="20.1" customHeight="1" spans="1:20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</row>
    <row r="70" ht="20.1" customHeight="1" spans="1:20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</row>
    <row r="71" ht="20.1" customHeight="1" spans="1:20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  <row r="72" ht="20.1" customHeight="1" spans="1:20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</row>
    <row r="73" ht="20.1" customHeight="1" spans="1:20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</row>
    <row r="74" ht="20.1" customHeight="1" spans="1:20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</row>
    <row r="75" ht="409.5" customHeight="1" spans="1:20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</row>
    <row r="76" ht="32.25" spans="1:2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</row>
    <row r="77" ht="32.25" spans="1:2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</row>
    <row r="78" ht="32.25" spans="1:20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</row>
    <row r="79" ht="32.25" spans="1:20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</row>
    <row r="80" ht="32.25" spans="1:20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</row>
    <row r="81" ht="32.25" spans="1:20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</row>
    <row r="82" ht="32.25" spans="1:20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</row>
    <row r="83" ht="32.25" spans="1:20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</row>
    <row r="84" ht="32.25" spans="1:20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</row>
    <row r="85" ht="32.25" spans="1:20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</row>
    <row r="86" ht="32.25" spans="1:20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</row>
  </sheetData>
  <mergeCells count="6">
    <mergeCell ref="R15:T15"/>
    <mergeCell ref="A24:T75"/>
    <mergeCell ref="A4:T5"/>
    <mergeCell ref="A7:T13"/>
    <mergeCell ref="A17:T19"/>
    <mergeCell ref="A21:T2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7" workbookViewId="0">
      <selection activeCell="C79" sqref="C7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190.92239</v>
      </c>
      <c r="E25" s="114">
        <v>28.98378</v>
      </c>
      <c r="F25" s="134"/>
      <c r="G25" s="115"/>
      <c r="H25" s="116">
        <f>SUM(D25:G25)</f>
        <v>219.90617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190.92239</v>
      </c>
      <c r="E30" s="117">
        <f>SUM(E25:E29)</f>
        <v>28.98378</v>
      </c>
      <c r="F30" s="117">
        <f>SUM(F25:F29)</f>
        <v>0</v>
      </c>
      <c r="G30" s="117">
        <f>SUM(G25:G29)</f>
        <v>0</v>
      </c>
      <c r="H30" s="117">
        <f>SUM(H25:H29)</f>
        <v>219.90617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190.92239</v>
      </c>
      <c r="E31" s="121">
        <f>E23+E30</f>
        <v>28.98378</v>
      </c>
      <c r="F31" s="121">
        <f>F23+F30</f>
        <v>0</v>
      </c>
      <c r="G31" s="121">
        <f>G23+G30</f>
        <v>0</v>
      </c>
      <c r="H31" s="121">
        <f>H23+H30</f>
        <v>219.90617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190.92239</v>
      </c>
      <c r="E37" s="125">
        <f>E31+E36</f>
        <v>28.98378</v>
      </c>
      <c r="F37" s="125">
        <f>F31+F36</f>
        <v>0</v>
      </c>
      <c r="G37" s="125">
        <f>G31+G36</f>
        <v>0</v>
      </c>
      <c r="H37" s="125">
        <f>H31+H36</f>
        <v>219.90617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190.92239</v>
      </c>
      <c r="E43" s="125">
        <f>E37+E42</f>
        <v>28.98378</v>
      </c>
      <c r="F43" s="125">
        <f>F37+F42</f>
        <v>0</v>
      </c>
      <c r="G43" s="125">
        <f>G37+G42</f>
        <v>0</v>
      </c>
      <c r="H43" s="125">
        <f>H37+H42</f>
        <v>219.90617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190.92239</v>
      </c>
      <c r="E49" s="125">
        <f>E43+E48</f>
        <v>28.98378</v>
      </c>
      <c r="F49" s="125">
        <f>F43+F48</f>
        <v>0</v>
      </c>
      <c r="G49" s="125">
        <f>G43+G48</f>
        <v>0</v>
      </c>
      <c r="H49" s="125">
        <f>H43+H48</f>
        <v>219.90617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190.92239</v>
      </c>
      <c r="E55" s="125">
        <f>E49+E54</f>
        <v>28.98378</v>
      </c>
      <c r="F55" s="125">
        <f>F49+F54</f>
        <v>0</v>
      </c>
      <c r="G55" s="125">
        <f>G49+G54</f>
        <v>0</v>
      </c>
      <c r="H55" s="125">
        <f>H49+H54</f>
        <v>219.90617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190.92239</v>
      </c>
      <c r="E61" s="125">
        <f>E55+E60</f>
        <v>28.98378</v>
      </c>
      <c r="F61" s="125">
        <f>F55+F60</f>
        <v>0</v>
      </c>
      <c r="G61" s="125">
        <f>G55+G60</f>
        <v>0</v>
      </c>
      <c r="H61" s="125">
        <f>H55+H60</f>
        <v>219.90617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4.77306</v>
      </c>
      <c r="E63" s="129">
        <f>ROUND(E61*2.5%,5)</f>
        <v>0.72459</v>
      </c>
      <c r="F63" s="129"/>
      <c r="G63" s="129"/>
      <c r="H63" s="130">
        <f t="shared" ref="H63:H65" si="0">SUM(D63:G63)</f>
        <v>5.49765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4.77306</v>
      </c>
      <c r="E66" s="117">
        <f>SUM(E63:E65)</f>
        <v>0.72459</v>
      </c>
      <c r="F66" s="117">
        <f>SUM(F63:F65)</f>
        <v>0</v>
      </c>
      <c r="G66" s="117">
        <f>SUM(G63:G65)</f>
        <v>0</v>
      </c>
      <c r="H66" s="117">
        <f>SUM(H63:H65)</f>
        <v>5.49765</v>
      </c>
    </row>
    <row r="67" s="75" customFormat="1" ht="18.75" spans="1:8">
      <c r="A67" s="118" t="s">
        <v>59</v>
      </c>
      <c r="B67" s="119"/>
      <c r="C67" s="120"/>
      <c r="D67" s="121">
        <f>D61+D66</f>
        <v>195.69545</v>
      </c>
      <c r="E67" s="121">
        <f>E61+E66</f>
        <v>29.70837</v>
      </c>
      <c r="F67" s="121">
        <f>F61+F66</f>
        <v>0</v>
      </c>
      <c r="G67" s="121">
        <f>G61+G66</f>
        <v>0</v>
      </c>
      <c r="H67" s="121">
        <f>H61+H66</f>
        <v>225.40382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3.71821</v>
      </c>
      <c r="E69" s="129">
        <f>ROUND(E67*1.9%,5)</f>
        <v>0.56446</v>
      </c>
      <c r="F69" s="129"/>
      <c r="G69" s="129"/>
      <c r="H69" s="130">
        <f t="shared" ref="H69" si="1">SUM(D69:G69)</f>
        <v>4.28267</v>
      </c>
      <c r="J69" s="136" t="s">
        <v>63</v>
      </c>
      <c r="K69" s="137">
        <f>(D31+E31)*1.019*1000+G76*1000</f>
        <v>241199.89723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17.11551</v>
      </c>
      <c r="H70" s="116">
        <f>G70</f>
        <v>17.11551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>G71</f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3.71821</v>
      </c>
      <c r="E75" s="117">
        <f>SUM(E69:E74)</f>
        <v>0.56446</v>
      </c>
      <c r="F75" s="117">
        <f>SUM(F69:F74)</f>
        <v>0</v>
      </c>
      <c r="G75" s="117">
        <f>SUM(G69:G74)</f>
        <v>17.11551</v>
      </c>
      <c r="H75" s="117">
        <f>SUM(H69:H74)</f>
        <v>21.39818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199.41366</v>
      </c>
      <c r="E76" s="121">
        <f>E67+E75</f>
        <v>30.27283</v>
      </c>
      <c r="F76" s="121">
        <f>F67+F75</f>
        <v>0</v>
      </c>
      <c r="G76" s="121">
        <f>G67+G75</f>
        <v>17.11551</v>
      </c>
      <c r="H76" s="144">
        <f>H67+H75</f>
        <v>246.802</v>
      </c>
      <c r="I76" s="169">
        <f>K69+K70</f>
        <v>241199.89723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5.28156</v>
      </c>
      <c r="H78" s="116">
        <f>SUM(D78:G78)</f>
        <v>5.28156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9.84943</v>
      </c>
      <c r="H79" s="116">
        <f>SUM(D79:G79)</f>
        <v>9.84943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15.13099</v>
      </c>
      <c r="H81" s="117">
        <f>SUM(D81:G81)</f>
        <v>15.13099</v>
      </c>
    </row>
    <row r="82" s="75" customFormat="1" ht="18.75" spans="1:8">
      <c r="A82" s="118" t="s">
        <v>83</v>
      </c>
      <c r="B82" s="119"/>
      <c r="C82" s="120"/>
      <c r="D82" s="121">
        <f>D76+D81</f>
        <v>199.41366</v>
      </c>
      <c r="E82" s="121">
        <f>E76+E81</f>
        <v>30.27283</v>
      </c>
      <c r="F82" s="121">
        <f>F76+F81</f>
        <v>0</v>
      </c>
      <c r="G82" s="121">
        <f>G76+G81</f>
        <v>32.2465</v>
      </c>
      <c r="H82" s="121">
        <f>H76+H81</f>
        <v>261.93299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199.41366</v>
      </c>
      <c r="E88" s="125">
        <f>E82+E87</f>
        <v>30.27283</v>
      </c>
      <c r="F88" s="125">
        <f>F82+F87</f>
        <v>0</v>
      </c>
      <c r="G88" s="125">
        <f>G82+G87</f>
        <v>32.2465</v>
      </c>
      <c r="H88" s="125">
        <f>H82+H87</f>
        <v>261.93299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04-Ф-Ст от 12.01.2026</v>
      </c>
      <c r="C90" s="147" t="s">
        <v>87</v>
      </c>
      <c r="D90" s="134"/>
      <c r="E90" s="134"/>
      <c r="F90" s="134"/>
      <c r="G90" s="113">
        <v>3.81961</v>
      </c>
      <c r="H90" s="116">
        <f>SUM(D90:G90)</f>
        <v>3.81961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3.81961</v>
      </c>
      <c r="H93" s="117">
        <f>SUM(H90:H92)</f>
        <v>3.81961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199.41366</v>
      </c>
      <c r="E94" s="121">
        <f>E88+E93</f>
        <v>30.27283</v>
      </c>
      <c r="F94" s="121">
        <f>F88+F93</f>
        <v>0</v>
      </c>
      <c r="G94" s="121">
        <f>G88+G93</f>
        <v>36.06611</v>
      </c>
      <c r="H94" s="121">
        <f>H93+H88</f>
        <v>265.7526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245.01950723</v>
      </c>
      <c r="K95" s="176">
        <f>J95*1.22+0.00001</f>
        <v>298.9238088206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5.98241</v>
      </c>
      <c r="E96" s="134">
        <f t="shared" ref="E96:G96" si="2">ROUND(E94*0.03,5)</f>
        <v>0.90818</v>
      </c>
      <c r="F96" s="134">
        <f t="shared" si="2"/>
        <v>0</v>
      </c>
      <c r="G96" s="134">
        <f t="shared" si="2"/>
        <v>1.08198</v>
      </c>
      <c r="H96" s="116">
        <f>SUM(D96:G96)</f>
        <v>7.97257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5.98241</v>
      </c>
      <c r="E99" s="152">
        <f>SUM(E96:E98)</f>
        <v>0.90818</v>
      </c>
      <c r="F99" s="152">
        <f>SUM(F96:F98)</f>
        <v>0</v>
      </c>
      <c r="G99" s="152">
        <f>SUM(G96:G98)</f>
        <v>1.08198</v>
      </c>
      <c r="H99" s="152">
        <f>SUM(H96:H98)</f>
        <v>7.97257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205.39607</v>
      </c>
      <c r="E100" s="154">
        <f>E94+E99</f>
        <v>31.18101</v>
      </c>
      <c r="F100" s="154">
        <f>F94+F99</f>
        <v>0</v>
      </c>
      <c r="G100" s="154">
        <f>G94+G99</f>
        <v>37.14809</v>
      </c>
      <c r="H100" s="154">
        <f>H94+H99</f>
        <v>273.72517</v>
      </c>
      <c r="I100" s="180"/>
      <c r="J100" s="181">
        <v>124.85373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45.18714</v>
      </c>
      <c r="E102" s="134">
        <f>ROUND(E100*0.22,5)</f>
        <v>6.85982</v>
      </c>
      <c r="F102" s="134">
        <f>ROUND(F100*0.22,5)</f>
        <v>0</v>
      </c>
      <c r="G102" s="134">
        <f>ROUND(G100*0.22,5)</f>
        <v>8.17258</v>
      </c>
      <c r="H102" s="121">
        <f>SUM(D102:G102)</f>
        <v>60.21954</v>
      </c>
      <c r="I102" s="171"/>
      <c r="J102" s="182">
        <v>137.00646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45.18714</v>
      </c>
      <c r="E105" s="121">
        <f>SUM(E102:E104)</f>
        <v>6.85982</v>
      </c>
      <c r="F105" s="121">
        <f>SUM(F102:F104)</f>
        <v>0</v>
      </c>
      <c r="G105" s="121">
        <f>SUM(G102:G104)</f>
        <v>8.17258</v>
      </c>
      <c r="H105" s="121">
        <f>SUM(H102:H104)</f>
        <v>60.21954</v>
      </c>
      <c r="I105" s="183" t="s">
        <v>107</v>
      </c>
      <c r="J105" s="184">
        <f>(J102/1.03/1.0393-H90)/1.0214</f>
        <v>121.565024316747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250.58321</v>
      </c>
      <c r="E106" s="121">
        <f>E100+E105</f>
        <v>38.04083</v>
      </c>
      <c r="F106" s="121">
        <f>F100+F105</f>
        <v>0</v>
      </c>
      <c r="G106" s="121">
        <f>G100+G105</f>
        <v>45.32067</v>
      </c>
      <c r="H106" s="134">
        <f>H100+H105</f>
        <v>333.94471</v>
      </c>
      <c r="I106" s="183" t="s">
        <v>109</v>
      </c>
      <c r="J106" s="186">
        <f>J100-H90</f>
        <v>121.03412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5" workbookViewId="0">
      <selection activeCell="C105" sqref="C105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103.14992</v>
      </c>
      <c r="E25" s="114">
        <v>13.56035</v>
      </c>
      <c r="F25" s="134"/>
      <c r="G25" s="115"/>
      <c r="H25" s="116">
        <f t="shared" ref="H25:H29" si="2">SUM(D25:G25)</f>
        <v>116.71027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103.14992</v>
      </c>
      <c r="E30" s="117">
        <f t="shared" si="3"/>
        <v>13.56035</v>
      </c>
      <c r="F30" s="117">
        <f t="shared" si="3"/>
        <v>0</v>
      </c>
      <c r="G30" s="117">
        <f t="shared" si="3"/>
        <v>0</v>
      </c>
      <c r="H30" s="117">
        <f t="shared" si="3"/>
        <v>116.71027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103.14992</v>
      </c>
      <c r="E31" s="121">
        <f t="shared" si="4"/>
        <v>13.56035</v>
      </c>
      <c r="F31" s="121">
        <f t="shared" si="4"/>
        <v>0</v>
      </c>
      <c r="G31" s="121">
        <f t="shared" si="4"/>
        <v>0</v>
      </c>
      <c r="H31" s="121">
        <f t="shared" si="4"/>
        <v>116.71027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103.14992</v>
      </c>
      <c r="E37" s="125">
        <f t="shared" si="7"/>
        <v>13.56035</v>
      </c>
      <c r="F37" s="125">
        <f t="shared" si="7"/>
        <v>0</v>
      </c>
      <c r="G37" s="125">
        <f t="shared" si="7"/>
        <v>0</v>
      </c>
      <c r="H37" s="125">
        <f t="shared" si="7"/>
        <v>116.71027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103.14992</v>
      </c>
      <c r="E43" s="125">
        <f t="shared" si="10"/>
        <v>13.56035</v>
      </c>
      <c r="F43" s="125">
        <f t="shared" si="10"/>
        <v>0</v>
      </c>
      <c r="G43" s="125">
        <f t="shared" si="10"/>
        <v>0</v>
      </c>
      <c r="H43" s="125">
        <f t="shared" si="10"/>
        <v>116.71027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103.14992</v>
      </c>
      <c r="E49" s="125">
        <f t="shared" si="13"/>
        <v>13.56035</v>
      </c>
      <c r="F49" s="125">
        <f t="shared" si="13"/>
        <v>0</v>
      </c>
      <c r="G49" s="125">
        <f t="shared" si="13"/>
        <v>0</v>
      </c>
      <c r="H49" s="125">
        <f t="shared" si="13"/>
        <v>116.71027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103.14992</v>
      </c>
      <c r="E55" s="125">
        <f t="shared" si="16"/>
        <v>13.56035</v>
      </c>
      <c r="F55" s="125">
        <f t="shared" si="16"/>
        <v>0</v>
      </c>
      <c r="G55" s="125">
        <f t="shared" si="16"/>
        <v>0</v>
      </c>
      <c r="H55" s="125">
        <f t="shared" si="16"/>
        <v>116.71027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103.14992</v>
      </c>
      <c r="E61" s="125">
        <f t="shared" si="19"/>
        <v>13.56035</v>
      </c>
      <c r="F61" s="125">
        <f t="shared" si="19"/>
        <v>0</v>
      </c>
      <c r="G61" s="125">
        <f t="shared" si="19"/>
        <v>0</v>
      </c>
      <c r="H61" s="125">
        <f t="shared" si="19"/>
        <v>116.71027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2.57875</v>
      </c>
      <c r="E63" s="129">
        <f>ROUND(E61*2.5%,5)</f>
        <v>0.33901</v>
      </c>
      <c r="F63" s="129"/>
      <c r="G63" s="129"/>
      <c r="H63" s="130">
        <f t="shared" ref="H63:H65" si="20">SUM(D63:G63)</f>
        <v>2.91776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2.57875</v>
      </c>
      <c r="E66" s="117">
        <f t="shared" si="21"/>
        <v>0.33901</v>
      </c>
      <c r="F66" s="117">
        <f t="shared" si="21"/>
        <v>0</v>
      </c>
      <c r="G66" s="117">
        <f t="shared" si="21"/>
        <v>0</v>
      </c>
      <c r="H66" s="117">
        <f t="shared" si="21"/>
        <v>2.91776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105.72867</v>
      </c>
      <c r="E67" s="121">
        <f t="shared" si="22"/>
        <v>13.89936</v>
      </c>
      <c r="F67" s="121">
        <f t="shared" si="22"/>
        <v>0</v>
      </c>
      <c r="G67" s="121">
        <f t="shared" si="22"/>
        <v>0</v>
      </c>
      <c r="H67" s="121">
        <f t="shared" si="22"/>
        <v>119.62803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2.00884</v>
      </c>
      <c r="E69" s="129">
        <f>ROUND(E67*1.9%,5)</f>
        <v>0.26409</v>
      </c>
      <c r="F69" s="129"/>
      <c r="G69" s="129"/>
      <c r="H69" s="130">
        <f>SUM(D69:G69)</f>
        <v>2.27293</v>
      </c>
      <c r="J69" s="136" t="s">
        <v>63</v>
      </c>
      <c r="K69" s="137">
        <f>(D31+E31)*1.019*1000+G76*1000</f>
        <v>118927.76513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/>
      <c r="H70" s="116">
        <f t="shared" ref="H70:H74" si="23"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2.00884</v>
      </c>
      <c r="E75" s="117">
        <f t="shared" si="24"/>
        <v>0.26409</v>
      </c>
      <c r="F75" s="117">
        <f t="shared" si="24"/>
        <v>0</v>
      </c>
      <c r="G75" s="117">
        <f t="shared" si="24"/>
        <v>0</v>
      </c>
      <c r="H75" s="117">
        <f t="shared" si="24"/>
        <v>2.27293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107.73751</v>
      </c>
      <c r="E76" s="121">
        <f t="shared" si="25"/>
        <v>14.16345</v>
      </c>
      <c r="F76" s="121">
        <f t="shared" si="25"/>
        <v>0</v>
      </c>
      <c r="G76" s="121">
        <f t="shared" si="25"/>
        <v>0</v>
      </c>
      <c r="H76" s="144">
        <f t="shared" si="25"/>
        <v>121.90096</v>
      </c>
      <c r="I76" s="169">
        <f>K69+K70</f>
        <v>118927.76513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2.60868</v>
      </c>
      <c r="H78" s="116">
        <f t="shared" ref="H78:H81" si="26">SUM(D78:G78)</f>
        <v>2.60868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4.94082</v>
      </c>
      <c r="H79" s="116">
        <f t="shared" si="26"/>
        <v>4.94082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7.5495</v>
      </c>
      <c r="H81" s="117">
        <f t="shared" si="26"/>
        <v>7.5495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107.73751</v>
      </c>
      <c r="E82" s="121">
        <f t="shared" si="28"/>
        <v>14.16345</v>
      </c>
      <c r="F82" s="121">
        <f t="shared" si="28"/>
        <v>0</v>
      </c>
      <c r="G82" s="121">
        <f t="shared" si="28"/>
        <v>7.5495</v>
      </c>
      <c r="H82" s="121">
        <f t="shared" si="28"/>
        <v>129.45046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107.73751</v>
      </c>
      <c r="E88" s="125">
        <f t="shared" si="31"/>
        <v>14.16345</v>
      </c>
      <c r="F88" s="125">
        <f t="shared" si="31"/>
        <v>0</v>
      </c>
      <c r="G88" s="125">
        <f t="shared" si="31"/>
        <v>7.5495</v>
      </c>
      <c r="H88" s="125">
        <f t="shared" si="31"/>
        <v>129.45046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04-Ф-Ст от 12.01.2026</v>
      </c>
      <c r="C90" s="147" t="s">
        <v>87</v>
      </c>
      <c r="D90" s="134"/>
      <c r="E90" s="134"/>
      <c r="F90" s="134"/>
      <c r="G90" s="113">
        <v>3.81961</v>
      </c>
      <c r="H90" s="116">
        <f t="shared" ref="H90:H92" si="32">SUM(D90:G90)</f>
        <v>3.81961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3.81961</v>
      </c>
      <c r="H93" s="117">
        <f t="shared" si="33"/>
        <v>3.81961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107.73751</v>
      </c>
      <c r="E94" s="121">
        <f t="shared" si="34"/>
        <v>14.16345</v>
      </c>
      <c r="F94" s="121">
        <f t="shared" si="34"/>
        <v>0</v>
      </c>
      <c r="G94" s="121">
        <f t="shared" si="34"/>
        <v>11.36911</v>
      </c>
      <c r="H94" s="121">
        <f>H93+H88</f>
        <v>133.27007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122.74737513</v>
      </c>
      <c r="K95" s="176">
        <f>J95*1.22+0.00001</f>
        <v>149.7518076586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3.23213</v>
      </c>
      <c r="E96" s="134">
        <f t="shared" si="35"/>
        <v>0.4249</v>
      </c>
      <c r="F96" s="134">
        <f t="shared" si="35"/>
        <v>0</v>
      </c>
      <c r="G96" s="134">
        <f t="shared" si="35"/>
        <v>0.34107</v>
      </c>
      <c r="H96" s="116">
        <f t="shared" ref="H96:H98" si="36">SUM(D96:G96)</f>
        <v>3.9981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3.23213</v>
      </c>
      <c r="E99" s="152">
        <f t="shared" si="37"/>
        <v>0.4249</v>
      </c>
      <c r="F99" s="152">
        <f t="shared" si="37"/>
        <v>0</v>
      </c>
      <c r="G99" s="152">
        <f t="shared" si="37"/>
        <v>0.34107</v>
      </c>
      <c r="H99" s="152">
        <f t="shared" si="37"/>
        <v>3.9981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110.96964</v>
      </c>
      <c r="E100" s="154">
        <f t="shared" si="38"/>
        <v>14.58835</v>
      </c>
      <c r="F100" s="154">
        <f t="shared" si="38"/>
        <v>0</v>
      </c>
      <c r="G100" s="154">
        <f t="shared" si="38"/>
        <v>11.71018</v>
      </c>
      <c r="H100" s="154">
        <f t="shared" si="38"/>
        <v>137.26817</v>
      </c>
      <c r="I100" s="180"/>
      <c r="J100" s="181">
        <v>124.85373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24.41332</v>
      </c>
      <c r="E102" s="134">
        <f t="shared" si="39"/>
        <v>3.20944</v>
      </c>
      <c r="F102" s="134">
        <f t="shared" si="39"/>
        <v>0</v>
      </c>
      <c r="G102" s="134">
        <f t="shared" si="39"/>
        <v>2.57624</v>
      </c>
      <c r="H102" s="121">
        <f t="shared" ref="H102:H104" si="40">SUM(D102:G102)</f>
        <v>30.199</v>
      </c>
      <c r="I102" s="171"/>
      <c r="J102" s="182">
        <v>137.00646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24.41332</v>
      </c>
      <c r="E105" s="121">
        <f t="shared" si="41"/>
        <v>3.20944</v>
      </c>
      <c r="F105" s="121">
        <f t="shared" si="41"/>
        <v>0</v>
      </c>
      <c r="G105" s="121">
        <f t="shared" si="41"/>
        <v>2.57624</v>
      </c>
      <c r="H105" s="121">
        <f t="shared" si="41"/>
        <v>30.199</v>
      </c>
      <c r="I105" s="183" t="s">
        <v>107</v>
      </c>
      <c r="J105" s="184">
        <f>(J102/1.03/1.0393-H90)/1.0214</f>
        <v>121.565024316747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135.38296</v>
      </c>
      <c r="E106" s="121">
        <f t="shared" si="42"/>
        <v>17.79779</v>
      </c>
      <c r="F106" s="121">
        <f t="shared" si="42"/>
        <v>0</v>
      </c>
      <c r="G106" s="121">
        <f t="shared" si="42"/>
        <v>14.28642</v>
      </c>
      <c r="H106" s="134">
        <f t="shared" si="42"/>
        <v>167.46717</v>
      </c>
      <c r="I106" s="183" t="s">
        <v>109</v>
      </c>
      <c r="J106" s="186">
        <f>J100-H90</f>
        <v>121.03412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7" workbookViewId="0">
      <selection activeCell="D78" sqref="D78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87.77247</v>
      </c>
      <c r="E25" s="114">
        <v>15.42343</v>
      </c>
      <c r="F25" s="134"/>
      <c r="G25" s="115"/>
      <c r="H25" s="116">
        <f t="shared" ref="H25:H29" si="2">SUM(D25:G25)</f>
        <v>103.1959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87.77247</v>
      </c>
      <c r="E30" s="117">
        <f t="shared" si="3"/>
        <v>15.42343</v>
      </c>
      <c r="F30" s="117">
        <f t="shared" si="3"/>
        <v>0</v>
      </c>
      <c r="G30" s="117">
        <f t="shared" si="3"/>
        <v>0</v>
      </c>
      <c r="H30" s="117">
        <f t="shared" si="3"/>
        <v>103.1959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87.77247</v>
      </c>
      <c r="E31" s="121">
        <f t="shared" si="4"/>
        <v>15.42343</v>
      </c>
      <c r="F31" s="121">
        <f t="shared" si="4"/>
        <v>0</v>
      </c>
      <c r="G31" s="121">
        <f t="shared" si="4"/>
        <v>0</v>
      </c>
      <c r="H31" s="121">
        <f t="shared" si="4"/>
        <v>103.1959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87.77247</v>
      </c>
      <c r="E37" s="125">
        <f t="shared" si="7"/>
        <v>15.42343</v>
      </c>
      <c r="F37" s="125">
        <f t="shared" si="7"/>
        <v>0</v>
      </c>
      <c r="G37" s="125">
        <f t="shared" si="7"/>
        <v>0</v>
      </c>
      <c r="H37" s="125">
        <f t="shared" si="7"/>
        <v>103.1959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87.77247</v>
      </c>
      <c r="E43" s="125">
        <f t="shared" si="10"/>
        <v>15.42343</v>
      </c>
      <c r="F43" s="125">
        <f t="shared" si="10"/>
        <v>0</v>
      </c>
      <c r="G43" s="125">
        <f t="shared" si="10"/>
        <v>0</v>
      </c>
      <c r="H43" s="125">
        <f t="shared" si="10"/>
        <v>103.1959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87.77247</v>
      </c>
      <c r="E49" s="125">
        <f t="shared" si="13"/>
        <v>15.42343</v>
      </c>
      <c r="F49" s="125">
        <f t="shared" si="13"/>
        <v>0</v>
      </c>
      <c r="G49" s="125">
        <f t="shared" si="13"/>
        <v>0</v>
      </c>
      <c r="H49" s="125">
        <f t="shared" si="13"/>
        <v>103.1959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87.77247</v>
      </c>
      <c r="E55" s="125">
        <f t="shared" si="16"/>
        <v>15.42343</v>
      </c>
      <c r="F55" s="125">
        <f t="shared" si="16"/>
        <v>0</v>
      </c>
      <c r="G55" s="125">
        <f t="shared" si="16"/>
        <v>0</v>
      </c>
      <c r="H55" s="125">
        <f t="shared" si="16"/>
        <v>103.1959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87.77247</v>
      </c>
      <c r="E61" s="125">
        <f t="shared" si="19"/>
        <v>15.42343</v>
      </c>
      <c r="F61" s="125">
        <f t="shared" si="19"/>
        <v>0</v>
      </c>
      <c r="G61" s="125">
        <f t="shared" si="19"/>
        <v>0</v>
      </c>
      <c r="H61" s="125">
        <f t="shared" si="19"/>
        <v>103.1959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2.19431</v>
      </c>
      <c r="E63" s="129">
        <f>ROUND(E61*2.5%,5)-0.00001</f>
        <v>0.38558</v>
      </c>
      <c r="F63" s="129"/>
      <c r="G63" s="129"/>
      <c r="H63" s="130">
        <f t="shared" ref="H63:H65" si="20">SUM(D63:G63)</f>
        <v>2.57989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2.19431</v>
      </c>
      <c r="E66" s="117">
        <f t="shared" si="21"/>
        <v>0.38558</v>
      </c>
      <c r="F66" s="117">
        <f t="shared" si="21"/>
        <v>0</v>
      </c>
      <c r="G66" s="117">
        <f t="shared" si="21"/>
        <v>0</v>
      </c>
      <c r="H66" s="117">
        <f t="shared" si="21"/>
        <v>2.57989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89.96678</v>
      </c>
      <c r="E67" s="121">
        <f t="shared" si="22"/>
        <v>15.80901</v>
      </c>
      <c r="F67" s="121">
        <f t="shared" si="22"/>
        <v>0</v>
      </c>
      <c r="G67" s="121">
        <f t="shared" si="22"/>
        <v>0</v>
      </c>
      <c r="H67" s="121">
        <f t="shared" si="22"/>
        <v>105.77579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1.70937</v>
      </c>
      <c r="E69" s="129">
        <f>ROUND(E67*1.9%,5)</f>
        <v>0.30037</v>
      </c>
      <c r="F69" s="129"/>
      <c r="G69" s="129"/>
      <c r="H69" s="130">
        <f>SUM(D69:G69)</f>
        <v>2.00974</v>
      </c>
      <c r="J69" s="136" t="s">
        <v>63</v>
      </c>
      <c r="K69" s="137">
        <f>(D31+E31)*1.019*1000+G76*1000</f>
        <v>122272.1321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17.11551</v>
      </c>
      <c r="H70" s="116">
        <f t="shared" ref="H70:H74" si="23">G70</f>
        <v>17.11551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1.70937</v>
      </c>
      <c r="E75" s="117">
        <f t="shared" si="24"/>
        <v>0.30037</v>
      </c>
      <c r="F75" s="117">
        <f t="shared" si="24"/>
        <v>0</v>
      </c>
      <c r="G75" s="117">
        <f t="shared" si="24"/>
        <v>17.11551</v>
      </c>
      <c r="H75" s="117">
        <f t="shared" si="24"/>
        <v>19.12525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91.67615</v>
      </c>
      <c r="E76" s="121">
        <f t="shared" si="25"/>
        <v>16.10938</v>
      </c>
      <c r="F76" s="121">
        <f t="shared" si="25"/>
        <v>0</v>
      </c>
      <c r="G76" s="121">
        <f t="shared" si="25"/>
        <v>17.11551</v>
      </c>
      <c r="H76" s="144">
        <f t="shared" si="25"/>
        <v>124.90104</v>
      </c>
      <c r="I76" s="169">
        <f>K69+K70</f>
        <v>122272.1321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2.67288</v>
      </c>
      <c r="H78" s="116">
        <f t="shared" ref="H78:H81" si="26">SUM(D78:G78)</f>
        <v>2.67288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4.90861</v>
      </c>
      <c r="H79" s="116">
        <f t="shared" si="26"/>
        <v>4.90861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7.58149</v>
      </c>
      <c r="H81" s="117">
        <f t="shared" si="26"/>
        <v>7.58149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91.67615</v>
      </c>
      <c r="E82" s="121">
        <f t="shared" si="28"/>
        <v>16.10938</v>
      </c>
      <c r="F82" s="121">
        <f t="shared" si="28"/>
        <v>0</v>
      </c>
      <c r="G82" s="121">
        <f t="shared" si="28"/>
        <v>24.697</v>
      </c>
      <c r="H82" s="121">
        <f t="shared" si="28"/>
        <v>132.48253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91.67615</v>
      </c>
      <c r="E88" s="125">
        <f t="shared" si="31"/>
        <v>16.10938</v>
      </c>
      <c r="F88" s="125">
        <f t="shared" si="31"/>
        <v>0</v>
      </c>
      <c r="G88" s="125">
        <f t="shared" si="31"/>
        <v>24.697</v>
      </c>
      <c r="H88" s="125">
        <f t="shared" si="31"/>
        <v>132.48253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04-Ф-Ст от 12.01.2026</v>
      </c>
      <c r="C90" s="147" t="s">
        <v>87</v>
      </c>
      <c r="D90" s="134"/>
      <c r="E90" s="134"/>
      <c r="F90" s="134"/>
      <c r="G90" s="113"/>
      <c r="H90" s="116">
        <f t="shared" ref="H90:H92" si="32">SUM(D90:G90)</f>
        <v>0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0</v>
      </c>
      <c r="H93" s="117">
        <f t="shared" si="33"/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91.67615</v>
      </c>
      <c r="E94" s="121">
        <f t="shared" si="34"/>
        <v>16.10938</v>
      </c>
      <c r="F94" s="121">
        <f t="shared" si="34"/>
        <v>0</v>
      </c>
      <c r="G94" s="121">
        <f t="shared" si="34"/>
        <v>24.697</v>
      </c>
      <c r="H94" s="121">
        <f>H93+H88</f>
        <v>132.48253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122.2721321</v>
      </c>
      <c r="K95" s="176">
        <f>J95*1.22+0.00001</f>
        <v>149.172011162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2.75028</v>
      </c>
      <c r="E96" s="134">
        <f t="shared" si="35"/>
        <v>0.48328</v>
      </c>
      <c r="F96" s="134">
        <f t="shared" si="35"/>
        <v>0</v>
      </c>
      <c r="G96" s="134">
        <f t="shared" si="35"/>
        <v>0.74091</v>
      </c>
      <c r="H96" s="116">
        <f t="shared" ref="H96:H98" si="36">SUM(D96:G96)</f>
        <v>3.97447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2.75028</v>
      </c>
      <c r="E99" s="152">
        <f t="shared" si="37"/>
        <v>0.48328</v>
      </c>
      <c r="F99" s="152">
        <f t="shared" si="37"/>
        <v>0</v>
      </c>
      <c r="G99" s="152">
        <f t="shared" si="37"/>
        <v>0.74091</v>
      </c>
      <c r="H99" s="152">
        <f t="shared" si="37"/>
        <v>3.97447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94.42643</v>
      </c>
      <c r="E100" s="154">
        <f t="shared" si="38"/>
        <v>16.59266</v>
      </c>
      <c r="F100" s="154">
        <f t="shared" si="38"/>
        <v>0</v>
      </c>
      <c r="G100" s="154">
        <f t="shared" si="38"/>
        <v>25.43791</v>
      </c>
      <c r="H100" s="154">
        <f t="shared" si="38"/>
        <v>136.457</v>
      </c>
      <c r="I100" s="180"/>
      <c r="J100" s="181">
        <v>124.85373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20.77381</v>
      </c>
      <c r="E102" s="134">
        <f t="shared" si="39"/>
        <v>3.65039</v>
      </c>
      <c r="F102" s="134">
        <f t="shared" si="39"/>
        <v>0</v>
      </c>
      <c r="G102" s="134">
        <f t="shared" si="39"/>
        <v>5.59634</v>
      </c>
      <c r="H102" s="121">
        <f t="shared" ref="H102:H104" si="40">SUM(D102:G102)</f>
        <v>30.02054</v>
      </c>
      <c r="I102" s="171"/>
      <c r="J102" s="182">
        <v>137.00646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20.77381</v>
      </c>
      <c r="E105" s="121">
        <f t="shared" si="41"/>
        <v>3.65039</v>
      </c>
      <c r="F105" s="121">
        <f t="shared" si="41"/>
        <v>0</v>
      </c>
      <c r="G105" s="121">
        <f t="shared" si="41"/>
        <v>5.59634</v>
      </c>
      <c r="H105" s="121">
        <f t="shared" si="41"/>
        <v>30.02054</v>
      </c>
      <c r="I105" s="183" t="s">
        <v>107</v>
      </c>
      <c r="J105" s="184">
        <f>(J102/1.03/1.0393-H90)/1.0214</f>
        <v>125.304607242143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115.20024</v>
      </c>
      <c r="E106" s="121">
        <f t="shared" si="42"/>
        <v>20.24305</v>
      </c>
      <c r="F106" s="121">
        <f t="shared" si="42"/>
        <v>0</v>
      </c>
      <c r="G106" s="121">
        <f t="shared" si="42"/>
        <v>31.03425</v>
      </c>
      <c r="H106" s="134">
        <f t="shared" si="42"/>
        <v>166.47754</v>
      </c>
      <c r="I106" s="183" t="s">
        <v>109</v>
      </c>
      <c r="J106" s="186">
        <f>J100-H90</f>
        <v>124.85373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C96" sqref="C9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/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/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>
        <v>2000</v>
      </c>
      <c r="E15" s="97"/>
      <c r="F15" s="79"/>
      <c r="G15" s="96"/>
      <c r="H15" s="96" t="str">
        <f>'ССР Т'!H15</f>
        <v>I-355461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tr">
        <f>'ССР Т'!C25</f>
        <v>Строительство ВЛИ</v>
      </c>
      <c r="D25" s="113"/>
      <c r="E25" s="114"/>
      <c r="F25" s="113"/>
      <c r="G25" s="115"/>
      <c r="H25" s="116">
        <f>SUM(D25:G25)</f>
        <v>0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tr">
        <f>'ССР Т'!C26</f>
        <v>Установка РЩ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0</v>
      </c>
      <c r="E30" s="117">
        <f>SUM(E25:E29)</f>
        <v>0</v>
      </c>
      <c r="F30" s="117">
        <f>SUM(F25:F29)</f>
        <v>0</v>
      </c>
      <c r="G30" s="117">
        <f>SUM(G25:G29)</f>
        <v>0</v>
      </c>
      <c r="H30" s="117">
        <f>SUM(H25:H29)</f>
        <v>0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0</v>
      </c>
      <c r="E31" s="121">
        <f>E23+E30</f>
        <v>0</v>
      </c>
      <c r="F31" s="121">
        <f>F23+F30</f>
        <v>0</v>
      </c>
      <c r="G31" s="121">
        <f>G23+G30</f>
        <v>0</v>
      </c>
      <c r="H31" s="121">
        <f>H23+H30</f>
        <v>0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0</v>
      </c>
      <c r="E37" s="125">
        <f>E31+E36</f>
        <v>0</v>
      </c>
      <c r="F37" s="125">
        <f>F31+F36</f>
        <v>0</v>
      </c>
      <c r="G37" s="125">
        <f>G31+G36</f>
        <v>0</v>
      </c>
      <c r="H37" s="125">
        <f>H31+H36</f>
        <v>0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0</v>
      </c>
      <c r="E43" s="125">
        <f>E37+E42</f>
        <v>0</v>
      </c>
      <c r="F43" s="125">
        <f>F37+F42</f>
        <v>0</v>
      </c>
      <c r="G43" s="125">
        <f>G37+G42</f>
        <v>0</v>
      </c>
      <c r="H43" s="125">
        <f>H37+H42</f>
        <v>0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0</v>
      </c>
      <c r="E49" s="125">
        <f>E43+E48</f>
        <v>0</v>
      </c>
      <c r="F49" s="125">
        <f>F43+F48</f>
        <v>0</v>
      </c>
      <c r="G49" s="125">
        <f>G43+G48</f>
        <v>0</v>
      </c>
      <c r="H49" s="125">
        <f>H43+H48</f>
        <v>0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0</v>
      </c>
      <c r="E55" s="125">
        <f>E49+E54</f>
        <v>0</v>
      </c>
      <c r="F55" s="125">
        <f>F49+F54</f>
        <v>0</v>
      </c>
      <c r="G55" s="125">
        <f>G49+G54</f>
        <v>0</v>
      </c>
      <c r="H55" s="125">
        <f>H49+H54</f>
        <v>0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0</v>
      </c>
      <c r="E61" s="125">
        <f>E55+E60</f>
        <v>0</v>
      </c>
      <c r="F61" s="125">
        <f>F55+F60</f>
        <v>0</v>
      </c>
      <c r="G61" s="125">
        <f>G55+G60</f>
        <v>0</v>
      </c>
      <c r="H61" s="125">
        <f>H55+H60</f>
        <v>0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0</v>
      </c>
      <c r="E63" s="129">
        <f>ROUND(E61*2.5%,5)</f>
        <v>0</v>
      </c>
      <c r="F63" s="129"/>
      <c r="G63" s="129"/>
      <c r="H63" s="130">
        <f t="shared" ref="H63:H65" si="0">SUM(D63:G63)</f>
        <v>0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0</v>
      </c>
      <c r="E66" s="117">
        <f>SUM(E63:E65)</f>
        <v>0</v>
      </c>
      <c r="F66" s="117">
        <f>SUM(F63:F65)</f>
        <v>0</v>
      </c>
      <c r="G66" s="117">
        <f>SUM(G63:G65)</f>
        <v>0</v>
      </c>
      <c r="H66" s="117">
        <f>SUM(H63:H65)</f>
        <v>0</v>
      </c>
    </row>
    <row r="67" s="75" customFormat="1" ht="18.75" spans="1:8">
      <c r="A67" s="118" t="s">
        <v>59</v>
      </c>
      <c r="B67" s="119"/>
      <c r="C67" s="120"/>
      <c r="D67" s="121">
        <f>D61+D66</f>
        <v>0</v>
      </c>
      <c r="E67" s="121">
        <f>E61+E66</f>
        <v>0</v>
      </c>
      <c r="F67" s="121">
        <f>F61+F66</f>
        <v>0</v>
      </c>
      <c r="G67" s="121">
        <f>G61+G66</f>
        <v>0</v>
      </c>
      <c r="H67" s="121">
        <f>H61+H66</f>
        <v>0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</v>
      </c>
      <c r="E69" s="129">
        <f>ROUND(E67*1.9%,5)</f>
        <v>0</v>
      </c>
      <c r="F69" s="129"/>
      <c r="G69" s="129"/>
      <c r="H69" s="130">
        <f t="shared" ref="H69" si="1">SUM(D69:G69)</f>
        <v>0</v>
      </c>
      <c r="J69" s="136" t="s">
        <v>63</v>
      </c>
      <c r="K69" s="137">
        <f>ROUND((D31+E31)*1000*1.019+(H70+H71+H72+H73+H74)*1000,2)</f>
        <v>0</v>
      </c>
    </row>
    <row r="70" s="75" customFormat="1" ht="24.95" customHeight="1" spans="1:11">
      <c r="A70" s="131">
        <v>4</v>
      </c>
      <c r="B70" s="111" t="s">
        <v>64</v>
      </c>
      <c r="C70" s="112" t="str">
        <f>'ССР Т'!C70</f>
        <v>ПНР ВЛИ</v>
      </c>
      <c r="D70" s="134"/>
      <c r="E70" s="134"/>
      <c r="F70" s="134"/>
      <c r="G70" s="113"/>
      <c r="H70" s="116">
        <f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tr">
        <f>'ССР Т'!C71</f>
        <v>ПНР РЩ</v>
      </c>
      <c r="D71" s="134"/>
      <c r="E71" s="134"/>
      <c r="F71" s="134"/>
      <c r="G71" s="113"/>
      <c r="H71" s="116">
        <f>G71</f>
        <v>0</v>
      </c>
      <c r="J71" s="136" t="s">
        <v>66</v>
      </c>
      <c r="K71" s="137">
        <f>F30*1000</f>
        <v>0</v>
      </c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0</v>
      </c>
      <c r="E75" s="117">
        <f>SUM(E69:E74)</f>
        <v>0</v>
      </c>
      <c r="F75" s="117">
        <f>SUM(F69:F74)</f>
        <v>0</v>
      </c>
      <c r="G75" s="117">
        <f>SUM(G69:G74)</f>
        <v>0</v>
      </c>
      <c r="H75" s="117">
        <f>SUM(H69:H74)</f>
        <v>0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0</v>
      </c>
      <c r="E76" s="121">
        <f>E67+E75</f>
        <v>0</v>
      </c>
      <c r="F76" s="121">
        <f>F67+F75</f>
        <v>0</v>
      </c>
      <c r="G76" s="121">
        <f>G67+G75</f>
        <v>0</v>
      </c>
      <c r="H76" s="144">
        <f>H67+H75</f>
        <v>0</v>
      </c>
      <c r="I76" s="169">
        <f>K69+K70</f>
        <v>0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0</v>
      </c>
      <c r="H78" s="116">
        <f>SUM(D78:G78)</f>
        <v>0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0</v>
      </c>
      <c r="H79" s="116">
        <f>SUM(D79:G79)</f>
        <v>0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0</v>
      </c>
      <c r="H81" s="117">
        <f>SUM(D81:G81)</f>
        <v>0</v>
      </c>
    </row>
    <row r="82" s="75" customFormat="1" ht="18.75" spans="1:8">
      <c r="A82" s="118" t="s">
        <v>83</v>
      </c>
      <c r="B82" s="119"/>
      <c r="C82" s="120"/>
      <c r="D82" s="121">
        <f>D76+D81</f>
        <v>0</v>
      </c>
      <c r="E82" s="121">
        <f>E76+E81</f>
        <v>0</v>
      </c>
      <c r="F82" s="121">
        <f>F76+F81</f>
        <v>0</v>
      </c>
      <c r="G82" s="121">
        <f>G76+G81</f>
        <v>0</v>
      </c>
      <c r="H82" s="121">
        <f>H76+H81</f>
        <v>0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0</v>
      </c>
      <c r="E88" s="125">
        <f>E82+E87</f>
        <v>0</v>
      </c>
      <c r="F88" s="125">
        <f>F82+F87</f>
        <v>0</v>
      </c>
      <c r="G88" s="125">
        <f>G82+G87</f>
        <v>0</v>
      </c>
      <c r="H88" s="125">
        <f>H82+H87</f>
        <v>0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21" spans="1:10">
      <c r="A90" s="103">
        <v>7</v>
      </c>
      <c r="B90" s="146">
        <f>D14</f>
        <v>0</v>
      </c>
      <c r="C90" s="147" t="s">
        <v>87</v>
      </c>
      <c r="D90" s="134"/>
      <c r="E90" s="134"/>
      <c r="F90" s="134"/>
      <c r="G90" s="113"/>
      <c r="H90" s="116">
        <f>SUM(D90:G90)</f>
        <v>0</v>
      </c>
      <c r="I90" s="161">
        <v>26278.5</v>
      </c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0</v>
      </c>
      <c r="H93" s="117">
        <f>SUM(H90:H92)</f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0</v>
      </c>
      <c r="E94" s="121">
        <f>E88+E93</f>
        <v>0</v>
      </c>
      <c r="F94" s="121">
        <f>F88+F93</f>
        <v>0</v>
      </c>
      <c r="G94" s="121">
        <f>G88+G93</f>
        <v>0</v>
      </c>
      <c r="H94" s="121">
        <f>H93+H88</f>
        <v>0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0</v>
      </c>
      <c r="K95" s="176">
        <f>J95*1.2</f>
        <v>0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0</v>
      </c>
      <c r="E96" s="134">
        <f t="shared" ref="E96:G96" si="2">ROUND(E94*0.03,5)</f>
        <v>0</v>
      </c>
      <c r="F96" s="134">
        <f t="shared" si="2"/>
        <v>0</v>
      </c>
      <c r="G96" s="134">
        <f t="shared" si="2"/>
        <v>0</v>
      </c>
      <c r="H96" s="116">
        <f>SUM(D96:G96)</f>
        <v>0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0</v>
      </c>
      <c r="E99" s="152">
        <f>SUM(E96:E98)</f>
        <v>0</v>
      </c>
      <c r="F99" s="152">
        <f>SUM(F96:F98)</f>
        <v>0</v>
      </c>
      <c r="G99" s="152">
        <f>SUM(G96:G98)</f>
        <v>0</v>
      </c>
      <c r="H99" s="152">
        <f>SUM(H96:H98)</f>
        <v>0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0</v>
      </c>
      <c r="E100" s="154">
        <f>E94+E99</f>
        <v>0</v>
      </c>
      <c r="F100" s="154">
        <f>F94+F99</f>
        <v>0</v>
      </c>
      <c r="G100" s="154">
        <f>G94+G99</f>
        <v>0</v>
      </c>
      <c r="H100" s="154">
        <f>H94+H99</f>
        <v>0</v>
      </c>
      <c r="I100" s="180"/>
      <c r="J100" s="181">
        <v>146.11628</v>
      </c>
      <c r="K100" s="161">
        <v>161342.13</v>
      </c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0</v>
      </c>
      <c r="E102" s="134">
        <f>ROUND(E100*0.22,5)</f>
        <v>0</v>
      </c>
      <c r="F102" s="134">
        <f>ROUND(F100*0.22,5)</f>
        <v>0</v>
      </c>
      <c r="G102" s="134">
        <f>ROUND(G100*0.22,5)</f>
        <v>0</v>
      </c>
      <c r="H102" s="121">
        <f>SUM(D102:G102)</f>
        <v>0</v>
      </c>
      <c r="I102" s="171"/>
      <c r="J102" s="182">
        <v>171.13091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0</v>
      </c>
      <c r="E105" s="121">
        <f>SUM(E102:E104)</f>
        <v>0</v>
      </c>
      <c r="F105" s="121">
        <f>SUM(F102:F104)</f>
        <v>0</v>
      </c>
      <c r="G105" s="121">
        <f>SUM(G102:G104)</f>
        <v>0</v>
      </c>
      <c r="H105" s="121">
        <f>SUM(H102:H104)</f>
        <v>0</v>
      </c>
      <c r="I105" s="183" t="s">
        <v>107</v>
      </c>
      <c r="J105" s="184">
        <f>(J102/1.03/1.0393-H90)/1.0214</f>
        <v>156.514455336928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0</v>
      </c>
      <c r="E106" s="121">
        <f>E100+E105</f>
        <v>0</v>
      </c>
      <c r="F106" s="121">
        <f>F100+F105</f>
        <v>0</v>
      </c>
      <c r="G106" s="121">
        <f>G100+G105</f>
        <v>0</v>
      </c>
      <c r="H106" s="134">
        <f>H100+H105</f>
        <v>0</v>
      </c>
      <c r="I106" s="183" t="s">
        <v>109</v>
      </c>
      <c r="J106" s="186">
        <f>J100-H90</f>
        <v>146.11628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C96" sqref="C96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4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5" t="s">
        <v>112</v>
      </c>
      <c r="M1" s="66"/>
      <c r="N1" s="66"/>
      <c r="O1" s="66"/>
      <c r="P1" s="66"/>
      <c r="Q1" s="66"/>
    </row>
    <row r="2" ht="45" spans="1:17">
      <c r="A2" s="55" t="s">
        <v>113</v>
      </c>
      <c r="B2" s="56" t="s">
        <v>114</v>
      </c>
      <c r="C2" s="55" t="s">
        <v>115</v>
      </c>
      <c r="D2" s="57" t="s">
        <v>116</v>
      </c>
      <c r="E2" s="55" t="s">
        <v>117</v>
      </c>
      <c r="F2" s="58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67"/>
      <c r="L2" s="68" t="s">
        <v>123</v>
      </c>
      <c r="M2" s="68" t="s">
        <v>124</v>
      </c>
      <c r="N2" s="68" t="s">
        <v>125</v>
      </c>
      <c r="O2" s="68" t="s">
        <v>126</v>
      </c>
      <c r="P2" s="68" t="s">
        <v>127</v>
      </c>
      <c r="Q2" s="68" t="s">
        <v>128</v>
      </c>
    </row>
    <row r="3" ht="18.75" spans="1:17">
      <c r="A3" s="60" t="str">
        <f>'ССР Т'!H15</f>
        <v>I-355461</v>
      </c>
      <c r="B3" s="61"/>
      <c r="C3" s="61" t="s">
        <v>129</v>
      </c>
      <c r="D3" s="62" t="s">
        <v>130</v>
      </c>
      <c r="E3" s="63"/>
      <c r="F3" s="60"/>
      <c r="G3" s="64" t="s">
        <v>131</v>
      </c>
      <c r="H3" s="61"/>
      <c r="I3" s="69">
        <v>2026</v>
      </c>
      <c r="J3" s="69">
        <v>3</v>
      </c>
      <c r="K3" s="61"/>
      <c r="L3" s="70"/>
      <c r="M3" s="70"/>
      <c r="N3" s="70"/>
      <c r="O3" s="70">
        <f>SUM('ССР позиции'!Y3:Y18)</f>
        <v>273725.17</v>
      </c>
      <c r="P3" s="70">
        <f>'ССР позиции'!Y19</f>
        <v>60219.54</v>
      </c>
      <c r="Q3" s="70">
        <f>SUM('ССР позиции'!Y3:Y19)</f>
        <v>333944.71</v>
      </c>
    </row>
    <row r="4" spans="12:17">
      <c r="L4" s="71"/>
      <c r="M4" s="71"/>
      <c r="N4" s="71"/>
      <c r="O4" s="71">
        <f>'ССР Т'!H100*1000</f>
        <v>273725.17</v>
      </c>
      <c r="P4" s="71">
        <f>'ССР Т'!H102*1000</f>
        <v>60219.54</v>
      </c>
      <c r="Q4" s="71">
        <f>'ССР Т'!H106*1000</f>
        <v>333944.71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 horizont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="85" zoomScaleNormal="100" workbookViewId="0">
      <pane xSplit="6" ySplit="2" topLeftCell="G3" activePane="bottomRight" state="frozen"/>
      <selection/>
      <selection pane="topRight"/>
      <selection pane="bottomLeft"/>
      <selection pane="bottomRight" activeCell="C96" sqref="C96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50.7777777777778" style="6" customWidth="1"/>
    <col min="7" max="7" width="16" style="6" customWidth="1"/>
    <col min="8" max="8" width="13.3333333333333" style="6" customWidth="1"/>
    <col min="9" max="9" width="14" style="6" customWidth="1"/>
    <col min="10" max="10" width="12.8333333333333" style="6" customWidth="1"/>
    <col min="11" max="11" width="13" style="6" customWidth="1"/>
    <col min="12" max="12" width="12.5" style="6" customWidth="1"/>
    <col min="13" max="13" width="12.3333333333333" style="6" customWidth="1"/>
    <col min="14" max="14" width="15.3333333333333" style="6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132</v>
      </c>
      <c r="H1" s="8"/>
      <c r="I1" s="8"/>
      <c r="J1" s="8"/>
      <c r="K1" s="8"/>
      <c r="L1" s="8"/>
      <c r="M1" s="8"/>
      <c r="N1" s="8"/>
      <c r="O1" s="24" t="s">
        <v>133</v>
      </c>
      <c r="P1" s="24"/>
      <c r="Q1" s="24"/>
      <c r="R1" s="24"/>
      <c r="S1" s="24"/>
      <c r="T1" s="24"/>
      <c r="U1" s="24"/>
      <c r="V1" s="24"/>
      <c r="X1" s="40" t="s">
        <v>112</v>
      </c>
      <c r="Y1" s="51"/>
    </row>
    <row r="2" ht="60.75" spans="1:25">
      <c r="A2" s="9" t="s">
        <v>113</v>
      </c>
      <c r="B2" s="10" t="s">
        <v>114</v>
      </c>
      <c r="C2" s="11" t="s">
        <v>134</v>
      </c>
      <c r="D2" s="11" t="s">
        <v>135</v>
      </c>
      <c r="E2" s="11" t="s">
        <v>17</v>
      </c>
      <c r="F2" s="11" t="s">
        <v>18</v>
      </c>
      <c r="G2" s="12" t="s">
        <v>136</v>
      </c>
      <c r="H2" s="12" t="s">
        <v>137</v>
      </c>
      <c r="I2" s="12" t="s">
        <v>138</v>
      </c>
      <c r="J2" s="25" t="s">
        <v>139</v>
      </c>
      <c r="K2" s="25" t="s">
        <v>140</v>
      </c>
      <c r="L2" s="25" t="s">
        <v>141</v>
      </c>
      <c r="M2" s="25" t="s">
        <v>142</v>
      </c>
      <c r="N2" s="25" t="s">
        <v>143</v>
      </c>
      <c r="O2" s="26" t="s">
        <v>136</v>
      </c>
      <c r="P2" s="27" t="s">
        <v>137</v>
      </c>
      <c r="Q2" s="27" t="s">
        <v>138</v>
      </c>
      <c r="R2" s="26" t="s">
        <v>139</v>
      </c>
      <c r="S2" s="26" t="s">
        <v>140</v>
      </c>
      <c r="T2" s="26" t="s">
        <v>141</v>
      </c>
      <c r="U2" s="26" t="s">
        <v>142</v>
      </c>
      <c r="V2" s="26" t="s">
        <v>143</v>
      </c>
      <c r="X2" s="41" t="s">
        <v>144</v>
      </c>
      <c r="Y2" s="52" t="s">
        <v>145</v>
      </c>
    </row>
    <row r="3" s="5" customFormat="1" spans="1:25">
      <c r="A3" s="13" t="str">
        <f>'ССР Т'!H15</f>
        <v>I-355461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Строительство ВЛИ</v>
      </c>
      <c r="G3" s="17"/>
      <c r="H3" s="17"/>
      <c r="I3" s="17"/>
      <c r="J3" s="28"/>
      <c r="K3" s="28"/>
      <c r="L3" s="28"/>
      <c r="M3" s="28"/>
      <c r="N3" s="29"/>
      <c r="O3" s="30">
        <f>'ССР Т'!D25*1000</f>
        <v>190922.39</v>
      </c>
      <c r="P3" s="30">
        <f>'ССР Т'!E25*1000</f>
        <v>28983.78</v>
      </c>
      <c r="Q3" s="30">
        <f>'ССР Т'!F25*1000</f>
        <v>0</v>
      </c>
      <c r="R3" s="42">
        <v>0</v>
      </c>
      <c r="S3" s="42">
        <v>0</v>
      </c>
      <c r="T3" s="42">
        <v>0</v>
      </c>
      <c r="U3" s="42">
        <v>0</v>
      </c>
      <c r="V3" s="43">
        <v>0</v>
      </c>
      <c r="W3" s="44"/>
      <c r="X3" s="45"/>
      <c r="Y3" s="53">
        <f t="shared" ref="Y3:Y19" si="0">SUM(O3:V3)</f>
        <v>219906.17</v>
      </c>
    </row>
    <row r="4" s="5" customFormat="1" hidden="1" spans="1:25">
      <c r="A4" s="13" t="str">
        <f>A3</f>
        <v>I-355461</v>
      </c>
      <c r="B4" s="13"/>
      <c r="C4" s="14">
        <v>2</v>
      </c>
      <c r="D4" s="14">
        <f t="shared" ref="D4:D19" si="1">IF(A4=A3,D3+1,1)</f>
        <v>2</v>
      </c>
      <c r="E4" s="15" t="str">
        <f>'ССР Т'!B26</f>
        <v>02-01-02</v>
      </c>
      <c r="F4" s="16" t="str">
        <f>'ССР Т'!C26</f>
        <v>Установка РЩ</v>
      </c>
      <c r="G4" s="17"/>
      <c r="H4" s="17"/>
      <c r="I4" s="17"/>
      <c r="J4" s="31"/>
      <c r="K4" s="31"/>
      <c r="L4" s="31"/>
      <c r="M4" s="31"/>
      <c r="N4" s="32"/>
      <c r="O4" s="30">
        <f>'ССР Т'!D26*1000</f>
        <v>0</v>
      </c>
      <c r="P4" s="30">
        <f>'ССР Т'!E26*1000</f>
        <v>0</v>
      </c>
      <c r="Q4" s="30">
        <f>'ССР Т'!F26*1000</f>
        <v>0</v>
      </c>
      <c r="R4" s="46"/>
      <c r="S4" s="46"/>
      <c r="T4" s="46"/>
      <c r="U4" s="46"/>
      <c r="V4" s="47"/>
      <c r="X4" s="45"/>
      <c r="Y4" s="53">
        <f t="shared" si="0"/>
        <v>0</v>
      </c>
    </row>
    <row r="5" s="5" customFormat="1" hidden="1" spans="1:25">
      <c r="A5" s="13" t="str">
        <f>A4</f>
        <v>I-355461</v>
      </c>
      <c r="B5" s="13"/>
      <c r="C5" s="14">
        <v>2</v>
      </c>
      <c r="D5" s="14">
        <f t="shared" si="1"/>
        <v>3</v>
      </c>
      <c r="E5" s="15" t="str">
        <f>'ССР Т'!B27</f>
        <v>02-01-03</v>
      </c>
      <c r="F5" s="16" t="str">
        <f>'ССР Т'!C27</f>
        <v>Строительство ТП</v>
      </c>
      <c r="G5" s="17"/>
      <c r="H5" s="17"/>
      <c r="I5" s="17"/>
      <c r="J5" s="31"/>
      <c r="K5" s="31"/>
      <c r="L5" s="31"/>
      <c r="M5" s="31"/>
      <c r="N5" s="32"/>
      <c r="O5" s="30">
        <f>'ССР Т'!D27*1000</f>
        <v>0</v>
      </c>
      <c r="P5" s="30">
        <f>'ССР Т'!E27*1000</f>
        <v>0</v>
      </c>
      <c r="Q5" s="30">
        <f>'ССР Т'!F27*1000</f>
        <v>0</v>
      </c>
      <c r="R5" s="46"/>
      <c r="S5" s="46"/>
      <c r="T5" s="46"/>
      <c r="U5" s="46"/>
      <c r="V5" s="47"/>
      <c r="X5" s="45"/>
      <c r="Y5" s="53">
        <f t="shared" ref="Y5" si="2">SUM(O5:V5)</f>
        <v>0</v>
      </c>
    </row>
    <row r="6" s="5" customFormat="1" hidden="1" spans="1:25">
      <c r="A6" s="13" t="str">
        <f>A3</f>
        <v>I-355461</v>
      </c>
      <c r="B6" s="13"/>
      <c r="C6" s="14">
        <v>2</v>
      </c>
      <c r="D6" s="14">
        <f t="shared" si="1"/>
        <v>4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31"/>
      <c r="K6" s="31"/>
      <c r="L6" s="31"/>
      <c r="M6" s="31"/>
      <c r="N6" s="32"/>
      <c r="O6" s="30">
        <f>'ССР Т'!D28*1000</f>
        <v>0</v>
      </c>
      <c r="P6" s="30">
        <f>'ССР Т'!E28*1000</f>
        <v>0</v>
      </c>
      <c r="Q6" s="30">
        <f>'ССР Т'!F28*1000</f>
        <v>0</v>
      </c>
      <c r="R6" s="46"/>
      <c r="S6" s="46"/>
      <c r="T6" s="46"/>
      <c r="U6" s="46"/>
      <c r="V6" s="47"/>
      <c r="X6" s="45"/>
      <c r="Y6" s="53">
        <f t="shared" si="0"/>
        <v>0</v>
      </c>
    </row>
    <row r="7" s="5" customFormat="1" hidden="1" spans="1:25">
      <c r="A7" s="13" t="str">
        <f>A4</f>
        <v>I-355461</v>
      </c>
      <c r="B7" s="13"/>
      <c r="C7" s="14">
        <v>2</v>
      </c>
      <c r="D7" s="14">
        <f t="shared" si="1"/>
        <v>5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31"/>
      <c r="K7" s="31"/>
      <c r="L7" s="31"/>
      <c r="M7" s="31"/>
      <c r="N7" s="32"/>
      <c r="O7" s="30">
        <f>'ССР Т'!D29*1000</f>
        <v>0</v>
      </c>
      <c r="P7" s="30">
        <f>'ССР Т'!E29*1000</f>
        <v>0</v>
      </c>
      <c r="Q7" s="30">
        <f>'ССР Т'!F29*1000</f>
        <v>0</v>
      </c>
      <c r="R7" s="46"/>
      <c r="S7" s="46"/>
      <c r="T7" s="46"/>
      <c r="U7" s="46"/>
      <c r="V7" s="47"/>
      <c r="X7" s="45"/>
      <c r="Y7" s="53">
        <f t="shared" ref="Y7" si="3">SUM(O7:V7)</f>
        <v>0</v>
      </c>
    </row>
    <row r="8" s="5" customFormat="1" ht="30" spans="1:25">
      <c r="A8" s="13" t="str">
        <f>A3</f>
        <v>I-355461</v>
      </c>
      <c r="B8" s="13"/>
      <c r="C8" s="14">
        <v>8</v>
      </c>
      <c r="D8" s="14">
        <v>2</v>
      </c>
      <c r="E8" s="18" t="s">
        <v>56</v>
      </c>
      <c r="F8" s="16" t="s">
        <v>57</v>
      </c>
      <c r="G8" s="17"/>
      <c r="H8" s="17"/>
      <c r="I8" s="17"/>
      <c r="J8" s="17"/>
      <c r="K8" s="17"/>
      <c r="L8" s="17"/>
      <c r="M8" s="17"/>
      <c r="N8" s="33"/>
      <c r="O8" s="30">
        <f>'ССР Т'!D63*1000</f>
        <v>4773.06</v>
      </c>
      <c r="P8" s="30">
        <f>'ССР Т'!E63*1000</f>
        <v>724.59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48">
        <v>0</v>
      </c>
      <c r="X8" s="45"/>
      <c r="Y8" s="53">
        <f t="shared" si="0"/>
        <v>5497.65</v>
      </c>
    </row>
    <row r="9" s="5" customFormat="1" ht="40" customHeight="1" spans="1:25">
      <c r="A9" s="13" t="str">
        <f>A8</f>
        <v>I-355461</v>
      </c>
      <c r="B9" s="13"/>
      <c r="C9" s="14">
        <v>9</v>
      </c>
      <c r="D9" s="14">
        <f t="shared" si="1"/>
        <v>3</v>
      </c>
      <c r="E9" s="18" t="s">
        <v>61</v>
      </c>
      <c r="F9" s="16" t="s">
        <v>146</v>
      </c>
      <c r="G9" s="19"/>
      <c r="H9" s="17"/>
      <c r="I9" s="17"/>
      <c r="J9" s="17"/>
      <c r="K9" s="17"/>
      <c r="L9" s="17"/>
      <c r="M9" s="17"/>
      <c r="N9" s="34"/>
      <c r="O9" s="35">
        <f>'ССР Т'!D69*1000</f>
        <v>3718.21</v>
      </c>
      <c r="P9" s="30">
        <f>'ССР Т'!E69*1000</f>
        <v>564.46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48">
        <v>0</v>
      </c>
      <c r="X9" s="45"/>
      <c r="Y9" s="53">
        <f t="shared" si="0"/>
        <v>4282.67</v>
      </c>
    </row>
    <row r="10" s="5" customFormat="1" spans="1:25">
      <c r="A10" s="13" t="str">
        <f t="shared" ref="A10:A19" si="4">A9</f>
        <v>I-355461</v>
      </c>
      <c r="B10" s="13"/>
      <c r="C10" s="14">
        <v>9</v>
      </c>
      <c r="D10" s="14">
        <f t="shared" si="1"/>
        <v>4</v>
      </c>
      <c r="E10" s="15" t="str">
        <f>'ССР Т'!B70</f>
        <v>09-01-01</v>
      </c>
      <c r="F10" s="16" t="str">
        <f>'ССР Т'!C70</f>
        <v>ПНР ВЛИ</v>
      </c>
      <c r="G10" s="19"/>
      <c r="H10" s="17"/>
      <c r="I10" s="17"/>
      <c r="J10" s="17"/>
      <c r="K10" s="17"/>
      <c r="L10" s="17"/>
      <c r="M10" s="17"/>
      <c r="N10" s="34"/>
      <c r="O10" s="35">
        <v>0</v>
      </c>
      <c r="P10" s="30">
        <v>0</v>
      </c>
      <c r="Q10" s="30">
        <v>0</v>
      </c>
      <c r="R10" s="30">
        <v>0</v>
      </c>
      <c r="S10" s="30">
        <f>'ССР Т'!G70*1000</f>
        <v>17115.51</v>
      </c>
      <c r="T10" s="30">
        <v>0</v>
      </c>
      <c r="U10" s="30">
        <v>0</v>
      </c>
      <c r="V10" s="48">
        <v>0</v>
      </c>
      <c r="X10" s="45"/>
      <c r="Y10" s="53">
        <f t="shared" si="0"/>
        <v>17115.51</v>
      </c>
    </row>
    <row r="11" s="5" customFormat="1" hidden="1" spans="1:25">
      <c r="A11" s="13" t="str">
        <f>A3</f>
        <v>I-355461</v>
      </c>
      <c r="B11" s="13"/>
      <c r="C11" s="14">
        <v>9</v>
      </c>
      <c r="D11" s="14">
        <f t="shared" si="1"/>
        <v>5</v>
      </c>
      <c r="E11" s="15" t="str">
        <f>'ССР Т'!B71</f>
        <v>09-01-02</v>
      </c>
      <c r="F11" s="16" t="str">
        <f>'ССР Т'!C71</f>
        <v>ПНР РЩ</v>
      </c>
      <c r="G11" s="19"/>
      <c r="H11" s="17"/>
      <c r="I11" s="17"/>
      <c r="J11" s="17"/>
      <c r="K11" s="17"/>
      <c r="L11" s="17"/>
      <c r="M11" s="17"/>
      <c r="N11" s="34"/>
      <c r="O11" s="35"/>
      <c r="P11" s="30"/>
      <c r="Q11" s="30"/>
      <c r="R11" s="30"/>
      <c r="S11" s="30">
        <f>'ССР Т'!G71*1000</f>
        <v>0</v>
      </c>
      <c r="T11" s="30"/>
      <c r="U11" s="30"/>
      <c r="V11" s="48"/>
      <c r="X11" s="45"/>
      <c r="Y11" s="53">
        <f t="shared" si="0"/>
        <v>0</v>
      </c>
    </row>
    <row r="12" s="5" customFormat="1" hidden="1" customHeight="1" spans="1:25">
      <c r="A12" s="13" t="str">
        <f>A3</f>
        <v>I-355461</v>
      </c>
      <c r="B12" s="13"/>
      <c r="C12" s="14">
        <v>9</v>
      </c>
      <c r="D12" s="14">
        <f t="shared" si="1"/>
        <v>6</v>
      </c>
      <c r="E12" s="15" t="str">
        <f>'ССР Т'!B72</f>
        <v>09-01-03</v>
      </c>
      <c r="F12" s="16" t="str">
        <f>'ССР Т'!C72</f>
        <v>ПНР ТП</v>
      </c>
      <c r="G12" s="19"/>
      <c r="H12" s="17"/>
      <c r="I12" s="17"/>
      <c r="J12" s="17"/>
      <c r="K12" s="17"/>
      <c r="L12" s="17"/>
      <c r="M12" s="17"/>
      <c r="N12" s="34"/>
      <c r="O12" s="35"/>
      <c r="P12" s="30"/>
      <c r="Q12" s="30"/>
      <c r="R12" s="30"/>
      <c r="S12" s="30">
        <f>'ССР Т'!G72*1000</f>
        <v>0</v>
      </c>
      <c r="T12" s="30"/>
      <c r="U12" s="30"/>
      <c r="V12" s="48"/>
      <c r="X12" s="45"/>
      <c r="Y12" s="53">
        <f t="shared" si="0"/>
        <v>0</v>
      </c>
    </row>
    <row r="13" s="5" customFormat="1" hidden="1" customHeight="1" spans="1:25">
      <c r="A13" s="13" t="str">
        <f>A3</f>
        <v>I-355461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4"/>
      <c r="O13" s="35"/>
      <c r="P13" s="30"/>
      <c r="Q13" s="30"/>
      <c r="R13" s="30"/>
      <c r="S13" s="30">
        <f>'ССР Т'!G73*1000</f>
        <v>0</v>
      </c>
      <c r="T13" s="30"/>
      <c r="U13" s="30"/>
      <c r="V13" s="48"/>
      <c r="X13" s="45"/>
      <c r="Y13" s="53">
        <f t="shared" si="0"/>
        <v>0</v>
      </c>
    </row>
    <row r="14" s="5" customFormat="1" hidden="1" spans="1:25">
      <c r="A14" s="13" t="str">
        <f>A4</f>
        <v>I-355461</v>
      </c>
      <c r="B14" s="13"/>
      <c r="C14" s="14">
        <v>9</v>
      </c>
      <c r="D14" s="14">
        <f>IF(A14=A12,D12+1,1)</f>
        <v>7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4"/>
      <c r="O14" s="35"/>
      <c r="P14" s="30"/>
      <c r="Q14" s="30"/>
      <c r="R14" s="30"/>
      <c r="S14" s="30">
        <f>'ССР Т'!G74*1000</f>
        <v>0</v>
      </c>
      <c r="T14" s="30"/>
      <c r="U14" s="30"/>
      <c r="V14" s="48"/>
      <c r="X14" s="45"/>
      <c r="Y14" s="53">
        <f t="shared" ref="Y14" si="5">SUM(O14:V14)</f>
        <v>0</v>
      </c>
    </row>
    <row r="15" s="5" customFormat="1" ht="30" spans="1:25">
      <c r="A15" s="13" t="str">
        <f>A10</f>
        <v>I-355461</v>
      </c>
      <c r="B15" s="13"/>
      <c r="C15" s="14">
        <v>10</v>
      </c>
      <c r="D15" s="14">
        <v>5</v>
      </c>
      <c r="E15" s="20" t="s">
        <v>147</v>
      </c>
      <c r="F15" s="16" t="s">
        <v>148</v>
      </c>
      <c r="G15" s="19"/>
      <c r="H15" s="17"/>
      <c r="I15" s="17"/>
      <c r="J15" s="17"/>
      <c r="K15" s="17"/>
      <c r="L15" s="17"/>
      <c r="M15" s="17"/>
      <c r="N15" s="34"/>
      <c r="O15" s="35">
        <v>0</v>
      </c>
      <c r="P15" s="30">
        <v>0</v>
      </c>
      <c r="Q15" s="30">
        <v>0</v>
      </c>
      <c r="R15" s="30">
        <v>0</v>
      </c>
      <c r="S15" s="30">
        <v>0</v>
      </c>
      <c r="T15" s="30">
        <f>'ССР Т'!H78*1000</f>
        <v>5281.56</v>
      </c>
      <c r="U15" s="30">
        <v>0</v>
      </c>
      <c r="V15" s="48">
        <v>0</v>
      </c>
      <c r="X15" s="45"/>
      <c r="Y15" s="53">
        <f t="shared" si="0"/>
        <v>5281.56</v>
      </c>
    </row>
    <row r="16" s="5" customFormat="1" ht="30" spans="1:25">
      <c r="A16" s="13" t="str">
        <f t="shared" si="4"/>
        <v>I-355461</v>
      </c>
      <c r="B16" s="13"/>
      <c r="C16" s="14">
        <v>10</v>
      </c>
      <c r="D16" s="14">
        <f t="shared" si="1"/>
        <v>6</v>
      </c>
      <c r="E16" s="20" t="s">
        <v>80</v>
      </c>
      <c r="F16" s="16" t="s">
        <v>81</v>
      </c>
      <c r="G16" s="19"/>
      <c r="H16" s="17"/>
      <c r="I16" s="17"/>
      <c r="J16" s="17"/>
      <c r="K16" s="17"/>
      <c r="L16" s="17"/>
      <c r="M16" s="17"/>
      <c r="N16" s="34"/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f>'ССР Т'!G79*1000</f>
        <v>9849.43</v>
      </c>
      <c r="U16" s="37">
        <v>0</v>
      </c>
      <c r="V16" s="48">
        <v>0</v>
      </c>
      <c r="X16" s="45"/>
      <c r="Y16" s="53">
        <f t="shared" si="0"/>
        <v>9849.43</v>
      </c>
    </row>
    <row r="17" s="5" customFormat="1" spans="1:25">
      <c r="A17" s="13" t="str">
        <f t="shared" si="4"/>
        <v>I-355461</v>
      </c>
      <c r="B17" s="13"/>
      <c r="C17" s="14">
        <v>12</v>
      </c>
      <c r="D17" s="14">
        <f t="shared" si="1"/>
        <v>7</v>
      </c>
      <c r="E17" s="20" t="str">
        <f>'ССР Т'!D14</f>
        <v>Договор № 04-Ф-Ст от 12.01.2026</v>
      </c>
      <c r="F17" s="16" t="s">
        <v>149</v>
      </c>
      <c r="G17" s="19"/>
      <c r="H17" s="17"/>
      <c r="I17" s="17"/>
      <c r="J17" s="17"/>
      <c r="K17" s="17"/>
      <c r="L17" s="17"/>
      <c r="M17" s="17"/>
      <c r="N17" s="34"/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>'ССР Т'!G90*1000</f>
        <v>3819.61</v>
      </c>
      <c r="V17" s="48">
        <v>0</v>
      </c>
      <c r="X17" s="45"/>
      <c r="Y17" s="53">
        <f t="shared" si="0"/>
        <v>3819.61</v>
      </c>
    </row>
    <row r="18" s="5" customFormat="1" ht="30" spans="1:25">
      <c r="A18" s="13" t="str">
        <f t="shared" si="4"/>
        <v>I-355461</v>
      </c>
      <c r="B18" s="13"/>
      <c r="C18" s="14">
        <v>13</v>
      </c>
      <c r="D18" s="14">
        <f t="shared" si="1"/>
        <v>8</v>
      </c>
      <c r="E18" s="20" t="s">
        <v>150</v>
      </c>
      <c r="F18" s="21" t="str">
        <f>'ССР Т'!C96</f>
        <v>Непредвиденные затраты 3%</v>
      </c>
      <c r="G18" s="22"/>
      <c r="H18" s="22"/>
      <c r="I18" s="22"/>
      <c r="J18" s="22"/>
      <c r="K18" s="22"/>
      <c r="L18" s="22"/>
      <c r="M18" s="22"/>
      <c r="N18" s="22"/>
      <c r="O18" s="36">
        <f>ROUND(SUM(O3:O17)*0.03,2)*0</f>
        <v>0</v>
      </c>
      <c r="P18" s="36">
        <f t="shared" ref="P18:V18" si="6">ROUND(SUM(P3:P17)*0.03,2)*0</f>
        <v>0</v>
      </c>
      <c r="Q18" s="36">
        <f t="shared" si="6"/>
        <v>0</v>
      </c>
      <c r="R18" s="36">
        <f>'ССР Т'!H96*1000</f>
        <v>7972.57</v>
      </c>
      <c r="S18" s="36">
        <f t="shared" si="6"/>
        <v>0</v>
      </c>
      <c r="T18" s="36">
        <f t="shared" si="6"/>
        <v>0</v>
      </c>
      <c r="U18" s="36">
        <f t="shared" si="6"/>
        <v>0</v>
      </c>
      <c r="V18" s="36">
        <f t="shared" si="6"/>
        <v>0</v>
      </c>
      <c r="X18" s="45"/>
      <c r="Y18" s="53">
        <f t="shared" si="0"/>
        <v>7972.57</v>
      </c>
    </row>
    <row r="19" s="5" customFormat="1" ht="15.75" spans="1:25">
      <c r="A19" s="13" t="str">
        <f t="shared" si="4"/>
        <v>I-355461</v>
      </c>
      <c r="B19" s="13"/>
      <c r="C19" s="14">
        <v>14</v>
      </c>
      <c r="D19" s="14">
        <f t="shared" si="1"/>
        <v>9</v>
      </c>
      <c r="E19" s="18" t="s">
        <v>151</v>
      </c>
      <c r="F19" s="21" t="s">
        <v>151</v>
      </c>
      <c r="G19" s="23"/>
      <c r="H19" s="23"/>
      <c r="I19" s="23"/>
      <c r="J19" s="23"/>
      <c r="K19" s="23"/>
      <c r="L19" s="23"/>
      <c r="M19" s="23"/>
      <c r="N19" s="23"/>
      <c r="O19" s="38">
        <f>ROUND(SUMIFS(O$3:O$296915,$A$3:$A$296915,$A19,$C$3:$C$296915,"&lt;&gt;14")*0.22,2)</f>
        <v>43871.01</v>
      </c>
      <c r="P19" s="38">
        <f>ROUND(SUMIFS(P$3:P$296915,$A$3:$A$296915,$A19,$C$3:$C$296915,"&lt;&gt;14")*0.22,2)</f>
        <v>6660.02</v>
      </c>
      <c r="Q19" s="38">
        <f>ROUND(SUMIFS(Q$3:Q$296915,$A$3:$A$296915,$A19,$C$3:$C$296915,"&lt;&gt;14")*0.22,2)</f>
        <v>0</v>
      </c>
      <c r="R19" s="38">
        <f>ROUND(SUMIFS(R$3:R$296915,$A$3:$A$296915,$A19,$C$3:$C$296915,"&lt;&gt;14")*0.22,2)</f>
        <v>1753.97</v>
      </c>
      <c r="S19" s="38">
        <f>ROUND(SUMIFS(S$3:S$296915,$A$3:$A$296915,$A19,$C$3:$C$296915,"&lt;&gt;14")*0.22,2)</f>
        <v>3765.41</v>
      </c>
      <c r="T19" s="38">
        <f>ROUND(SUMIFS(T$3:T$296915,$A$3:$A$296915,$A19,$C$3:$C$296915,"&lt;&gt;14")*0.22,2)</f>
        <v>3328.82</v>
      </c>
      <c r="U19" s="38">
        <f>ROUND(SUMIFS(U$3:U$296915,$A$3:$A$296915,$A19,$C$3:$C$296915,"&lt;&gt;14")*0.22,2)</f>
        <v>840.31</v>
      </c>
      <c r="V19" s="49">
        <f>ROUND(SUMIFS(V$3:V$296915,$A$3:$A$296915,$A19,$C$3:$C$296915,"&lt;&gt;14")*0.22,2)</f>
        <v>0</v>
      </c>
      <c r="X19" s="45"/>
      <c r="Y19" s="53">
        <f t="shared" si="0"/>
        <v>60219.54</v>
      </c>
    </row>
    <row r="20" spans="15:25">
      <c r="O20" s="39"/>
      <c r="P20" s="39"/>
      <c r="Q20" s="39"/>
      <c r="R20" s="39"/>
      <c r="S20" s="39"/>
      <c r="T20" s="39"/>
      <c r="U20" s="39"/>
      <c r="X20" s="50"/>
      <c r="Y20" s="50">
        <f>'ССР Т'!H105*1000</f>
        <v>60219.54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C96" sqref="C96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152</v>
      </c>
      <c r="D1" s="4" t="s">
        <v>153</v>
      </c>
      <c r="E1" s="1" t="s">
        <v>154</v>
      </c>
    </row>
    <row r="2" spans="1:5">
      <c r="A2" s="2" t="s">
        <v>155</v>
      </c>
      <c r="B2" s="2" t="s">
        <v>156</v>
      </c>
      <c r="D2" s="3">
        <v>1</v>
      </c>
      <c r="E2" s="2" t="s">
        <v>25</v>
      </c>
    </row>
    <row r="3" spans="1:5">
      <c r="A3" s="2" t="s">
        <v>129</v>
      </c>
      <c r="B3" s="2" t="s">
        <v>157</v>
      </c>
      <c r="D3" s="3">
        <v>2</v>
      </c>
      <c r="E3" s="2" t="s">
        <v>27</v>
      </c>
    </row>
    <row r="4" spans="4:5">
      <c r="D4" s="3">
        <v>3</v>
      </c>
      <c r="E4" s="2" t="s">
        <v>40</v>
      </c>
    </row>
    <row r="5" spans="4:5">
      <c r="D5" s="3">
        <v>4</v>
      </c>
      <c r="E5" s="2" t="s">
        <v>43</v>
      </c>
    </row>
    <row r="6" spans="4:5">
      <c r="D6" s="3">
        <v>5</v>
      </c>
      <c r="E6" s="2" t="s">
        <v>46</v>
      </c>
    </row>
    <row r="7" spans="4:5">
      <c r="D7" s="3">
        <v>6</v>
      </c>
      <c r="E7" s="2" t="s">
        <v>49</v>
      </c>
    </row>
    <row r="8" spans="4:5">
      <c r="D8" s="3">
        <v>7</v>
      </c>
      <c r="E8" s="2" t="s">
        <v>52</v>
      </c>
    </row>
    <row r="9" spans="4:5">
      <c r="D9" s="3">
        <v>8</v>
      </c>
      <c r="E9" s="2" t="s">
        <v>55</v>
      </c>
    </row>
    <row r="10" spans="4:5">
      <c r="D10" s="3">
        <v>9</v>
      </c>
      <c r="E10" s="2" t="s">
        <v>60</v>
      </c>
    </row>
    <row r="11" spans="4:5">
      <c r="D11" s="3">
        <v>10</v>
      </c>
      <c r="E11" s="2" t="s">
        <v>77</v>
      </c>
    </row>
    <row r="12" spans="4:5">
      <c r="D12" s="3">
        <v>11</v>
      </c>
      <c r="E12" s="2" t="s">
        <v>84</v>
      </c>
    </row>
    <row r="13" spans="4:5">
      <c r="D13" s="3">
        <v>12</v>
      </c>
      <c r="E13" s="2" t="s">
        <v>86</v>
      </c>
    </row>
    <row r="14" spans="4:5">
      <c r="D14" s="3">
        <v>13</v>
      </c>
      <c r="E14" s="2" t="s">
        <v>94</v>
      </c>
    </row>
    <row r="15" spans="4:5">
      <c r="D15" s="3">
        <v>14</v>
      </c>
      <c r="E15" s="2" t="s">
        <v>101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2024-04-10T12:13:00Z</cp:lastPrinted>
  <dcterms:modified xsi:type="dcterms:W3CDTF">2026-04-02T07:38:31Z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836D246C222A4392B654EAB4A945E1D6_12</vt:lpwstr>
  </property>
  <property fmtid="{D5CDD505-2E9C-101B-9397-08002B2CF9AE}" pid="3" name="KSOProductBuildVer">
    <vt:lpwstr>1049-12.2.0.23196</vt:lpwstr>
  </property>
</Properties>
</file>