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85" windowHeight="15870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_\AUTOEXEC">#REF!</definedName>
    <definedName name="_\k" localSheetId="4">#REF!</definedName>
    <definedName name="__\k">#REF!</definedName>
    <definedName name="_\m" localSheetId="4">#REF!</definedName>
    <definedName name="__\m">#REF!</definedName>
    <definedName name="_\s" localSheetId="4">#REF!</definedName>
    <definedName name="__\s">#REF!</definedName>
    <definedName name="_\z" localSheetId="4">#REF!</definedName>
    <definedName name="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Itog" localSheetId="4">#REF!</definedName>
    <definedName name="Itog">#REF!</definedName>
    <definedName name="_xlnm.Print_Area" localSheetId="4">'ССР Б'!$A$1:$H$112</definedName>
    <definedName name="_xlnm.Print_Area" localSheetId="1">'ССР Т'!$A$1:$H$112</definedName>
    <definedName name="_xlnm.Print_Titles" localSheetId="4">'ССР Б'!$18:$18</definedName>
    <definedName name="_xlnm.Print_Titles" localSheetId="1">'ССР Т'!$18:$18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ПЗ!$A$1:$T$75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Area" localSheetId="2">'ССР Т ВЫП'!$A$1:$H$112</definedName>
    <definedName name="_xlnm.Print_Titles" localSheetId="2">'ССР Т ВЫП'!$18:$18</definedName>
    <definedName name="_xlnm.Print_Area" localSheetId="3">'ССР Т ОСТ'!$A$1:$H$112</definedName>
    <definedName name="_xlnm.Print_Titles" localSheetId="3">'ССР Т ОСТ'!$18:$18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<sst xmlns="http://schemas.openxmlformats.org/spreadsheetml/2006/main" count="521" uniqueCount="158">
  <si>
    <t>Пояснительная записка к сметной документации:</t>
  </si>
  <si>
    <t>Сметная документация выполнена в соответствии с Методикой определения сметной стоимостью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культуры) народов РФ на территории РФ,  утвержденной приказом Министерства строительства и жилищно-коммунального хозяйства РФ от 04.08.2020 
№ 421/пр</t>
  </si>
  <si>
    <t>Адрес объекта строительства: Московская область.</t>
  </si>
  <si>
    <t>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Локальные сметы составлены по сметным нормативам ТСНБ-2001 Московской области редакция 2014 г.: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
В локальных сметах накладные расходы и сметная прибыль учтены по видам строительства в процентах от фонда оплаты труда рабочих строителей и механизаторов (Приказы Минстроя РФ от 21.12.2020 № 812пр, от 02.09.2021 № 636пр, от 11.12.2020 
№ 774пр).
К ценам материалов и оборудования применены следующие коэффициенты:                                                                                                                      К=1,02 согласно Мет. 421/пр 04.08.20 п. 92 пп. а);
К=1,012 согласно Мет. 421/пр 04.08.20 п. 92 пп. в);
К=1,03 согласно Мет. 421/пр 04.08.20 п. 91.
Стоимость строительства определена базисно-индексным методом в ценах на 01.01.2000 с пересчётом в текущий уровень цен с использованием расчетных индексов пересчета стоимости строительных, специальных строительных, ремонтно-строительных, монтажных и пусконаладочных работ для Московской области к базе ТСНБ-2001 МО в редакции 2014 года, разработанных ГАУ МО «Мособлэкспертиза».
Стоимость материалов, изделий и оборудования в локальные сметы включена по прайс-листам с пересчетом в базисный уровень цен по письмам Минстроя РФ: от 15.12.2021 № 55265-ИФ/09, от 22.11.2021 № 50719-ИФ/09. Пересчет стоимости изыскательских проектных работ в базовый уровень цен по письму Минстроя РФ от 25.10.2021 № 46012-ИФ/09.
В сметах применены поправочные коэффициенты:
Демонтаж: Оборудование, не пригодное для дальнейшего использования, (предназначено в лом) без разборки и резки
Демонтаж: Оборудование, пригодное для дальнейшего использования, со снятием с места установки, необходимой (частичной) разборкой и консервированием с целью длительного или кратковременного хранения.
Средства по главам 8-12 определяются на основании действующих нормативов и положений.
Резерв средств содержание службы заказчика-застройщика 5,68%, приказ от 22.01.2018 № 50 ПАО «МОЭСК». Резерв средств заказчика на осуществление строительного контроля 2,14%,  постановление Правительства РФ от 21.06.2010 № 468.
Резерв средств на непредвиденные работы и затраты определен в размере 3% от глав 1-12 согласно М-ке 421/пр 04.08.2020 п.179 пп. б).</t>
  </si>
  <si>
    <t>"УТВЕРЖДАЮ"</t>
  </si>
  <si>
    <t>Заместитель директора по капитальному строительству - начальник УКС</t>
  </si>
  <si>
    <t>_______________________ 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</si>
  <si>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</si>
  <si>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</si>
  <si>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</si>
  <si>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ЛЭП-0,4 кВ от сущ. ВЛ-0,38 кВ с КТП-149, ПС №529 «Сидорово», в т.ч. ПИР,МО, Ступинский р-н, с/п Семеновское, д. Гридюкино Ю8-25-302-285361(617909)</t>
  </si>
  <si>
    <t>(наименование стройки, объекта)</t>
  </si>
  <si>
    <t>Договор № 15-26-Ф-Ст от 13.02.2026</t>
  </si>
  <si>
    <t>Составлен в ценах по состоянию на</t>
  </si>
  <si>
    <t>2026.03</t>
  </si>
  <si>
    <t>I-356312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</si>
  <si>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</si>
  <si>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</si>
  <si>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</si>
  <si>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</si>
  <si>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</si>
  <si>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</si>
  <si>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</si>
  <si>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</si>
  <si>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</si>
  <si>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</si>
  <si>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</si>
  <si>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</si>
  <si>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</si>
  <si>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Строительство ВЛИ</t>
  </si>
  <si>
    <t>02-01-02</t>
  </si>
  <si>
    <t>Установка РЩ</t>
  </si>
  <si>
    <t>02-01-03</t>
  </si>
  <si>
    <t>Строительство ТП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</si>
  <si>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</si>
  <si>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</si>
  <si>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</si>
  <si>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</si>
  <si>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</si>
  <si>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</si>
  <si>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</si>
  <si>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</si>
  <si>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</si>
  <si>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</si>
  <si>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</si>
  <si>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</si>
  <si>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</si>
  <si>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</si>
  <si>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</si>
  <si>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</si>
  <si>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</si>
  <si>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</si>
  <si>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</si>
  <si>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</si>
  <si>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</si>
  <si>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</si>
  <si>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</si>
  <si>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</si>
  <si>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</si>
  <si>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</si>
  <si>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</si>
  <si>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</si>
  <si>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</si>
  <si>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</si>
  <si>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</si>
  <si>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ВЛИ</t>
  </si>
  <si>
    <t>обор</t>
  </si>
  <si>
    <t>09-01-02</t>
  </si>
  <si>
    <t>ПНР РЩ</t>
  </si>
  <si>
    <t>09-01-03</t>
  </si>
  <si>
    <t>ПНР ТП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</si>
  <si>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</si>
  <si>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</si>
  <si>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</si>
  <si>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</si>
  <si>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</si>
  <si>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</si>
  <si>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</si>
  <si>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</si>
  <si>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</si>
  <si>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</si>
  <si>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</si>
  <si>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</si>
  <si>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</si>
  <si>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</si>
  <si>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</si>
  <si>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</si>
  <si>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</si>
  <si>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Смета 12-02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</si>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</sst>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0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charset val="134"/>
      <scheme val="minor"/>
    </font>
    <font>
      <sz val="11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 applyNumberFormat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22" applyNumberFormat="0" applyAlignment="0" applyProtection="0">
      <alignment vertical="center"/>
    </xf>
    <xf numFmtId="0" fontId="42" fillId="15" borderId="23" applyNumberFormat="0" applyAlignment="0" applyProtection="0">
      <alignment vertical="center"/>
    </xf>
    <xf numFmtId="0" fontId="43" fillId="15" borderId="22" applyNumberFormat="0" applyAlignment="0" applyProtection="0">
      <alignment vertical="center"/>
    </xf>
    <xf numFmtId="0" fontId="44" fillId="1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3" fillId="0" borderId="4">
      <alignment horizont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3" fillId="0" borderId="4">
      <alignment horizontal="center"/>
    </xf>
    <xf numFmtId="0" fontId="53" fillId="0" borderId="0">
      <alignment vertical="top"/>
    </xf>
    <xf numFmtId="0" fontId="53" fillId="0" borderId="0">
      <alignment horizontal="right" vertical="top" wrapText="1"/>
    </xf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4">
      <alignment horizontal="center" wrapText="1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 applyNumberFormat="0"/>
    <xf numFmtId="0" fontId="54" fillId="0" borderId="0"/>
    <xf numFmtId="0" fontId="55" fillId="0" borderId="0"/>
    <xf numFmtId="0" fontId="2" fillId="0" borderId="0"/>
    <xf numFmtId="0" fontId="54" fillId="0" borderId="0"/>
    <xf numFmtId="0" fontId="2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4" fillId="0" borderId="0"/>
    <xf numFmtId="0" fontId="5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/>
    <xf numFmtId="0" fontId="55" fillId="0" borderId="0"/>
    <xf numFmtId="0" fontId="5" fillId="0" borderId="0"/>
    <xf numFmtId="0" fontId="57" fillId="0" borderId="0" applyNumberFormat="0"/>
    <xf numFmtId="0" fontId="5" fillId="0" borderId="0"/>
    <xf numFmtId="0" fontId="5" fillId="0" borderId="0"/>
    <xf numFmtId="0" fontId="5" fillId="0" borderId="0"/>
    <xf numFmtId="0" fontId="53" fillId="0" borderId="0"/>
    <xf numFmtId="0" fontId="53" fillId="0" borderId="4">
      <alignment horizontal="center" wrapText="1"/>
    </xf>
    <xf numFmtId="9" fontId="54" fillId="0" borderId="0" applyFont="0" applyFill="0" applyBorder="0" applyAlignment="0" applyProtection="0"/>
    <xf numFmtId="0" fontId="53" fillId="0" borderId="4">
      <alignment horizontal="center"/>
    </xf>
    <xf numFmtId="0" fontId="53" fillId="0" borderId="4">
      <alignment horizontal="center" wrapText="1"/>
    </xf>
    <xf numFmtId="0" fontId="54" fillId="0" borderId="0"/>
    <xf numFmtId="0" fontId="54" fillId="0" borderId="0"/>
    <xf numFmtId="0" fontId="54" fillId="0" borderId="0"/>
    <xf numFmtId="0" fontId="57" fillId="0" borderId="4"/>
    <xf numFmtId="0" fontId="53" fillId="0" borderId="0">
      <alignment horizontal="center"/>
    </xf>
    <xf numFmtId="180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3" fillId="0" borderId="0">
      <alignment horizontal="left" vertical="top"/>
    </xf>
    <xf numFmtId="0" fontId="53" fillId="0" borderId="0"/>
  </cellStyleXfs>
  <cellXfs count="201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32" applyFont="1" applyFill="1" applyBorder="1"/>
    <xf numFmtId="0" fontId="2" fillId="0" borderId="4" xfId="98" applyFont="1" applyBorder="1" applyAlignment="1">
      <alignment wrapText="1"/>
    </xf>
    <xf numFmtId="182" fontId="0" fillId="2" borderId="6" xfId="232" applyFont="1" applyFill="1" applyBorder="1"/>
    <xf numFmtId="0" fontId="2" fillId="0" borderId="4" xfId="98" applyBorder="1" applyAlignment="1">
      <alignment wrapText="1"/>
    </xf>
    <xf numFmtId="0" fontId="2" fillId="0" borderId="5" xfId="98" applyFont="1" applyBorder="1" applyAlignment="1">
      <alignment wrapText="1"/>
    </xf>
    <xf numFmtId="182" fontId="5" fillId="2" borderId="6" xfId="232" applyFont="1" applyFill="1" applyBorder="1"/>
    <xf numFmtId="182" fontId="5" fillId="2" borderId="7" xfId="232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32" applyFont="1" applyFill="1" applyBorder="1"/>
    <xf numFmtId="182" fontId="0" fillId="2" borderId="9" xfId="232" applyFont="1" applyFill="1" applyBorder="1"/>
    <xf numFmtId="182" fontId="0" fillId="4" borderId="4" xfId="232" applyFont="1" applyFill="1" applyBorder="1"/>
    <xf numFmtId="182" fontId="0" fillId="2" borderId="10" xfId="232" applyFont="1" applyFill="1" applyBorder="1"/>
    <xf numFmtId="182" fontId="0" fillId="2" borderId="11" xfId="232" applyFont="1" applyFill="1" applyBorder="1"/>
    <xf numFmtId="182" fontId="0" fillId="2" borderId="5" xfId="232" applyFont="1" applyFill="1" applyBorder="1"/>
    <xf numFmtId="182" fontId="0" fillId="2" borderId="12" xfId="232" applyFont="1" applyFill="1" applyBorder="1"/>
    <xf numFmtId="182" fontId="0" fillId="4" borderId="6" xfId="232" applyFont="1" applyFill="1" applyBorder="1"/>
    <xf numFmtId="182" fontId="5" fillId="4" borderId="6" xfId="232" applyFont="1" applyFill="1" applyBorder="1"/>
    <xf numFmtId="182" fontId="5" fillId="4" borderId="4" xfId="232" applyFont="1" applyFill="1" applyBorder="1"/>
    <xf numFmtId="182" fontId="5" fillId="4" borderId="7" xfId="232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32" applyFont="1" applyFill="1" applyBorder="1"/>
    <xf numFmtId="182" fontId="0" fillId="4" borderId="13" xfId="232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32" applyFont="1" applyFill="1" applyBorder="1"/>
    <xf numFmtId="182" fontId="0" fillId="4" borderId="15" xfId="232" applyFont="1" applyFill="1" applyBorder="1"/>
    <xf numFmtId="182" fontId="0" fillId="4" borderId="12" xfId="232" applyFont="1" applyFill="1" applyBorder="1"/>
    <xf numFmtId="182" fontId="7" fillId="4" borderId="7" xfId="232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33" applyFont="1" applyFill="1" applyBorder="1"/>
    <xf numFmtId="184" fontId="2" fillId="0" borderId="0" xfId="99" applyNumberFormat="1" applyAlignment="1">
      <alignment horizontal="center"/>
    </xf>
    <xf numFmtId="0" fontId="10" fillId="0" borderId="0" xfId="176" applyFont="1"/>
    <xf numFmtId="0" fontId="1" fillId="0" borderId="0" xfId="176" applyFont="1"/>
    <xf numFmtId="0" fontId="1" fillId="0" borderId="0" xfId="176" applyFont="1" applyAlignment="1">
      <alignment horizontal="center" vertical="center"/>
    </xf>
    <xf numFmtId="0" fontId="2" fillId="0" borderId="0" xfId="176" applyAlignment="1">
      <alignment horizontal="center" vertical="center"/>
    </xf>
    <xf numFmtId="0" fontId="11" fillId="0" borderId="0" xfId="176" applyFont="1" applyAlignment="1">
      <alignment horizontal="center" vertical="center"/>
    </xf>
    <xf numFmtId="0" fontId="2" fillId="0" borderId="0" xfId="176" applyAlignment="1">
      <alignment horizontal="center"/>
    </xf>
    <xf numFmtId="0" fontId="2" fillId="0" borderId="0" xfId="176"/>
    <xf numFmtId="0" fontId="12" fillId="0" borderId="0" xfId="176" applyFont="1"/>
    <xf numFmtId="0" fontId="13" fillId="0" borderId="0" xfId="176" applyFont="1" applyAlignment="1">
      <alignment horizontal="left"/>
    </xf>
    <xf numFmtId="0" fontId="13" fillId="0" borderId="0" xfId="176" applyFont="1"/>
    <xf numFmtId="0" fontId="14" fillId="0" borderId="0" xfId="176" applyFont="1" applyAlignment="1">
      <alignment horizontal="left"/>
    </xf>
    <xf numFmtId="0" fontId="14" fillId="0" borderId="0" xfId="176" applyFont="1"/>
    <xf numFmtId="0" fontId="14" fillId="0" borderId="0" xfId="176" applyFont="1" applyAlignment="1">
      <alignment horizontal="left" vertical="top" wrapText="1"/>
    </xf>
    <xf numFmtId="0" fontId="14" fillId="0" borderId="0" xfId="176" applyFont="1" applyAlignment="1">
      <alignment horizontal="left" vertical="top"/>
    </xf>
    <xf numFmtId="0" fontId="14" fillId="0" borderId="0" xfId="176" applyFont="1" applyAlignment="1">
      <alignment vertical="top" wrapText="1"/>
    </xf>
    <xf numFmtId="0" fontId="14" fillId="0" borderId="0" xfId="176" applyFont="1" applyAlignment="1">
      <alignment horizontal="left" wrapText="1"/>
    </xf>
    <xf numFmtId="0" fontId="14" fillId="0" borderId="0" xfId="176" applyFont="1" applyAlignment="1">
      <alignment wrapText="1"/>
    </xf>
    <xf numFmtId="0" fontId="14" fillId="0" borderId="0" xfId="176" applyFont="1" applyAlignment="1">
      <alignment horizontal="center"/>
    </xf>
    <xf numFmtId="0" fontId="15" fillId="0" borderId="0" xfId="176" applyFont="1" applyAlignment="1">
      <alignment horizontal="center"/>
    </xf>
    <xf numFmtId="0" fontId="14" fillId="0" borderId="1" xfId="176" applyFont="1" applyBorder="1" applyAlignment="1">
      <alignment horizontal="center" wrapText="1"/>
    </xf>
    <xf numFmtId="0" fontId="14" fillId="0" borderId="0" xfId="176" applyFont="1" applyAlignment="1">
      <alignment horizontal="center" vertical="top" wrapText="1"/>
    </xf>
    <xf numFmtId="0" fontId="16" fillId="0" borderId="0" xfId="176" applyFont="1" applyAlignment="1">
      <alignment horizontal="left" vertical="top"/>
    </xf>
    <xf numFmtId="0" fontId="17" fillId="0" borderId="0" xfId="176" applyFont="1"/>
    <xf numFmtId="0" fontId="17" fillId="0" borderId="0" xfId="176" applyFont="1" applyAlignment="1">
      <alignment horizontal="left" vertical="center"/>
    </xf>
    <xf numFmtId="0" fontId="17" fillId="0" borderId="0" xfId="176" applyFont="1" applyAlignment="1">
      <alignment horizontal="center"/>
    </xf>
    <xf numFmtId="0" fontId="17" fillId="0" borderId="0" xfId="176" applyFont="1" applyAlignment="1">
      <alignment horizontal="left"/>
    </xf>
    <xf numFmtId="0" fontId="17" fillId="0" borderId="4" xfId="176" applyFont="1" applyBorder="1" applyAlignment="1">
      <alignment horizontal="center" vertical="center" wrapText="1"/>
    </xf>
    <xf numFmtId="0" fontId="17" fillId="0" borderId="4" xfId="176" applyFont="1" applyBorder="1" applyAlignment="1">
      <alignment horizontal="center" vertical="center"/>
    </xf>
    <xf numFmtId="0" fontId="18" fillId="0" borderId="5" xfId="176" applyFont="1" applyBorder="1" applyAlignment="1">
      <alignment vertical="center" wrapText="1"/>
    </xf>
    <xf numFmtId="0" fontId="18" fillId="0" borderId="16" xfId="176" applyFont="1" applyBorder="1" applyAlignment="1">
      <alignment horizontal="left" vertical="center" wrapText="1"/>
    </xf>
    <xf numFmtId="0" fontId="12" fillId="0" borderId="2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/>
    </xf>
    <xf numFmtId="0" fontId="12" fillId="0" borderId="4" xfId="176" applyFont="1" applyBorder="1" applyAlignment="1">
      <alignment horizontal="justify" vertical="center"/>
    </xf>
    <xf numFmtId="181" fontId="17" fillId="0" borderId="4" xfId="231" applyFont="1" applyFill="1" applyBorder="1" applyAlignment="1">
      <alignment horizontal="center" vertical="center"/>
    </xf>
    <xf numFmtId="181" fontId="19" fillId="0" borderId="4" xfId="231" applyFont="1" applyFill="1" applyBorder="1" applyAlignment="1">
      <alignment horizontal="center" vertical="center"/>
    </xf>
    <xf numFmtId="0" fontId="20" fillId="0" borderId="5" xfId="176" applyFont="1" applyBorder="1" applyAlignment="1">
      <alignment horizontal="right" vertical="center"/>
    </xf>
    <xf numFmtId="0" fontId="20" fillId="0" borderId="16" xfId="176" applyFont="1" applyBorder="1" applyAlignment="1">
      <alignment horizontal="right" vertical="center"/>
    </xf>
    <xf numFmtId="0" fontId="20" fillId="0" borderId="17" xfId="176" applyFont="1" applyBorder="1" applyAlignment="1">
      <alignment horizontal="right" vertical="center"/>
    </xf>
    <xf numFmtId="181" fontId="20" fillId="0" borderId="4" xfId="231" applyFont="1" applyFill="1" applyBorder="1" applyAlignment="1">
      <alignment horizontal="center" vertical="center"/>
    </xf>
    <xf numFmtId="49" fontId="12" fillId="0" borderId="4" xfId="176" applyNumberFormat="1" applyFont="1" applyBorder="1" applyAlignment="1">
      <alignment horizontal="center" vertical="center"/>
    </xf>
    <xf numFmtId="0" fontId="12" fillId="0" borderId="4" xfId="176" applyFont="1" applyBorder="1" applyAlignment="1">
      <alignment horizontal="left" vertical="center"/>
    </xf>
    <xf numFmtId="186" fontId="17" fillId="10" borderId="4" xfId="231" applyNumberFormat="1" applyFont="1" applyFill="1" applyBorder="1" applyAlignment="1">
      <alignment horizontal="center" vertical="center"/>
    </xf>
    <xf numFmtId="186" fontId="17" fillId="10" borderId="17" xfId="231" applyNumberFormat="1" applyFont="1" applyFill="1" applyBorder="1" applyAlignment="1">
      <alignment horizontal="center" vertical="center"/>
    </xf>
    <xf numFmtId="186" fontId="17" fillId="0" borderId="17" xfId="231" applyNumberFormat="1" applyFont="1" applyFill="1" applyBorder="1" applyAlignment="1">
      <alignment horizontal="center" vertical="center"/>
    </xf>
    <xf numFmtId="186" fontId="19" fillId="0" borderId="4" xfId="231" applyNumberFormat="1" applyFont="1" applyFill="1" applyBorder="1" applyAlignment="1">
      <alignment horizontal="center" vertical="center"/>
    </xf>
    <xf numFmtId="186" fontId="20" fillId="0" borderId="4" xfId="231" applyNumberFormat="1" applyFont="1" applyFill="1" applyBorder="1" applyAlignment="1">
      <alignment horizontal="center" vertical="center"/>
    </xf>
    <xf numFmtId="0" fontId="18" fillId="0" borderId="5" xfId="176" applyFont="1" applyBorder="1" applyAlignment="1">
      <alignment horizontal="right" vertical="center"/>
    </xf>
    <xf numFmtId="0" fontId="18" fillId="0" borderId="16" xfId="176" applyFont="1" applyBorder="1" applyAlignment="1">
      <alignment horizontal="right" vertical="center"/>
    </xf>
    <xf numFmtId="0" fontId="18" fillId="0" borderId="17" xfId="176" applyFont="1" applyBorder="1" applyAlignment="1">
      <alignment horizontal="right" vertical="center"/>
    </xf>
    <xf numFmtId="186" fontId="18" fillId="0" borderId="4" xfId="231" applyNumberFormat="1" applyFont="1" applyFill="1" applyBorder="1" applyAlignment="1">
      <alignment horizontal="center" vertical="center"/>
    </xf>
    <xf numFmtId="0" fontId="18" fillId="0" borderId="16" xfId="176" applyFont="1" applyBorder="1" applyAlignment="1">
      <alignment horizontal="left" vertical="center"/>
    </xf>
    <xf numFmtId="0" fontId="18" fillId="0" borderId="17" xfId="176" applyFont="1" applyBorder="1" applyAlignment="1">
      <alignment horizontal="left" vertical="center"/>
    </xf>
    <xf numFmtId="181" fontId="18" fillId="0" borderId="2" xfId="231" applyFont="1" applyFill="1" applyBorder="1" applyAlignment="1">
      <alignment horizontal="center" vertical="center"/>
    </xf>
    <xf numFmtId="181" fontId="18" fillId="0" borderId="4" xfId="231" applyFont="1" applyFill="1" applyBorder="1" applyAlignment="1">
      <alignment horizontal="center" vertical="center"/>
    </xf>
    <xf numFmtId="0" fontId="18" fillId="0" borderId="5" xfId="176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31" applyNumberFormat="1" applyFont="1" applyFill="1" applyBorder="1" applyAlignment="1">
      <alignment horizontal="center" vertical="center"/>
    </xf>
    <xf numFmtId="186" fontId="19" fillId="11" borderId="4" xfId="231" applyNumberFormat="1" applyFont="1" applyFill="1" applyBorder="1" applyAlignment="1">
      <alignment horizontal="center" vertical="center"/>
    </xf>
    <xf numFmtId="0" fontId="12" fillId="0" borderId="5" xfId="176" applyFont="1" applyBorder="1" applyAlignment="1">
      <alignment horizontal="center" vertical="center"/>
    </xf>
    <xf numFmtId="0" fontId="12" fillId="0" borderId="4" xfId="176" applyFont="1" applyBorder="1" applyAlignment="1">
      <alignment horizontal="center" vertical="center" wrapText="1"/>
    </xf>
    <xf numFmtId="0" fontId="12" fillId="0" borderId="17" xfId="176" applyFont="1" applyBorder="1" applyAlignment="1">
      <alignment horizontal="left" vertical="center" wrapText="1"/>
    </xf>
    <xf numFmtId="186" fontId="17" fillId="0" borderId="4" xfId="231" applyNumberFormat="1" applyFont="1" applyFill="1" applyBorder="1" applyAlignment="1">
      <alignment horizontal="center" vertical="center"/>
    </xf>
    <xf numFmtId="0" fontId="1" fillId="0" borderId="0" xfId="176" applyFont="1" applyAlignment="1">
      <alignment vertical="center" wrapText="1"/>
    </xf>
    <xf numFmtId="0" fontId="21" fillId="0" borderId="0" xfId="176" applyFont="1" applyAlignment="1">
      <alignment horizontal="center" vertical="center"/>
    </xf>
    <xf numFmtId="187" fontId="21" fillId="0" borderId="0" xfId="176" applyNumberFormat="1" applyFont="1" applyAlignment="1">
      <alignment horizontal="center" vertical="center"/>
    </xf>
    <xf numFmtId="186" fontId="2" fillId="0" borderId="0" xfId="176" applyNumberFormat="1" applyAlignment="1">
      <alignment horizontal="center" vertical="center"/>
    </xf>
    <xf numFmtId="0" fontId="2" fillId="0" borderId="0" xfId="176" applyFont="1" applyAlignment="1">
      <alignment horizontal="center" vertical="center"/>
    </xf>
    <xf numFmtId="188" fontId="2" fillId="0" borderId="0" xfId="176" applyNumberFormat="1" applyAlignment="1">
      <alignment horizontal="center" vertical="center"/>
    </xf>
    <xf numFmtId="189" fontId="11" fillId="0" borderId="0" xfId="176" applyNumberFormat="1" applyFont="1" applyAlignment="1">
      <alignment horizontal="center" vertical="center"/>
    </xf>
    <xf numFmtId="0" fontId="22" fillId="0" borderId="0" xfId="176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horizontal="left" vertical="center" wrapText="1"/>
    </xf>
    <xf numFmtId="0" fontId="12" fillId="10" borderId="4" xfId="176" applyFont="1" applyFill="1" applyBorder="1" applyAlignment="1">
      <alignment horizontal="center" vertical="center" wrapText="1"/>
    </xf>
    <xf numFmtId="0" fontId="19" fillId="13" borderId="4" xfId="130" applyFont="1" applyFill="1" applyBorder="1" applyAlignment="1">
      <alignment vertical="center" wrapText="1"/>
    </xf>
    <xf numFmtId="0" fontId="19" fillId="13" borderId="4" xfId="130" applyFont="1" applyFill="1" applyBorder="1" applyAlignment="1">
      <alignment horizontal="left" vertical="center" wrapText="1"/>
    </xf>
    <xf numFmtId="0" fontId="12" fillId="0" borderId="17" xfId="176" applyFont="1" applyBorder="1" applyAlignment="1">
      <alignment horizontal="left" vertical="center"/>
    </xf>
    <xf numFmtId="0" fontId="17" fillId="0" borderId="4" xfId="176" applyFont="1" applyBorder="1" applyAlignment="1">
      <alignment vertical="center"/>
    </xf>
    <xf numFmtId="0" fontId="12" fillId="0" borderId="4" xfId="176" applyFont="1" applyBorder="1" applyAlignment="1">
      <alignment vertical="center"/>
    </xf>
    <xf numFmtId="186" fontId="12" fillId="0" borderId="4" xfId="176" applyNumberFormat="1" applyFont="1" applyBorder="1" applyAlignment="1">
      <alignment vertical="center"/>
    </xf>
    <xf numFmtId="0" fontId="17" fillId="10" borderId="4" xfId="176" applyFont="1" applyFill="1" applyBorder="1" applyAlignment="1">
      <alignment vertical="center"/>
    </xf>
    <xf numFmtId="186" fontId="18" fillId="10" borderId="4" xfId="231" applyNumberFormat="1" applyFont="1" applyFill="1" applyBorder="1" applyAlignment="1">
      <alignment horizontal="center" vertical="center"/>
    </xf>
    <xf numFmtId="0" fontId="12" fillId="0" borderId="4" xfId="176" applyFont="1" applyBorder="1" applyAlignment="1">
      <alignment vertical="center" wrapText="1"/>
    </xf>
    <xf numFmtId="0" fontId="17" fillId="0" borderId="4" xfId="176" applyFont="1" applyBorder="1" applyAlignment="1">
      <alignment vertical="center" wrapText="1"/>
    </xf>
    <xf numFmtId="0" fontId="17" fillId="0" borderId="0" xfId="176" applyFont="1" applyAlignment="1">
      <alignment vertical="center"/>
    </xf>
    <xf numFmtId="0" fontId="17" fillId="0" borderId="0" xfId="176" applyFont="1" applyAlignment="1">
      <alignment vertical="center" wrapText="1"/>
    </xf>
    <xf numFmtId="186" fontId="18" fillId="0" borderId="0" xfId="231" applyNumberFormat="1" applyFont="1" applyFill="1" applyBorder="1" applyAlignment="1">
      <alignment horizontal="center" vertical="center"/>
    </xf>
    <xf numFmtId="186" fontId="17" fillId="0" borderId="0" xfId="231" applyNumberFormat="1" applyFont="1" applyFill="1" applyBorder="1" applyAlignment="1">
      <alignment horizontal="center" vertical="center"/>
    </xf>
    <xf numFmtId="0" fontId="12" fillId="0" borderId="0" xfId="176" applyFont="1" applyAlignment="1">
      <alignment horizontal="center" vertical="center"/>
    </xf>
    <xf numFmtId="0" fontId="12" fillId="0" borderId="0" xfId="176" applyFont="1" applyAlignment="1">
      <alignment horizontal="center"/>
    </xf>
    <xf numFmtId="0" fontId="21" fillId="0" borderId="0" xfId="176" applyFont="1" applyAlignment="1">
      <alignment horizontal="center"/>
    </xf>
    <xf numFmtId="0" fontId="21" fillId="0" borderId="0" xfId="176" applyFont="1" applyAlignment="1"/>
    <xf numFmtId="0" fontId="21" fillId="0" borderId="1" xfId="176" applyFont="1" applyBorder="1" applyAlignment="1">
      <alignment horizontal="center"/>
    </xf>
    <xf numFmtId="0" fontId="21" fillId="0" borderId="0" xfId="176" applyFont="1" applyAlignment="1">
      <alignment horizontal="left"/>
    </xf>
    <xf numFmtId="189" fontId="12" fillId="0" borderId="0" xfId="176" applyNumberFormat="1" applyFont="1" applyAlignment="1">
      <alignment horizontal="center" vertical="center"/>
    </xf>
    <xf numFmtId="0" fontId="17" fillId="0" borderId="0" xfId="176" applyFont="1" applyAlignment="1">
      <alignment horizontal="center" vertical="center"/>
    </xf>
    <xf numFmtId="190" fontId="17" fillId="0" borderId="0" xfId="176" applyNumberFormat="1" applyFont="1" applyAlignment="1">
      <alignment horizontal="center" vertical="center"/>
    </xf>
    <xf numFmtId="187" fontId="17" fillId="0" borderId="0" xfId="176" applyNumberFormat="1" applyFont="1" applyAlignment="1">
      <alignment horizontal="center" vertical="center"/>
    </xf>
    <xf numFmtId="189" fontId="21" fillId="0" borderId="0" xfId="176" applyNumberFormat="1" applyFont="1" applyAlignment="1">
      <alignment horizontal="center" vertical="center"/>
    </xf>
    <xf numFmtId="0" fontId="23" fillId="13" borderId="0" xfId="130" applyFont="1" applyFill="1"/>
    <xf numFmtId="184" fontId="23" fillId="13" borderId="0" xfId="130" applyNumberFormat="1" applyFont="1" applyFill="1"/>
    <xf numFmtId="184" fontId="24" fillId="13" borderId="0" xfId="130" applyNumberFormat="1" applyFont="1" applyFill="1" applyAlignment="1">
      <alignment horizontal="right" vertical="center"/>
    </xf>
    <xf numFmtId="191" fontId="15" fillId="0" borderId="18" xfId="176" applyNumberFormat="1" applyFont="1" applyBorder="1" applyAlignment="1">
      <alignment horizontal="center" vertical="center"/>
    </xf>
    <xf numFmtId="189" fontId="21" fillId="0" borderId="18" xfId="176" applyNumberFormat="1" applyFont="1" applyBorder="1" applyAlignment="1">
      <alignment horizontal="center" vertical="center"/>
    </xf>
    <xf numFmtId="0" fontId="24" fillId="13" borderId="0" xfId="130" applyFont="1" applyFill="1" applyAlignment="1">
      <alignment horizontal="right"/>
    </xf>
    <xf numFmtId="0" fontId="25" fillId="13" borderId="0" xfId="130" applyFont="1" applyFill="1" applyAlignment="1">
      <alignment horizontal="left"/>
    </xf>
    <xf numFmtId="0" fontId="15" fillId="0" borderId="0" xfId="176" applyFont="1" applyAlignment="1">
      <alignment horizontal="center" vertical="center"/>
    </xf>
    <xf numFmtId="191" fontId="24" fillId="13" borderId="0" xfId="130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76" applyNumberFormat="1" applyFont="1" applyBorder="1" applyAlignment="1">
      <alignment horizontal="center" vertical="center"/>
    </xf>
    <xf numFmtId="0" fontId="15" fillId="0" borderId="0" xfId="176" applyFont="1" applyAlignment="1">
      <alignment horizontal="right" vertical="center"/>
    </xf>
    <xf numFmtId="191" fontId="28" fillId="0" borderId="0" xfId="176" applyNumberFormat="1" applyFont="1" applyAlignment="1">
      <alignment horizontal="center" vertical="center"/>
    </xf>
    <xf numFmtId="189" fontId="2" fillId="0" borderId="0" xfId="176" applyNumberFormat="1" applyAlignment="1">
      <alignment horizontal="center" vertical="center"/>
    </xf>
    <xf numFmtId="191" fontId="15" fillId="0" borderId="0" xfId="176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77" applyFont="1"/>
    <xf numFmtId="0" fontId="30" fillId="0" borderId="0" xfId="177" applyFont="1" applyAlignment="1">
      <alignment horizontal="center" wrapText="1"/>
    </xf>
    <xf numFmtId="0" fontId="30" fillId="0" borderId="0" xfId="177" applyFont="1" applyAlignment="1">
      <alignment horizontal="center"/>
    </xf>
    <xf numFmtId="0" fontId="30" fillId="0" borderId="0" xfId="177" applyFont="1" applyAlignment="1">
      <alignment horizontal="center" vertical="center" wrapText="1"/>
    </xf>
    <xf numFmtId="0" fontId="29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 wrapText="1"/>
    </xf>
    <xf numFmtId="0" fontId="31" fillId="0" borderId="0" xfId="177" applyFont="1" applyAlignment="1">
      <alignment horizontal="center" vertical="center"/>
    </xf>
    <xf numFmtId="0" fontId="31" fillId="0" borderId="0" xfId="177" applyFont="1" applyAlignment="1">
      <alignment horizontal="left" vertical="center"/>
    </xf>
    <xf numFmtId="0" fontId="31" fillId="0" borderId="0" xfId="177" applyFont="1" applyAlignment="1">
      <alignment horizontal="left" vertical="top" wrapText="1"/>
    </xf>
    <xf numFmtId="0" fontId="31" fillId="0" borderId="0" xfId="177" applyFont="1" applyAlignment="1">
      <alignment horizontal="left" vertical="top"/>
    </xf>
    <xf numFmtId="0" fontId="30" fillId="0" borderId="0" xfId="177" applyFont="1" applyAlignment="1">
      <alignment horizontal="right" vertical="center"/>
    </xf>
    <xf numFmtId="0" fontId="31" fillId="0" borderId="0" xfId="100" applyFont="1"/>
  </cellXfs>
  <cellStyles count="23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3" xfId="114"/>
    <cellStyle name="Обычный 2 2 4 2" xfId="115"/>
    <cellStyle name="Обычный 2 3" xfId="116"/>
    <cellStyle name="Обычный 2 4 2 2" xfId="117"/>
    <cellStyle name="Обычный 2_Мартемьянова 126_12 испарав лен после замеч" xfId="118"/>
    <cellStyle name="Обычный 20" xfId="119"/>
    <cellStyle name="Обычный 21" xfId="120"/>
    <cellStyle name="Обычный 22" xfId="121"/>
    <cellStyle name="Обычный 23" xfId="122"/>
    <cellStyle name="Обычный 24" xfId="123"/>
    <cellStyle name="Обычный 25" xfId="124"/>
    <cellStyle name="Обычный 26" xfId="125"/>
    <cellStyle name="Обычный 27" xfId="126"/>
    <cellStyle name="Обычный 28" xfId="127"/>
    <cellStyle name="Обычный 29" xfId="128"/>
    <cellStyle name="Обычный 3" xfId="129"/>
    <cellStyle name="Обычный 3 2" xfId="130"/>
    <cellStyle name="Обычный 3 3" xfId="131"/>
    <cellStyle name="Обычный 3 3 2" xfId="132"/>
    <cellStyle name="Обычный 3_Мартемьянова 126_12 испарав лен после замеч" xfId="133"/>
    <cellStyle name="Обычный 30" xfId="134"/>
    <cellStyle name="Обычный 31" xfId="135"/>
    <cellStyle name="Обычный 32" xfId="136"/>
    <cellStyle name="Обычный 33" xfId="137"/>
    <cellStyle name="Обычный 34" xfId="138"/>
    <cellStyle name="Обычный 35" xfId="139"/>
    <cellStyle name="Обычный 36" xfId="140"/>
    <cellStyle name="Обычный 37" xfId="141"/>
    <cellStyle name="Обычный 38" xfId="142"/>
    <cellStyle name="Обычный 39" xfId="143"/>
    <cellStyle name="Обычный 4" xfId="144"/>
    <cellStyle name="Обычный 40" xfId="145"/>
    <cellStyle name="Обычный 41" xfId="146"/>
    <cellStyle name="Обычный 42" xfId="147"/>
    <cellStyle name="Обычный 43" xfId="148"/>
    <cellStyle name="Обычный 44" xfId="149"/>
    <cellStyle name="Обычный 45" xfId="150"/>
    <cellStyle name="Обычный 46" xfId="151"/>
    <cellStyle name="Обычный 47" xfId="152"/>
    <cellStyle name="Обычный 48" xfId="153"/>
    <cellStyle name="Обычный 49" xfId="154"/>
    <cellStyle name="Обычный 5" xfId="155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6" xfId="162"/>
    <cellStyle name="Обычный 57" xfId="163"/>
    <cellStyle name="Обычный 58" xfId="164"/>
    <cellStyle name="Обычный 59" xfId="165"/>
    <cellStyle name="Обычный 6" xfId="166"/>
    <cellStyle name="Обычный 60" xfId="167"/>
    <cellStyle name="Обычный 61" xfId="168"/>
    <cellStyle name="Обычный 62" xfId="169"/>
    <cellStyle name="Обычный 63" xfId="170"/>
    <cellStyle name="Обычный 63 2 2" xfId="171"/>
    <cellStyle name="Обычный 63 2 2 2" xfId="172"/>
    <cellStyle name="Обычный 63 2 2 3" xfId="173"/>
    <cellStyle name="Обычный 64" xfId="174"/>
    <cellStyle name="Обычный 65" xfId="175"/>
    <cellStyle name="Обычный 65 2" xfId="176"/>
    <cellStyle name="Обычный 65 2 2" xfId="177"/>
    <cellStyle name="Обычный 66" xfId="178"/>
    <cellStyle name="Обычный 67" xfId="179"/>
    <cellStyle name="Обычный 68" xfId="180"/>
    <cellStyle name="Обычный 69" xfId="181"/>
    <cellStyle name="Обычный 7" xfId="182"/>
    <cellStyle name="Обычный 70" xfId="183"/>
    <cellStyle name="Обычный 71" xfId="184"/>
    <cellStyle name="Обычный 72" xfId="185"/>
    <cellStyle name="Обычный 73" xfId="186"/>
    <cellStyle name="Обычный 73 2" xfId="187"/>
    <cellStyle name="Обычный 74" xfId="188"/>
    <cellStyle name="Обычный 75" xfId="189"/>
    <cellStyle name="Обычный 75 2" xfId="190"/>
    <cellStyle name="Обычный 76" xfId="191"/>
    <cellStyle name="Обычный 77" xfId="192"/>
    <cellStyle name="Обычный 78" xfId="193"/>
    <cellStyle name="Обычный 79" xfId="194"/>
    <cellStyle name="Обычный 8" xfId="195"/>
    <cellStyle name="Обычный 8 2" xfId="196"/>
    <cellStyle name="Обычный 80" xfId="197"/>
    <cellStyle name="Обычный 81" xfId="198"/>
    <cellStyle name="Обычный 82" xfId="199"/>
    <cellStyle name="Обычный 83" xfId="200"/>
    <cellStyle name="Обычный 84" xfId="201"/>
    <cellStyle name="Обычный 85" xfId="202"/>
    <cellStyle name="Обычный 86" xfId="203"/>
    <cellStyle name="Обычный 87" xfId="204"/>
    <cellStyle name="Обычный 88" xfId="205"/>
    <cellStyle name="Обычный 89" xfId="206"/>
    <cellStyle name="Обычный 9" xfId="207"/>
    <cellStyle name="Обычный 90" xfId="208"/>
    <cellStyle name="Обычный 91" xfId="209"/>
    <cellStyle name="Обычный 92" xfId="210"/>
    <cellStyle name="Обычный 93" xfId="211"/>
    <cellStyle name="Обычный 94" xfId="212"/>
    <cellStyle name="Обычный 95" xfId="213"/>
    <cellStyle name="Обычный 96" xfId="214"/>
    <cellStyle name="Обычный 97" xfId="215"/>
    <cellStyle name="Обычный 98" xfId="216"/>
    <cellStyle name="Обычный 99" xfId="217"/>
    <cellStyle name="Параметр" xfId="218"/>
    <cellStyle name="ПеременныеСметы" xfId="219"/>
    <cellStyle name="Процентный 2" xfId="220"/>
    <cellStyle name="РесСмета" xfId="221"/>
    <cellStyle name="СводкаСтоимРаб" xfId="222"/>
    <cellStyle name="СводРасч" xfId="223"/>
    <cellStyle name="СводРасч 2" xfId="224"/>
    <cellStyle name="СводРасч 3" xfId="225"/>
    <cellStyle name="Стиль 1_АКТ" xfId="226"/>
    <cellStyle name="Титул" xfId="227"/>
    <cellStyle name="Финансовый [0] 2" xfId="228"/>
    <cellStyle name="Финансовый 2" xfId="229"/>
    <cellStyle name="Финансовый 3" xfId="230"/>
    <cellStyle name="Финансовый 3 2" xfId="231"/>
    <cellStyle name="Финансовый 4" xfId="232"/>
    <cellStyle name="Финансовый 5" xfId="233"/>
    <cellStyle name="Хвост" xfId="234"/>
    <cellStyle name="Экспертиза" xfId="2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С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Хаттон_90_礊め_x0005_"/>
      <sheetName val="ПС"/>
      <sheetName val="таблица_руко_x0019__x0015_ 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/>
      <sheetData sheetId="1819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view="pageBreakPreview" zoomScale="55" zoomScaleNormal="100" topLeftCell="A19" workbookViewId="0">
      <selection activeCell="R16" sqref="R16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0">
      <c r="A4" s="190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ht="20.1" customHeight="1" spans="1:2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0">
      <c r="A7" s="192" t="str">
        <f>'ССР Т'!B11</f>
        <v>Строительство ЛЭП-0,4 кВ от сущ. ВЛ-0,38 кВ с КТП-149, ПС №529 «Сидорово», в т.ч. ПИР,МО, Ступинский р-н, с/п Семеновское, д. Гридюкино Ю8-25-302-285361(617909)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ht="20.1" customHeight="1" spans="1:20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</row>
    <row r="9" ht="20.1" customHeight="1" spans="1:20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</row>
    <row r="10" ht="20.1" customHeight="1" spans="1:20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</row>
    <row r="11" ht="20.1" customHeight="1" spans="1:20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</row>
    <row r="12" ht="20.1" customHeight="1" spans="1:20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</row>
    <row r="13" ht="20.1" customHeight="1" spans="1:20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</row>
    <row r="14" ht="20.1" customHeight="1" spans="1:20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</row>
    <row r="15" ht="30.75" customHeight="1" spans="1:20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9" t="str">
        <f>'ССР Т'!H15</f>
        <v>I-356312</v>
      </c>
      <c r="S15" s="199"/>
      <c r="T15" s="199"/>
    </row>
    <row r="16" ht="30.75" customHeight="1" spans="1:20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9"/>
      <c r="S16" s="199"/>
      <c r="T16" s="199"/>
    </row>
    <row r="17" ht="20.1" customHeight="1" spans="1:20">
      <c r="A17" s="194" t="s">
        <v>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ht="20.1" customHeight="1" spans="1:20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ht="141" customHeight="1" spans="1:20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</row>
    <row r="20" ht="20.1" customHeight="1" spans="1:20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</row>
    <row r="21" ht="20.1" customHeight="1" spans="1:20">
      <c r="A21" s="196" t="s">
        <v>2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ht="20.1" customHeight="1" spans="1:20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0">
      <c r="A24" s="197" t="s">
        <v>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ht="20.1" customHeight="1" spans="1:20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ht="20.1" customHeight="1" spans="1:20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ht="20.1" customHeight="1" spans="1:20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ht="20.1" customHeight="1" spans="1:20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ht="20.1" customHeight="1" spans="1:20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ht="20.1" customHeight="1" spans="1:20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ht="20.1" customHeight="1" spans="1:20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</row>
    <row r="32" ht="20.1" customHeight="1" spans="1:20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</row>
    <row r="33" ht="20.1" customHeight="1" spans="1:20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</row>
    <row r="34" ht="20.1" customHeight="1" spans="1:20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</row>
    <row r="35" ht="20.1" customHeight="1" spans="1:20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</row>
    <row r="36" ht="20.1" customHeight="1" spans="1:20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</row>
    <row r="37" ht="20.1" customHeight="1" spans="1:20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</row>
    <row r="38" ht="20.1" customHeight="1" spans="1:20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</row>
    <row r="39" ht="20.1" customHeight="1" spans="1:20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ht="20.1" customHeight="1" spans="1:20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</row>
    <row r="41" ht="20.1" customHeight="1" spans="1:20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</row>
    <row r="42" ht="20.1" customHeight="1" spans="1:20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</row>
    <row r="43" ht="20.1" customHeight="1" spans="1:20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</row>
    <row r="44" ht="20.1" customHeight="1" spans="1:20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</row>
    <row r="45" ht="20.1" customHeight="1" spans="1:20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</row>
    <row r="46" ht="20.1" customHeight="1" spans="1:20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</row>
    <row r="47" ht="20.1" customHeight="1" spans="1:20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</row>
    <row r="48" ht="20.1" customHeight="1" spans="1:20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</row>
    <row r="49" ht="20.1" customHeight="1" spans="1:20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</row>
    <row r="50" ht="20.1" customHeight="1" spans="1:20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</row>
    <row r="51" ht="20.1" customHeight="1" spans="1:20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</row>
    <row r="52" ht="20.1" customHeight="1" spans="1:20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</row>
    <row r="53" ht="20.1" customHeight="1" spans="1:20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</row>
    <row r="54" ht="20.1" customHeight="1" spans="1:20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</row>
    <row r="55" ht="20.1" customHeight="1" spans="1:20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</row>
    <row r="56" ht="20.1" customHeight="1" spans="1:20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</row>
    <row r="57" ht="20.1" customHeight="1" spans="1:20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</row>
    <row r="58" ht="20.1" customHeight="1" spans="1:20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</row>
    <row r="59" ht="20.1" customHeight="1" spans="1:20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</row>
    <row r="60" ht="20.1" customHeight="1" spans="1:20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</row>
    <row r="61" ht="20.1" customHeight="1" spans="1:20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</row>
    <row r="62" ht="20.1" customHeight="1" spans="1:20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</row>
    <row r="63" ht="20.1" customHeight="1" spans="1:20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</row>
    <row r="64" ht="20.1" customHeight="1" spans="1:20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</row>
    <row r="65" ht="20.1" customHeight="1" spans="1:20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</row>
    <row r="66" ht="20.1" customHeight="1" spans="1:20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</row>
    <row r="67" ht="20.1" customHeight="1" spans="1:20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</row>
    <row r="68" ht="20.1" customHeight="1" spans="1:20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</row>
    <row r="69" ht="20.1" customHeight="1" spans="1:20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</row>
    <row r="70" ht="20.1" customHeight="1" spans="1:20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</row>
    <row r="71" ht="20.1" customHeight="1" spans="1:20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</row>
    <row r="72" ht="20.1" customHeight="1" spans="1:20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</row>
    <row r="73" ht="20.1" customHeight="1" spans="1:20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</row>
    <row r="74" ht="20.1" customHeight="1" spans="1:20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</row>
    <row r="75" ht="409.5" customHeight="1" spans="1:20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</row>
    <row r="76" ht="32.25" spans="1:20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</row>
    <row r="77" ht="32.25" spans="1:20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</row>
    <row r="78" ht="32.25" spans="1:20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</row>
    <row r="79" ht="32.25" spans="1:20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</row>
    <row r="80" ht="32.25" spans="1:20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</row>
    <row r="81" ht="32.25" spans="1:20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</row>
    <row r="82" ht="32.25" spans="1:20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</row>
    <row r="83" ht="32.25" spans="1:20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</row>
    <row r="84" ht="32.25" spans="1:20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</row>
    <row r="85" ht="32.25" spans="1:20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</row>
    <row r="86" ht="32.25" spans="1:20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</row>
  </sheetData>
  <mergeCells count="6">
    <mergeCell ref="R15:T15"/>
    <mergeCell ref="A24:T75"/>
    <mergeCell ref="A4:T5"/>
    <mergeCell ref="A7:T13"/>
    <mergeCell ref="A17:T19"/>
    <mergeCell ref="A21:T2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5" workbookViewId="0">
      <selection activeCell="C79" sqref="C79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126.30569</v>
      </c>
      <c r="E25" s="114">
        <v>16.42907</v>
      </c>
      <c r="F25" s="134"/>
      <c r="G25" s="115"/>
      <c r="H25" s="116">
        <f>SUM(D25:G25)</f>
        <v>142.73476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126.30569</v>
      </c>
      <c r="E30" s="117">
        <f>SUM(E25:E29)</f>
        <v>16.42907</v>
      </c>
      <c r="F30" s="117">
        <f>SUM(F25:F29)</f>
        <v>0</v>
      </c>
      <c r="G30" s="117">
        <f>SUM(G25:G29)</f>
        <v>0</v>
      </c>
      <c r="H30" s="117">
        <f>SUM(H25:H29)</f>
        <v>142.73476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126.30569</v>
      </c>
      <c r="E31" s="121">
        <f>E23+E30</f>
        <v>16.42907</v>
      </c>
      <c r="F31" s="121">
        <f>F23+F30</f>
        <v>0</v>
      </c>
      <c r="G31" s="121">
        <f>G23+G30</f>
        <v>0</v>
      </c>
      <c r="H31" s="121">
        <f>H23+H30</f>
        <v>142.73476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126.30569</v>
      </c>
      <c r="E37" s="125">
        <f>E31+E36</f>
        <v>16.42907</v>
      </c>
      <c r="F37" s="125">
        <f>F31+F36</f>
        <v>0</v>
      </c>
      <c r="G37" s="125">
        <f>G31+G36</f>
        <v>0</v>
      </c>
      <c r="H37" s="125">
        <f>H31+H36</f>
        <v>142.73476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126.30569</v>
      </c>
      <c r="E43" s="125">
        <f>E37+E42</f>
        <v>16.42907</v>
      </c>
      <c r="F43" s="125">
        <f>F37+F42</f>
        <v>0</v>
      </c>
      <c r="G43" s="125">
        <f>G37+G42</f>
        <v>0</v>
      </c>
      <c r="H43" s="125">
        <f>H37+H42</f>
        <v>142.73476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126.30569</v>
      </c>
      <c r="E49" s="125">
        <f>E43+E48</f>
        <v>16.42907</v>
      </c>
      <c r="F49" s="125">
        <f>F43+F48</f>
        <v>0</v>
      </c>
      <c r="G49" s="125">
        <f>G43+G48</f>
        <v>0</v>
      </c>
      <c r="H49" s="125">
        <f>H43+H48</f>
        <v>142.73476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126.30569</v>
      </c>
      <c r="E55" s="125">
        <f>E49+E54</f>
        <v>16.42907</v>
      </c>
      <c r="F55" s="125">
        <f>F49+F54</f>
        <v>0</v>
      </c>
      <c r="G55" s="125">
        <f>G49+G54</f>
        <v>0</v>
      </c>
      <c r="H55" s="125">
        <f>H49+H54</f>
        <v>142.73476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126.30569</v>
      </c>
      <c r="E61" s="125">
        <f>E55+E60</f>
        <v>16.42907</v>
      </c>
      <c r="F61" s="125">
        <f>F55+F60</f>
        <v>0</v>
      </c>
      <c r="G61" s="125">
        <f>G55+G60</f>
        <v>0</v>
      </c>
      <c r="H61" s="125">
        <f>H55+H60</f>
        <v>142.73476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3.15764</v>
      </c>
      <c r="E63" s="129">
        <f>ROUND(E61*2.5%,5)</f>
        <v>0.41073</v>
      </c>
      <c r="F63" s="129"/>
      <c r="G63" s="129"/>
      <c r="H63" s="130">
        <f t="shared" ref="H63:H65" si="0">SUM(D63:G63)</f>
        <v>3.56837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3.15764</v>
      </c>
      <c r="E66" s="117">
        <f>SUM(E63:E65)</f>
        <v>0.41073</v>
      </c>
      <c r="F66" s="117">
        <f>SUM(F63:F65)</f>
        <v>0</v>
      </c>
      <c r="G66" s="117">
        <f>SUM(G63:G65)</f>
        <v>0</v>
      </c>
      <c r="H66" s="117">
        <f>SUM(H63:H65)</f>
        <v>3.56837</v>
      </c>
    </row>
    <row r="67" s="75" customFormat="1" ht="18.75" spans="1:8">
      <c r="A67" s="118" t="s">
        <v>59</v>
      </c>
      <c r="B67" s="119"/>
      <c r="C67" s="120"/>
      <c r="D67" s="121">
        <f>D61+D66</f>
        <v>129.46333</v>
      </c>
      <c r="E67" s="121">
        <f>E61+E66</f>
        <v>16.8398</v>
      </c>
      <c r="F67" s="121">
        <f>F61+F66</f>
        <v>0</v>
      </c>
      <c r="G67" s="121">
        <f>G61+G66</f>
        <v>0</v>
      </c>
      <c r="H67" s="121">
        <f>H61+H66</f>
        <v>146.30313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2.4598</v>
      </c>
      <c r="E69" s="129">
        <f>ROUND(E67*1.9%,5)</f>
        <v>0.31996</v>
      </c>
      <c r="F69" s="129"/>
      <c r="G69" s="129"/>
      <c r="H69" s="130">
        <f t="shared" ref="H69" si="1">SUM(D69:G69)</f>
        <v>2.77976</v>
      </c>
      <c r="J69" s="136" t="s">
        <v>63</v>
      </c>
      <c r="K69" s="137">
        <f>(D31+E31)*1.019*1000+G76*1000</f>
        <v>159140.44044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13.69372</v>
      </c>
      <c r="H70" s="116">
        <f>G70</f>
        <v>13.69372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>G71</f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2.4598</v>
      </c>
      <c r="E75" s="117">
        <f>SUM(E69:E74)</f>
        <v>0.31996</v>
      </c>
      <c r="F75" s="117">
        <f>SUM(F69:F74)</f>
        <v>0</v>
      </c>
      <c r="G75" s="117">
        <f>SUM(G69:G74)</f>
        <v>13.69372</v>
      </c>
      <c r="H75" s="117">
        <f>SUM(H69:H74)</f>
        <v>16.47348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131.92313</v>
      </c>
      <c r="E76" s="121">
        <f>E67+E75</f>
        <v>17.15976</v>
      </c>
      <c r="F76" s="121">
        <f>F67+F75</f>
        <v>0</v>
      </c>
      <c r="G76" s="121">
        <f>G67+G75</f>
        <v>13.69372</v>
      </c>
      <c r="H76" s="144">
        <f>H67+H75</f>
        <v>162.77661</v>
      </c>
      <c r="I76" s="169">
        <f>K69+K70</f>
        <v>159140.44044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3.48342</v>
      </c>
      <c r="H78" s="116">
        <f>SUM(D78:G78)</f>
        <v>3.48342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6.49132</v>
      </c>
      <c r="H79" s="116">
        <f>SUM(D79:G79)</f>
        <v>6.49132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9.97474</v>
      </c>
      <c r="H81" s="117">
        <f>SUM(D81:G81)</f>
        <v>9.97474</v>
      </c>
    </row>
    <row r="82" s="75" customFormat="1" ht="18.75" spans="1:8">
      <c r="A82" s="118" t="s">
        <v>83</v>
      </c>
      <c r="B82" s="119"/>
      <c r="C82" s="120"/>
      <c r="D82" s="121">
        <f>D76+D81</f>
        <v>131.92313</v>
      </c>
      <c r="E82" s="121">
        <f>E76+E81</f>
        <v>17.15976</v>
      </c>
      <c r="F82" s="121">
        <f>F76+F81</f>
        <v>0</v>
      </c>
      <c r="G82" s="121">
        <f>G76+G81</f>
        <v>23.66846</v>
      </c>
      <c r="H82" s="121">
        <f>H76+H81</f>
        <v>172.75135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131.92313</v>
      </c>
      <c r="E88" s="125">
        <f>E82+E87</f>
        <v>17.15976</v>
      </c>
      <c r="F88" s="125">
        <f>F82+F87</f>
        <v>0</v>
      </c>
      <c r="G88" s="125">
        <f>G82+G87</f>
        <v>23.66846</v>
      </c>
      <c r="H88" s="125">
        <f>H82+H87</f>
        <v>172.75135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15-26-Ф-Ст от 13.02.2026</v>
      </c>
      <c r="C90" s="147" t="s">
        <v>87</v>
      </c>
      <c r="D90" s="134"/>
      <c r="E90" s="134"/>
      <c r="F90" s="134"/>
      <c r="G90" s="113">
        <v>2.39703</v>
      </c>
      <c r="H90" s="116">
        <f>SUM(D90:G90)</f>
        <v>2.39703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2.39703</v>
      </c>
      <c r="H93" s="117">
        <f>SUM(H90:H92)</f>
        <v>2.39703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131.92313</v>
      </c>
      <c r="E94" s="121">
        <f>E88+E93</f>
        <v>17.15976</v>
      </c>
      <c r="F94" s="121">
        <f>F88+F93</f>
        <v>0</v>
      </c>
      <c r="G94" s="121">
        <f>G88+G93</f>
        <v>26.06549</v>
      </c>
      <c r="H94" s="121">
        <f>H93+H88</f>
        <v>175.14838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161.53747044</v>
      </c>
      <c r="K95" s="176">
        <f>J95*1.22</f>
        <v>197.0757139368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3.95769</v>
      </c>
      <c r="E96" s="134">
        <f t="shared" ref="E96:G96" si="2">ROUND(E94*0.03,5)</f>
        <v>0.51479</v>
      </c>
      <c r="F96" s="134">
        <f t="shared" si="2"/>
        <v>0</v>
      </c>
      <c r="G96" s="134">
        <f t="shared" si="2"/>
        <v>0.78196</v>
      </c>
      <c r="H96" s="116">
        <f>SUM(D96:G96)</f>
        <v>5.25444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3.95769</v>
      </c>
      <c r="E99" s="152">
        <f>SUM(E96:E98)</f>
        <v>0.51479</v>
      </c>
      <c r="F99" s="152">
        <f>SUM(F96:F98)</f>
        <v>0</v>
      </c>
      <c r="G99" s="152">
        <f>SUM(G96:G98)</f>
        <v>0.78196</v>
      </c>
      <c r="H99" s="152">
        <f>SUM(H96:H98)</f>
        <v>5.25444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135.88082</v>
      </c>
      <c r="E100" s="154">
        <f>E94+E99</f>
        <v>17.67455</v>
      </c>
      <c r="F100" s="154">
        <f>F94+F99</f>
        <v>0</v>
      </c>
      <c r="G100" s="154">
        <f>G94+G99</f>
        <v>26.84745</v>
      </c>
      <c r="H100" s="154">
        <f>H94+H99</f>
        <v>180.40282</v>
      </c>
      <c r="I100" s="180"/>
      <c r="J100" s="181">
        <v>76.59094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29.89378</v>
      </c>
      <c r="E102" s="134">
        <f>ROUND(E100*0.22,5)</f>
        <v>3.8884</v>
      </c>
      <c r="F102" s="134">
        <f>ROUND(F100*0.22,5)</f>
        <v>0</v>
      </c>
      <c r="G102" s="134">
        <f>ROUND(G100*0.22,5)</f>
        <v>5.90644</v>
      </c>
      <c r="H102" s="121">
        <f>SUM(D102:G102)</f>
        <v>39.68862</v>
      </c>
      <c r="I102" s="171"/>
      <c r="J102" s="182">
        <v>84.04478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29.89378</v>
      </c>
      <c r="E105" s="121">
        <f>SUM(E102:E104)</f>
        <v>3.8884</v>
      </c>
      <c r="F105" s="121">
        <f>SUM(F102:F104)</f>
        <v>0</v>
      </c>
      <c r="G105" s="121">
        <f>SUM(G102:G104)</f>
        <v>5.90644</v>
      </c>
      <c r="H105" s="121">
        <f>SUM(H102:H104)</f>
        <v>39.68862</v>
      </c>
      <c r="I105" s="183" t="s">
        <v>107</v>
      </c>
      <c r="J105" s="184">
        <f>(J102/1.03/1.0393-H90)/1.0214</f>
        <v>74.519626671994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165.7746</v>
      </c>
      <c r="E106" s="121">
        <f>E100+E105</f>
        <v>21.56295</v>
      </c>
      <c r="F106" s="121">
        <f>F100+F105</f>
        <v>0</v>
      </c>
      <c r="G106" s="121">
        <f>G100+G105</f>
        <v>32.75389</v>
      </c>
      <c r="H106" s="134">
        <f>H100+H105</f>
        <v>220.09144</v>
      </c>
      <c r="I106" s="183" t="s">
        <v>109</v>
      </c>
      <c r="J106" s="186">
        <f>J100-H90</f>
        <v>74.19391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5" workbookViewId="0">
      <selection activeCell="C79" sqref="C79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72.80692</v>
      </c>
      <c r="E25" s="114"/>
      <c r="F25" s="134"/>
      <c r="G25" s="115"/>
      <c r="H25" s="116">
        <f t="shared" ref="H25:H29" si="2">SUM(D25:G25)</f>
        <v>72.80692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72.80692</v>
      </c>
      <c r="E30" s="117">
        <f t="shared" si="3"/>
        <v>0</v>
      </c>
      <c r="F30" s="117">
        <f t="shared" si="3"/>
        <v>0</v>
      </c>
      <c r="G30" s="117">
        <f t="shared" si="3"/>
        <v>0</v>
      </c>
      <c r="H30" s="117">
        <f t="shared" si="3"/>
        <v>72.80692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72.80692</v>
      </c>
      <c r="E31" s="121">
        <f t="shared" si="4"/>
        <v>0</v>
      </c>
      <c r="F31" s="121">
        <f t="shared" si="4"/>
        <v>0</v>
      </c>
      <c r="G31" s="121">
        <f t="shared" si="4"/>
        <v>0</v>
      </c>
      <c r="H31" s="121">
        <f t="shared" si="4"/>
        <v>72.80692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72.80692</v>
      </c>
      <c r="E37" s="125">
        <f t="shared" si="7"/>
        <v>0</v>
      </c>
      <c r="F37" s="125">
        <f t="shared" si="7"/>
        <v>0</v>
      </c>
      <c r="G37" s="125">
        <f t="shared" si="7"/>
        <v>0</v>
      </c>
      <c r="H37" s="125">
        <f t="shared" si="7"/>
        <v>72.80692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72.80692</v>
      </c>
      <c r="E43" s="125">
        <f t="shared" si="10"/>
        <v>0</v>
      </c>
      <c r="F43" s="125">
        <f t="shared" si="10"/>
        <v>0</v>
      </c>
      <c r="G43" s="125">
        <f t="shared" si="10"/>
        <v>0</v>
      </c>
      <c r="H43" s="125">
        <f t="shared" si="10"/>
        <v>72.80692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72.80692</v>
      </c>
      <c r="E49" s="125">
        <f t="shared" si="13"/>
        <v>0</v>
      </c>
      <c r="F49" s="125">
        <f t="shared" si="13"/>
        <v>0</v>
      </c>
      <c r="G49" s="125">
        <f t="shared" si="13"/>
        <v>0</v>
      </c>
      <c r="H49" s="125">
        <f t="shared" si="13"/>
        <v>72.80692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72.80692</v>
      </c>
      <c r="E55" s="125">
        <f t="shared" si="16"/>
        <v>0</v>
      </c>
      <c r="F55" s="125">
        <f t="shared" si="16"/>
        <v>0</v>
      </c>
      <c r="G55" s="125">
        <f t="shared" si="16"/>
        <v>0</v>
      </c>
      <c r="H55" s="125">
        <f t="shared" si="16"/>
        <v>72.80692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72.80692</v>
      </c>
      <c r="E61" s="125">
        <f t="shared" si="19"/>
        <v>0</v>
      </c>
      <c r="F61" s="125">
        <f t="shared" si="19"/>
        <v>0</v>
      </c>
      <c r="G61" s="125">
        <f t="shared" si="19"/>
        <v>0</v>
      </c>
      <c r="H61" s="125">
        <f t="shared" si="19"/>
        <v>72.80692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1.82017</v>
      </c>
      <c r="E63" s="129">
        <f>ROUND(E61*2.5%,5)</f>
        <v>0</v>
      </c>
      <c r="F63" s="129"/>
      <c r="G63" s="129"/>
      <c r="H63" s="130">
        <f t="shared" ref="H63:H65" si="20">SUM(D63:G63)</f>
        <v>1.82017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1.82017</v>
      </c>
      <c r="E66" s="117">
        <f t="shared" si="21"/>
        <v>0</v>
      </c>
      <c r="F66" s="117">
        <f t="shared" si="21"/>
        <v>0</v>
      </c>
      <c r="G66" s="117">
        <f t="shared" si="21"/>
        <v>0</v>
      </c>
      <c r="H66" s="117">
        <f t="shared" si="21"/>
        <v>1.82017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74.62709</v>
      </c>
      <c r="E67" s="121">
        <f t="shared" si="22"/>
        <v>0</v>
      </c>
      <c r="F67" s="121">
        <f t="shared" si="22"/>
        <v>0</v>
      </c>
      <c r="G67" s="121">
        <f t="shared" si="22"/>
        <v>0</v>
      </c>
      <c r="H67" s="121">
        <f t="shared" si="22"/>
        <v>74.62709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1.41791</v>
      </c>
      <c r="E69" s="129">
        <f>ROUND(E67*1.9%,5)</f>
        <v>0</v>
      </c>
      <c r="F69" s="129"/>
      <c r="G69" s="129"/>
      <c r="H69" s="130">
        <f>SUM(D69:G69)</f>
        <v>1.41791</v>
      </c>
      <c r="J69" s="136" t="s">
        <v>63</v>
      </c>
      <c r="K69" s="137">
        <f>(D31+E31)*1.019*1000+G76*1000</f>
        <v>74190.25148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/>
      <c r="H70" s="116">
        <f t="shared" ref="H70:H74" si="23"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1.41791</v>
      </c>
      <c r="E75" s="117">
        <f t="shared" si="24"/>
        <v>0</v>
      </c>
      <c r="F75" s="117">
        <f t="shared" si="24"/>
        <v>0</v>
      </c>
      <c r="G75" s="117">
        <f t="shared" si="24"/>
        <v>0</v>
      </c>
      <c r="H75" s="117">
        <f t="shared" si="24"/>
        <v>1.41791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76.045</v>
      </c>
      <c r="E76" s="121">
        <f t="shared" si="25"/>
        <v>0</v>
      </c>
      <c r="F76" s="121">
        <f t="shared" si="25"/>
        <v>0</v>
      </c>
      <c r="G76" s="121">
        <f t="shared" si="25"/>
        <v>0</v>
      </c>
      <c r="H76" s="144">
        <f t="shared" si="25"/>
        <v>76.045</v>
      </c>
      <c r="I76" s="169">
        <f>K69+K70</f>
        <v>74190.25148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1.62736</v>
      </c>
      <c r="H78" s="116">
        <f t="shared" ref="H78:H81" si="26">SUM(D78:G78)</f>
        <v>1.62736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3.08277</v>
      </c>
      <c r="H79" s="116">
        <f t="shared" si="26"/>
        <v>3.08277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4.71013</v>
      </c>
      <c r="H81" s="117">
        <f t="shared" si="26"/>
        <v>4.71013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76.045</v>
      </c>
      <c r="E82" s="121">
        <f t="shared" si="28"/>
        <v>0</v>
      </c>
      <c r="F82" s="121">
        <f t="shared" si="28"/>
        <v>0</v>
      </c>
      <c r="G82" s="121">
        <f t="shared" si="28"/>
        <v>4.71013</v>
      </c>
      <c r="H82" s="121">
        <f t="shared" si="28"/>
        <v>80.75513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76.045</v>
      </c>
      <c r="E88" s="125">
        <f t="shared" si="31"/>
        <v>0</v>
      </c>
      <c r="F88" s="125">
        <f t="shared" si="31"/>
        <v>0</v>
      </c>
      <c r="G88" s="125">
        <f t="shared" si="31"/>
        <v>4.71013</v>
      </c>
      <c r="H88" s="125">
        <f t="shared" si="31"/>
        <v>80.75513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15-26-Ф-Ст от 13.02.2026</v>
      </c>
      <c r="C90" s="147" t="s">
        <v>87</v>
      </c>
      <c r="D90" s="134"/>
      <c r="E90" s="134"/>
      <c r="F90" s="134"/>
      <c r="G90" s="113">
        <v>2.39703</v>
      </c>
      <c r="H90" s="116">
        <f t="shared" ref="H90:H92" si="32">SUM(D90:G90)</f>
        <v>2.39703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2.39703</v>
      </c>
      <c r="H93" s="117">
        <f t="shared" si="33"/>
        <v>2.39703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76.045</v>
      </c>
      <c r="E94" s="121">
        <f t="shared" si="34"/>
        <v>0</v>
      </c>
      <c r="F94" s="121">
        <f t="shared" si="34"/>
        <v>0</v>
      </c>
      <c r="G94" s="121">
        <f t="shared" si="34"/>
        <v>7.10716</v>
      </c>
      <c r="H94" s="121">
        <f>H93+H88</f>
        <v>83.15216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76.58728148</v>
      </c>
      <c r="K95" s="176">
        <f>J95*1.22</f>
        <v>93.4364834056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2.28135</v>
      </c>
      <c r="E96" s="134">
        <f t="shared" si="35"/>
        <v>0</v>
      </c>
      <c r="F96" s="134">
        <f t="shared" si="35"/>
        <v>0</v>
      </c>
      <c r="G96" s="134">
        <f t="shared" si="35"/>
        <v>0.21321</v>
      </c>
      <c r="H96" s="116">
        <f t="shared" ref="H96:H98" si="36">SUM(D96:G96)</f>
        <v>2.49456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2.28135</v>
      </c>
      <c r="E99" s="152">
        <f t="shared" si="37"/>
        <v>0</v>
      </c>
      <c r="F99" s="152">
        <f t="shared" si="37"/>
        <v>0</v>
      </c>
      <c r="G99" s="152">
        <f t="shared" si="37"/>
        <v>0.21321</v>
      </c>
      <c r="H99" s="152">
        <f t="shared" si="37"/>
        <v>2.49456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78.32635</v>
      </c>
      <c r="E100" s="154">
        <f t="shared" si="38"/>
        <v>0</v>
      </c>
      <c r="F100" s="154">
        <f t="shared" si="38"/>
        <v>0</v>
      </c>
      <c r="G100" s="154">
        <f t="shared" si="38"/>
        <v>7.32037</v>
      </c>
      <c r="H100" s="154">
        <f t="shared" si="38"/>
        <v>85.64672</v>
      </c>
      <c r="I100" s="180"/>
      <c r="J100" s="181">
        <v>76.59094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17.2318</v>
      </c>
      <c r="E102" s="134">
        <f t="shared" si="39"/>
        <v>0</v>
      </c>
      <c r="F102" s="134">
        <f t="shared" si="39"/>
        <v>0</v>
      </c>
      <c r="G102" s="134">
        <f t="shared" si="39"/>
        <v>1.61048</v>
      </c>
      <c r="H102" s="121">
        <f t="shared" ref="H102:H104" si="40">SUM(D102:G102)</f>
        <v>18.84228</v>
      </c>
      <c r="I102" s="171"/>
      <c r="J102" s="182">
        <v>84.04478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17.2318</v>
      </c>
      <c r="E105" s="121">
        <f t="shared" si="41"/>
        <v>0</v>
      </c>
      <c r="F105" s="121">
        <f t="shared" si="41"/>
        <v>0</v>
      </c>
      <c r="G105" s="121">
        <f t="shared" si="41"/>
        <v>1.61048</v>
      </c>
      <c r="H105" s="121">
        <f t="shared" si="41"/>
        <v>18.84228</v>
      </c>
      <c r="I105" s="183" t="s">
        <v>107</v>
      </c>
      <c r="J105" s="184">
        <f>(J102/1.03/1.0393-H90)/1.0214</f>
        <v>74.519626671994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95.55815</v>
      </c>
      <c r="E106" s="121">
        <f t="shared" si="42"/>
        <v>0</v>
      </c>
      <c r="F106" s="121">
        <f t="shared" si="42"/>
        <v>0</v>
      </c>
      <c r="G106" s="121">
        <f t="shared" si="42"/>
        <v>8.93085</v>
      </c>
      <c r="H106" s="134">
        <f t="shared" si="42"/>
        <v>104.489</v>
      </c>
      <c r="I106" s="183" t="s">
        <v>109</v>
      </c>
      <c r="J106" s="186">
        <f>J100-H90</f>
        <v>74.19391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5" workbookViewId="0">
      <selection activeCell="B68" sqref="B68:G68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 t="s">
        <v>10</v>
      </c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 t="s">
        <v>12</v>
      </c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 t="s">
        <v>14</v>
      </c>
      <c r="E15" s="97"/>
      <c r="F15" s="79"/>
      <c r="G15" s="96"/>
      <c r="H15" s="96" t="s">
        <v>15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 t="shared" ref="H20:H22" si="0"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 t="shared" si="0"/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 t="shared" si="0"/>
        <v>0</v>
      </c>
    </row>
    <row r="23" s="76" customFormat="1" ht="18.75" spans="1:8">
      <c r="A23" s="107" t="s">
        <v>26</v>
      </c>
      <c r="B23" s="108"/>
      <c r="C23" s="109"/>
      <c r="D23" s="110">
        <f t="shared" ref="D23:H23" si="1">SUM(D20:D22)</f>
        <v>0</v>
      </c>
      <c r="E23" s="110">
        <f t="shared" si="1"/>
        <v>0</v>
      </c>
      <c r="F23" s="110">
        <f t="shared" si="1"/>
        <v>0</v>
      </c>
      <c r="G23" s="110">
        <f t="shared" si="1"/>
        <v>0</v>
      </c>
      <c r="H23" s="110">
        <f t="shared" si="1"/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">
        <v>29</v>
      </c>
      <c r="D25" s="113">
        <v>53.49877</v>
      </c>
      <c r="E25" s="114">
        <v>16.42907</v>
      </c>
      <c r="F25" s="134"/>
      <c r="G25" s="115"/>
      <c r="H25" s="116">
        <f t="shared" ref="H25:H29" si="2">SUM(D25:G25)</f>
        <v>69.92784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">
        <v>31</v>
      </c>
      <c r="D26" s="113"/>
      <c r="E26" s="113"/>
      <c r="F26" s="113"/>
      <c r="G26" s="115"/>
      <c r="H26" s="116">
        <f t="shared" si="2"/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 t="shared" si="2"/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 t="shared" si="2"/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 t="shared" si="2"/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 t="shared" ref="D30:H30" si="3">SUM(D25:D29)</f>
        <v>53.49877</v>
      </c>
      <c r="E30" s="117">
        <f t="shared" si="3"/>
        <v>16.42907</v>
      </c>
      <c r="F30" s="117">
        <f t="shared" si="3"/>
        <v>0</v>
      </c>
      <c r="G30" s="117">
        <f t="shared" si="3"/>
        <v>0</v>
      </c>
      <c r="H30" s="117">
        <f t="shared" si="3"/>
        <v>69.92784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 t="shared" ref="D31:H31" si="4">D23+D30</f>
        <v>53.49877</v>
      </c>
      <c r="E31" s="121">
        <f t="shared" si="4"/>
        <v>16.42907</v>
      </c>
      <c r="F31" s="121">
        <f t="shared" si="4"/>
        <v>0</v>
      </c>
      <c r="G31" s="121">
        <f t="shared" si="4"/>
        <v>0</v>
      </c>
      <c r="H31" s="121">
        <f t="shared" si="4"/>
        <v>69.92784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 t="shared" ref="H33:H35" si="5"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 t="shared" si="5"/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 t="shared" si="5"/>
        <v>0</v>
      </c>
    </row>
    <row r="36" s="76" customFormat="1" ht="18.75" hidden="1" spans="1:8">
      <c r="A36" s="107" t="s">
        <v>41</v>
      </c>
      <c r="B36" s="108"/>
      <c r="C36" s="109"/>
      <c r="D36" s="110">
        <f t="shared" ref="D36:H36" si="6">SUM(D33:D35)</f>
        <v>0</v>
      </c>
      <c r="E36" s="110">
        <f t="shared" si="6"/>
        <v>0</v>
      </c>
      <c r="F36" s="110">
        <f t="shared" si="6"/>
        <v>0</v>
      </c>
      <c r="G36" s="110">
        <f t="shared" si="6"/>
        <v>0</v>
      </c>
      <c r="H36" s="110">
        <f t="shared" si="6"/>
        <v>0</v>
      </c>
    </row>
    <row r="37" s="76" customFormat="1" ht="18.75" hidden="1" spans="1:8">
      <c r="A37" s="118" t="s">
        <v>42</v>
      </c>
      <c r="B37" s="119"/>
      <c r="C37" s="120"/>
      <c r="D37" s="125">
        <f t="shared" ref="D37:H37" si="7">D31+D36</f>
        <v>53.49877</v>
      </c>
      <c r="E37" s="125">
        <f t="shared" si="7"/>
        <v>16.42907</v>
      </c>
      <c r="F37" s="125">
        <f t="shared" si="7"/>
        <v>0</v>
      </c>
      <c r="G37" s="125">
        <f t="shared" si="7"/>
        <v>0</v>
      </c>
      <c r="H37" s="125">
        <f t="shared" si="7"/>
        <v>69.92784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 t="shared" ref="H39:H41" si="8"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 t="shared" si="8"/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 t="shared" si="8"/>
        <v>0</v>
      </c>
    </row>
    <row r="42" s="76" customFormat="1" ht="18.75" hidden="1" spans="1:8">
      <c r="A42" s="107" t="s">
        <v>44</v>
      </c>
      <c r="B42" s="108"/>
      <c r="C42" s="109"/>
      <c r="D42" s="110">
        <f t="shared" ref="D42:H42" si="9">SUM(D39:D41)</f>
        <v>0</v>
      </c>
      <c r="E42" s="110">
        <f t="shared" si="9"/>
        <v>0</v>
      </c>
      <c r="F42" s="110">
        <f t="shared" si="9"/>
        <v>0</v>
      </c>
      <c r="G42" s="110">
        <f t="shared" si="9"/>
        <v>0</v>
      </c>
      <c r="H42" s="110">
        <f t="shared" si="9"/>
        <v>0</v>
      </c>
    </row>
    <row r="43" s="76" customFormat="1" ht="18.75" hidden="1" spans="1:8">
      <c r="A43" s="118" t="s">
        <v>45</v>
      </c>
      <c r="B43" s="119"/>
      <c r="C43" s="120"/>
      <c r="D43" s="125">
        <f t="shared" ref="D43:H43" si="10">D37+D42</f>
        <v>53.49877</v>
      </c>
      <c r="E43" s="125">
        <f t="shared" si="10"/>
        <v>16.42907</v>
      </c>
      <c r="F43" s="125">
        <f t="shared" si="10"/>
        <v>0</v>
      </c>
      <c r="G43" s="125">
        <f t="shared" si="10"/>
        <v>0</v>
      </c>
      <c r="H43" s="125">
        <f t="shared" si="10"/>
        <v>69.92784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 t="shared" ref="H45:H47" si="11"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 t="shared" si="11"/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 t="shared" si="11"/>
        <v>0</v>
      </c>
    </row>
    <row r="48" s="76" customFormat="1" ht="18.75" hidden="1" spans="1:8">
      <c r="A48" s="107" t="s">
        <v>47</v>
      </c>
      <c r="B48" s="108"/>
      <c r="C48" s="109"/>
      <c r="D48" s="110">
        <f t="shared" ref="D48:H48" si="12">SUM(D45:D47)</f>
        <v>0</v>
      </c>
      <c r="E48" s="110">
        <f t="shared" si="12"/>
        <v>0</v>
      </c>
      <c r="F48" s="110">
        <f t="shared" si="12"/>
        <v>0</v>
      </c>
      <c r="G48" s="110">
        <f t="shared" si="12"/>
        <v>0</v>
      </c>
      <c r="H48" s="110">
        <f t="shared" si="12"/>
        <v>0</v>
      </c>
    </row>
    <row r="49" s="76" customFormat="1" ht="18.75" hidden="1" spans="1:8">
      <c r="A49" s="118" t="s">
        <v>48</v>
      </c>
      <c r="B49" s="119"/>
      <c r="C49" s="120"/>
      <c r="D49" s="125">
        <f t="shared" ref="D49:H49" si="13">D43+D48</f>
        <v>53.49877</v>
      </c>
      <c r="E49" s="125">
        <f t="shared" si="13"/>
        <v>16.42907</v>
      </c>
      <c r="F49" s="125">
        <f t="shared" si="13"/>
        <v>0</v>
      </c>
      <c r="G49" s="125">
        <f t="shared" si="13"/>
        <v>0</v>
      </c>
      <c r="H49" s="125">
        <f t="shared" si="13"/>
        <v>69.92784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 t="shared" ref="H51:H53" si="14"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 t="shared" si="14"/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 t="shared" si="14"/>
        <v>0</v>
      </c>
    </row>
    <row r="54" s="76" customFormat="1" ht="18.75" hidden="1" spans="1:8">
      <c r="A54" s="107" t="s">
        <v>50</v>
      </c>
      <c r="B54" s="108"/>
      <c r="C54" s="109"/>
      <c r="D54" s="110">
        <f t="shared" ref="D54:H54" si="15">SUM(D51:D53)</f>
        <v>0</v>
      </c>
      <c r="E54" s="110">
        <f t="shared" si="15"/>
        <v>0</v>
      </c>
      <c r="F54" s="110">
        <f t="shared" si="15"/>
        <v>0</v>
      </c>
      <c r="G54" s="110">
        <f t="shared" si="15"/>
        <v>0</v>
      </c>
      <c r="H54" s="110">
        <f t="shared" si="15"/>
        <v>0</v>
      </c>
    </row>
    <row r="55" s="76" customFormat="1" ht="18.75" hidden="1" spans="1:8">
      <c r="A55" s="118" t="s">
        <v>51</v>
      </c>
      <c r="B55" s="119"/>
      <c r="C55" s="120"/>
      <c r="D55" s="125">
        <f t="shared" ref="D55:H55" si="16">D49+D54</f>
        <v>53.49877</v>
      </c>
      <c r="E55" s="125">
        <f t="shared" si="16"/>
        <v>16.42907</v>
      </c>
      <c r="F55" s="125">
        <f t="shared" si="16"/>
        <v>0</v>
      </c>
      <c r="G55" s="125">
        <f t="shared" si="16"/>
        <v>0</v>
      </c>
      <c r="H55" s="125">
        <f t="shared" si="16"/>
        <v>69.92784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 t="shared" ref="H57:H59" si="17"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 t="shared" si="17"/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 t="shared" si="17"/>
        <v>0</v>
      </c>
    </row>
    <row r="60" s="76" customFormat="1" ht="18.75" hidden="1" spans="1:8">
      <c r="A60" s="107" t="s">
        <v>53</v>
      </c>
      <c r="B60" s="108"/>
      <c r="C60" s="109"/>
      <c r="D60" s="110">
        <f t="shared" ref="D60:H60" si="18">SUM(D57:D59)</f>
        <v>0</v>
      </c>
      <c r="E60" s="110">
        <f t="shared" si="18"/>
        <v>0</v>
      </c>
      <c r="F60" s="110">
        <f t="shared" si="18"/>
        <v>0</v>
      </c>
      <c r="G60" s="110">
        <f t="shared" si="18"/>
        <v>0</v>
      </c>
      <c r="H60" s="110">
        <f t="shared" si="18"/>
        <v>0</v>
      </c>
    </row>
    <row r="61" s="76" customFormat="1" ht="18.75" hidden="1" spans="1:8">
      <c r="A61" s="118" t="s">
        <v>54</v>
      </c>
      <c r="B61" s="119"/>
      <c r="C61" s="120"/>
      <c r="D61" s="125">
        <f t="shared" ref="D61:H61" si="19">D55+D60</f>
        <v>53.49877</v>
      </c>
      <c r="E61" s="125">
        <f t="shared" si="19"/>
        <v>16.42907</v>
      </c>
      <c r="F61" s="125">
        <f t="shared" si="19"/>
        <v>0</v>
      </c>
      <c r="G61" s="125">
        <f t="shared" si="19"/>
        <v>0</v>
      </c>
      <c r="H61" s="125">
        <f t="shared" si="19"/>
        <v>69.92784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1.33747</v>
      </c>
      <c r="E63" s="129">
        <f>ROUND(E61*2.5%,5)</f>
        <v>0.41073</v>
      </c>
      <c r="F63" s="129"/>
      <c r="G63" s="129"/>
      <c r="H63" s="130">
        <f t="shared" ref="H63:H65" si="20">SUM(D63:G63)</f>
        <v>1.7482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2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20"/>
        <v>0</v>
      </c>
    </row>
    <row r="66" s="75" customFormat="1" ht="18.75" spans="1:8">
      <c r="A66" s="107" t="s">
        <v>58</v>
      </c>
      <c r="B66" s="108"/>
      <c r="C66" s="109"/>
      <c r="D66" s="117">
        <f t="shared" ref="D66:H66" si="21">SUM(D63:D65)</f>
        <v>1.33747</v>
      </c>
      <c r="E66" s="117">
        <f t="shared" si="21"/>
        <v>0.41073</v>
      </c>
      <c r="F66" s="117">
        <f t="shared" si="21"/>
        <v>0</v>
      </c>
      <c r="G66" s="117">
        <f t="shared" si="21"/>
        <v>0</v>
      </c>
      <c r="H66" s="117">
        <f t="shared" si="21"/>
        <v>1.7482</v>
      </c>
    </row>
    <row r="67" s="75" customFormat="1" ht="18.75" spans="1:8">
      <c r="A67" s="118" t="s">
        <v>59</v>
      </c>
      <c r="B67" s="119"/>
      <c r="C67" s="120"/>
      <c r="D67" s="121">
        <f t="shared" ref="D67:H67" si="22">D61+D66</f>
        <v>54.83624</v>
      </c>
      <c r="E67" s="121">
        <f t="shared" si="22"/>
        <v>16.8398</v>
      </c>
      <c r="F67" s="121">
        <f t="shared" si="22"/>
        <v>0</v>
      </c>
      <c r="G67" s="121">
        <f t="shared" si="22"/>
        <v>0</v>
      </c>
      <c r="H67" s="121">
        <f t="shared" si="22"/>
        <v>71.67604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1.04189</v>
      </c>
      <c r="E69" s="129">
        <f>ROUND(E67*1.9%,5)</f>
        <v>0.31996</v>
      </c>
      <c r="F69" s="129"/>
      <c r="G69" s="129"/>
      <c r="H69" s="130">
        <f>SUM(D69:G69)</f>
        <v>1.36185</v>
      </c>
      <c r="J69" s="136" t="s">
        <v>63</v>
      </c>
      <c r="K69" s="137">
        <f>(D31+E31)*1.019*1000+G76*1000</f>
        <v>84950.18896</v>
      </c>
    </row>
    <row r="70" s="75" customFormat="1" ht="24.95" customHeight="1" spans="1:11">
      <c r="A70" s="131">
        <v>4</v>
      </c>
      <c r="B70" s="111" t="s">
        <v>64</v>
      </c>
      <c r="C70" s="112" t="s">
        <v>65</v>
      </c>
      <c r="D70" s="134"/>
      <c r="E70" s="134"/>
      <c r="F70" s="134"/>
      <c r="G70" s="113">
        <v>13.69372</v>
      </c>
      <c r="H70" s="116">
        <f t="shared" ref="H70:H74" si="23">G70</f>
        <v>13.69372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">
        <v>68</v>
      </c>
      <c r="D71" s="134"/>
      <c r="E71" s="134"/>
      <c r="F71" s="134"/>
      <c r="G71" s="113"/>
      <c r="H71" s="116">
        <f t="shared" si="23"/>
        <v>0</v>
      </c>
      <c r="J71" s="136"/>
      <c r="K71" s="137"/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 t="shared" si="23"/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 t="shared" si="23"/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 t="shared" si="23"/>
        <v>0</v>
      </c>
    </row>
    <row r="75" s="75" customFormat="1" ht="18.75" spans="1:10">
      <c r="A75" s="107" t="s">
        <v>75</v>
      </c>
      <c r="B75" s="108"/>
      <c r="C75" s="109"/>
      <c r="D75" s="117">
        <f t="shared" ref="D75:H75" si="24">SUM(D69:D74)</f>
        <v>1.04189</v>
      </c>
      <c r="E75" s="117">
        <f t="shared" si="24"/>
        <v>0.31996</v>
      </c>
      <c r="F75" s="117">
        <f t="shared" si="24"/>
        <v>0</v>
      </c>
      <c r="G75" s="117">
        <f t="shared" si="24"/>
        <v>13.69372</v>
      </c>
      <c r="H75" s="117">
        <f t="shared" si="24"/>
        <v>15.05557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 t="shared" ref="D76:H76" si="25">D67+D75</f>
        <v>55.87813</v>
      </c>
      <c r="E76" s="121">
        <f t="shared" si="25"/>
        <v>17.15976</v>
      </c>
      <c r="F76" s="121">
        <f t="shared" si="25"/>
        <v>0</v>
      </c>
      <c r="G76" s="121">
        <f t="shared" si="25"/>
        <v>13.69372</v>
      </c>
      <c r="H76" s="144">
        <f t="shared" si="25"/>
        <v>86.73161</v>
      </c>
      <c r="I76" s="169">
        <f>K69+K70</f>
        <v>84950.18896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1.85606</v>
      </c>
      <c r="H78" s="116">
        <f t="shared" ref="H78:H81" si="26">SUM(D78:G78)</f>
        <v>1.85606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3.40855</v>
      </c>
      <c r="H79" s="116">
        <f t="shared" si="26"/>
        <v>3.40855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 t="shared" si="26"/>
        <v>0</v>
      </c>
    </row>
    <row r="81" s="75" customFormat="1" ht="18.75" spans="1:8">
      <c r="A81" s="107" t="s">
        <v>82</v>
      </c>
      <c r="B81" s="108"/>
      <c r="C81" s="109"/>
      <c r="D81" s="117">
        <f t="shared" ref="D81:G81" si="27">SUM(D78:D80)</f>
        <v>0</v>
      </c>
      <c r="E81" s="117">
        <f t="shared" si="27"/>
        <v>0</v>
      </c>
      <c r="F81" s="117">
        <f t="shared" si="27"/>
        <v>0</v>
      </c>
      <c r="G81" s="117">
        <f t="shared" si="27"/>
        <v>5.26461</v>
      </c>
      <c r="H81" s="117">
        <f t="shared" si="26"/>
        <v>5.26461</v>
      </c>
    </row>
    <row r="82" s="75" customFormat="1" ht="18.75" spans="1:8">
      <c r="A82" s="118" t="s">
        <v>83</v>
      </c>
      <c r="B82" s="119"/>
      <c r="C82" s="120"/>
      <c r="D82" s="121">
        <f t="shared" ref="D82:H82" si="28">D76+D81</f>
        <v>55.87813</v>
      </c>
      <c r="E82" s="121">
        <f t="shared" si="28"/>
        <v>17.15976</v>
      </c>
      <c r="F82" s="121">
        <f t="shared" si="28"/>
        <v>0</v>
      </c>
      <c r="G82" s="121">
        <f t="shared" si="28"/>
        <v>18.95833</v>
      </c>
      <c r="H82" s="121">
        <f t="shared" si="28"/>
        <v>91.99622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 t="shared" ref="H84:H87" si="29"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 t="shared" si="29"/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 t="shared" si="29"/>
        <v>0</v>
      </c>
    </row>
    <row r="87" s="75" customFormat="1" ht="18.75" hidden="1" spans="1:8">
      <c r="A87" s="107" t="s">
        <v>82</v>
      </c>
      <c r="B87" s="108"/>
      <c r="C87" s="109"/>
      <c r="D87" s="110">
        <f t="shared" ref="D87:G87" si="30">SUM(D84:D86)</f>
        <v>0</v>
      </c>
      <c r="E87" s="110">
        <f t="shared" si="30"/>
        <v>0</v>
      </c>
      <c r="F87" s="110">
        <f t="shared" si="30"/>
        <v>0</v>
      </c>
      <c r="G87" s="110">
        <f t="shared" si="30"/>
        <v>0</v>
      </c>
      <c r="H87" s="110">
        <f t="shared" si="29"/>
        <v>0</v>
      </c>
    </row>
    <row r="88" s="75" customFormat="1" ht="18.75" hidden="1" spans="1:8">
      <c r="A88" s="118" t="s">
        <v>85</v>
      </c>
      <c r="B88" s="119"/>
      <c r="C88" s="120"/>
      <c r="D88" s="125">
        <f t="shared" ref="D88:H88" si="31">D82+D87</f>
        <v>55.87813</v>
      </c>
      <c r="E88" s="125">
        <f t="shared" si="31"/>
        <v>17.15976</v>
      </c>
      <c r="F88" s="125">
        <f t="shared" si="31"/>
        <v>0</v>
      </c>
      <c r="G88" s="125">
        <f t="shared" si="31"/>
        <v>18.95833</v>
      </c>
      <c r="H88" s="125">
        <f t="shared" si="31"/>
        <v>91.99622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37.5" spans="1:10">
      <c r="A90" s="103">
        <v>7</v>
      </c>
      <c r="B90" s="146" t="str">
        <f>D14</f>
        <v>Договор № 15-26-Ф-Ст от 13.02.2026</v>
      </c>
      <c r="C90" s="147" t="s">
        <v>87</v>
      </c>
      <c r="D90" s="134"/>
      <c r="E90" s="134"/>
      <c r="F90" s="134"/>
      <c r="G90" s="113"/>
      <c r="H90" s="116">
        <f t="shared" ref="H90:H92" si="32">SUM(D90:G90)</f>
        <v>0</v>
      </c>
      <c r="I90" s="161"/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 t="shared" si="32"/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 t="shared" si="32"/>
        <v>0</v>
      </c>
    </row>
    <row r="93" s="75" customFormat="1" ht="18.75" spans="1:9">
      <c r="A93" s="107" t="s">
        <v>90</v>
      </c>
      <c r="B93" s="108"/>
      <c r="C93" s="109"/>
      <c r="D93" s="117">
        <f t="shared" ref="D93:H93" si="33">SUM(D90:D92)</f>
        <v>0</v>
      </c>
      <c r="E93" s="117">
        <f t="shared" si="33"/>
        <v>0</v>
      </c>
      <c r="F93" s="117">
        <f t="shared" si="33"/>
        <v>0</v>
      </c>
      <c r="G93" s="117">
        <f t="shared" si="33"/>
        <v>0</v>
      </c>
      <c r="H93" s="117">
        <f t="shared" si="33"/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 t="shared" ref="D94:G94" si="34">D88+D93</f>
        <v>55.87813</v>
      </c>
      <c r="E94" s="121">
        <f t="shared" si="34"/>
        <v>17.15976</v>
      </c>
      <c r="F94" s="121">
        <f t="shared" si="34"/>
        <v>0</v>
      </c>
      <c r="G94" s="121">
        <f t="shared" si="34"/>
        <v>18.95833</v>
      </c>
      <c r="H94" s="121">
        <f>H93+H88</f>
        <v>91.99622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84.95018896</v>
      </c>
      <c r="K95" s="176">
        <f>J95*1.22</f>
        <v>103.6392305312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 t="shared" ref="D96:G96" si="35">ROUND(D94*0.03,5)</f>
        <v>1.67634</v>
      </c>
      <c r="E96" s="134">
        <f t="shared" si="35"/>
        <v>0.51479</v>
      </c>
      <c r="F96" s="134">
        <f t="shared" si="35"/>
        <v>0</v>
      </c>
      <c r="G96" s="134">
        <f t="shared" si="35"/>
        <v>0.56875</v>
      </c>
      <c r="H96" s="116">
        <f t="shared" ref="H96:H98" si="36">SUM(D96:G96)</f>
        <v>2.75988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 t="shared" si="36"/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 t="shared" si="36"/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 t="shared" ref="D99:H99" si="37">SUM(D96:D98)</f>
        <v>1.67634</v>
      </c>
      <c r="E99" s="152">
        <f t="shared" si="37"/>
        <v>0.51479</v>
      </c>
      <c r="F99" s="152">
        <f t="shared" si="37"/>
        <v>0</v>
      </c>
      <c r="G99" s="152">
        <f t="shared" si="37"/>
        <v>0.56875</v>
      </c>
      <c r="H99" s="152">
        <f t="shared" si="37"/>
        <v>2.75988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 t="shared" ref="D100:H100" si="38">D94+D99</f>
        <v>57.55447</v>
      </c>
      <c r="E100" s="154">
        <f t="shared" si="38"/>
        <v>17.67455</v>
      </c>
      <c r="F100" s="154">
        <f t="shared" si="38"/>
        <v>0</v>
      </c>
      <c r="G100" s="154">
        <f t="shared" si="38"/>
        <v>19.52708</v>
      </c>
      <c r="H100" s="154">
        <f t="shared" si="38"/>
        <v>94.7561</v>
      </c>
      <c r="I100" s="180"/>
      <c r="J100" s="181">
        <v>76.59094</v>
      </c>
      <c r="K100" s="161"/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 t="shared" ref="D102:G102" si="39">ROUND(D100*0.22,5)</f>
        <v>12.66198</v>
      </c>
      <c r="E102" s="134">
        <f t="shared" si="39"/>
        <v>3.8884</v>
      </c>
      <c r="F102" s="134">
        <f t="shared" si="39"/>
        <v>0</v>
      </c>
      <c r="G102" s="134">
        <f t="shared" si="39"/>
        <v>4.29596</v>
      </c>
      <c r="H102" s="121">
        <f t="shared" ref="H102:H104" si="40">SUM(D102:G102)</f>
        <v>20.84634</v>
      </c>
      <c r="I102" s="171"/>
      <c r="J102" s="182">
        <v>84.04478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 t="shared" si="40"/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 t="shared" si="40"/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 t="shared" ref="D105:H105" si="41">SUM(D102:D104)</f>
        <v>12.66198</v>
      </c>
      <c r="E105" s="121">
        <f t="shared" si="41"/>
        <v>3.8884</v>
      </c>
      <c r="F105" s="121">
        <f t="shared" si="41"/>
        <v>0</v>
      </c>
      <c r="G105" s="121">
        <f t="shared" si="41"/>
        <v>4.29596</v>
      </c>
      <c r="H105" s="121">
        <f t="shared" si="41"/>
        <v>20.84634</v>
      </c>
      <c r="I105" s="183" t="s">
        <v>107</v>
      </c>
      <c r="J105" s="184">
        <f>(J102/1.03/1.0393-H90)/1.0214</f>
        <v>76.8664349743242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 t="shared" ref="D106:H106" si="42">D100+D105</f>
        <v>70.21645</v>
      </c>
      <c r="E106" s="121">
        <f t="shared" si="42"/>
        <v>21.56295</v>
      </c>
      <c r="F106" s="121">
        <f t="shared" si="42"/>
        <v>0</v>
      </c>
      <c r="G106" s="121">
        <f t="shared" si="42"/>
        <v>23.82304</v>
      </c>
      <c r="H106" s="134">
        <f t="shared" si="42"/>
        <v>115.60244</v>
      </c>
      <c r="I106" s="183" t="s">
        <v>109</v>
      </c>
      <c r="J106" s="186">
        <f>J100-H90</f>
        <v>76.59094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C96" sqref="C96"/>
    </sheetView>
  </sheetViews>
  <sheetFormatPr defaultColWidth="9.33333333333333" defaultRowHeight="15"/>
  <cols>
    <col min="1" max="1" width="6" style="78" customWidth="1"/>
    <col min="2" max="2" width="33.6666666666667" style="78" customWidth="1"/>
    <col min="3" max="3" width="63.3333333333333" style="78" customWidth="1"/>
    <col min="4" max="4" width="29" style="78" customWidth="1"/>
    <col min="5" max="5" width="26.8333333333333" style="78" customWidth="1"/>
    <col min="6" max="6" width="23.1666666666667" style="78" customWidth="1"/>
    <col min="7" max="8" width="28.3333333333333" style="78" customWidth="1"/>
    <col min="9" max="9" width="27.8333333333333" style="78" customWidth="1"/>
    <col min="10" max="10" width="28.8333333333333" style="78" customWidth="1"/>
    <col min="11" max="11" width="30.6666666666667" style="78" customWidth="1"/>
    <col min="12" max="12" width="31.3333333333333" style="78" customWidth="1"/>
    <col min="13" max="16384" width="9.33333333333333" style="78"/>
  </cols>
  <sheetData>
    <row r="1" s="72" customFormat="1" ht="30" customHeight="1" spans="1:8">
      <c r="A1" s="79"/>
      <c r="B1" s="80" t="s">
        <v>4</v>
      </c>
      <c r="C1" s="80"/>
      <c r="D1" s="80"/>
      <c r="E1" s="80"/>
      <c r="F1" s="81"/>
      <c r="G1" s="80"/>
      <c r="H1" s="80"/>
    </row>
    <row r="2" s="72" customFormat="1" ht="18.75" spans="1:8">
      <c r="A2" s="79"/>
      <c r="B2" s="82"/>
      <c r="C2" s="82"/>
      <c r="D2" s="82"/>
      <c r="E2" s="82"/>
      <c r="F2" s="83"/>
      <c r="G2" s="82"/>
      <c r="H2" s="82"/>
    </row>
    <row r="3" s="72" customFormat="1" ht="21.75" customHeight="1" spans="1:8">
      <c r="A3" s="79"/>
      <c r="B3" s="84" t="s">
        <v>5</v>
      </c>
      <c r="C3" s="85"/>
      <c r="D3" s="85"/>
      <c r="E3" s="85"/>
      <c r="F3" s="86"/>
      <c r="G3" s="85"/>
      <c r="H3" s="85"/>
    </row>
    <row r="4" s="72" customFormat="1" ht="18.75" spans="1:8">
      <c r="A4" s="79"/>
      <c r="B4" s="83"/>
      <c r="C4" s="83"/>
      <c r="D4" s="83"/>
      <c r="E4" s="83"/>
      <c r="F4" s="83"/>
      <c r="G4" s="82"/>
      <c r="H4" s="82"/>
    </row>
    <row r="5" s="72" customFormat="1" ht="33.75" customHeight="1" spans="1:8">
      <c r="A5" s="79"/>
      <c r="B5" s="82" t="s">
        <v>6</v>
      </c>
      <c r="C5" s="82"/>
      <c r="D5" s="82"/>
      <c r="E5" s="82"/>
      <c r="F5" s="83"/>
      <c r="G5" s="82"/>
      <c r="H5" s="82"/>
    </row>
    <row r="6" s="72" customFormat="1" ht="25.7" customHeight="1" spans="1:8">
      <c r="A6" s="79"/>
      <c r="B6" s="87" t="s">
        <v>7</v>
      </c>
      <c r="C6" s="87"/>
      <c r="D6" s="87"/>
      <c r="E6" s="87"/>
      <c r="F6" s="88"/>
      <c r="G6" s="87"/>
      <c r="H6" s="87"/>
    </row>
    <row r="7" s="72" customFormat="1" ht="18.75" spans="1:8">
      <c r="A7" s="79"/>
      <c r="B7" s="89" t="s">
        <v>8</v>
      </c>
      <c r="C7" s="79"/>
      <c r="D7" s="79"/>
      <c r="E7" s="79"/>
      <c r="F7" s="89"/>
      <c r="G7" s="79"/>
      <c r="H7" s="79"/>
    </row>
    <row r="8" s="72" customFormat="1" ht="18.75" spans="1:8">
      <c r="A8" s="79"/>
      <c r="B8" s="89"/>
      <c r="C8" s="79"/>
      <c r="D8" s="79"/>
      <c r="E8" s="79"/>
      <c r="F8" s="89"/>
      <c r="G8" s="79"/>
      <c r="H8" s="79"/>
    </row>
    <row r="9" s="72" customFormat="1" ht="28.5" customHeight="1" spans="1:8">
      <c r="A9" s="79"/>
      <c r="B9" s="90" t="s">
        <v>9</v>
      </c>
      <c r="C9" s="90"/>
      <c r="D9" s="90"/>
      <c r="E9" s="90"/>
      <c r="F9" s="90"/>
      <c r="G9" s="90"/>
      <c r="H9" s="90"/>
    </row>
    <row r="10" s="72" customFormat="1" ht="18.75" spans="1:8">
      <c r="A10" s="79"/>
      <c r="B10" s="89"/>
      <c r="C10" s="79"/>
      <c r="D10" s="79"/>
      <c r="E10" s="79"/>
      <c r="F10" s="89"/>
      <c r="G10" s="79"/>
      <c r="H10" s="79"/>
    </row>
    <row r="11" s="72" customFormat="1" ht="48" customHeight="1" spans="1:8">
      <c r="A11" s="88"/>
      <c r="B11" s="91"/>
      <c r="C11" s="91"/>
      <c r="D11" s="91"/>
      <c r="E11" s="91"/>
      <c r="F11" s="91"/>
      <c r="G11" s="91"/>
      <c r="H11" s="91"/>
    </row>
    <row r="12" s="72" customFormat="1" ht="18" customHeight="1" spans="1:8">
      <c r="A12" s="86"/>
      <c r="B12" s="92" t="s">
        <v>11</v>
      </c>
      <c r="C12" s="92"/>
      <c r="D12" s="92"/>
      <c r="E12" s="92"/>
      <c r="F12" s="92"/>
      <c r="G12" s="92"/>
      <c r="H12" s="92"/>
    </row>
    <row r="13" s="72" customFormat="1" customHeight="1" spans="1:8">
      <c r="A13" s="86"/>
      <c r="B13" s="92"/>
      <c r="C13" s="92"/>
      <c r="D13" s="92"/>
      <c r="E13" s="92"/>
      <c r="F13" s="92"/>
      <c r="G13" s="92"/>
      <c r="H13" s="92"/>
    </row>
    <row r="14" s="72" customFormat="1" ht="26.45" customHeight="1" spans="1:8">
      <c r="A14" s="86"/>
      <c r="B14" s="92"/>
      <c r="C14" s="79"/>
      <c r="D14" s="93"/>
      <c r="E14" s="92"/>
      <c r="F14" s="92"/>
      <c r="G14" s="92"/>
      <c r="H14" s="92"/>
    </row>
    <row r="15" s="72" customFormat="1" ht="18.75" spans="1:8">
      <c r="A15" s="94" t="s">
        <v>13</v>
      </c>
      <c r="B15" s="79"/>
      <c r="C15" s="95"/>
      <c r="D15" s="96">
        <v>2000</v>
      </c>
      <c r="E15" s="97"/>
      <c r="F15" s="79"/>
      <c r="G15" s="96"/>
      <c r="H15" s="96" t="str">
        <f>'ССР Т'!H15</f>
        <v>I-356312</v>
      </c>
    </row>
    <row r="16" s="73" customFormat="1" ht="22.5" customHeight="1" spans="1:9">
      <c r="A16" s="98" t="s">
        <v>16</v>
      </c>
      <c r="B16" s="98" t="s">
        <v>17</v>
      </c>
      <c r="C16" s="98" t="s">
        <v>18</v>
      </c>
      <c r="D16" s="98" t="s">
        <v>19</v>
      </c>
      <c r="E16" s="98"/>
      <c r="F16" s="98"/>
      <c r="G16" s="98"/>
      <c r="H16" s="98" t="s">
        <v>20</v>
      </c>
      <c r="I16" s="135"/>
    </row>
    <row r="17" s="73" customFormat="1" ht="35.25" customHeight="1" spans="1:8">
      <c r="A17" s="98"/>
      <c r="B17" s="98"/>
      <c r="C17" s="98"/>
      <c r="D17" s="99" t="s">
        <v>21</v>
      </c>
      <c r="E17" s="99" t="s">
        <v>22</v>
      </c>
      <c r="F17" s="98" t="s">
        <v>23</v>
      </c>
      <c r="G17" s="98" t="s">
        <v>24</v>
      </c>
      <c r="H17" s="98"/>
    </row>
    <row r="18" s="74" customFormat="1" ht="18.75" customHeight="1" spans="1:8">
      <c r="A18" s="98">
        <v>1</v>
      </c>
      <c r="B18" s="98">
        <v>2</v>
      </c>
      <c r="C18" s="98">
        <v>3</v>
      </c>
      <c r="D18" s="99">
        <v>4</v>
      </c>
      <c r="E18" s="99">
        <v>5</v>
      </c>
      <c r="F18" s="99">
        <v>6</v>
      </c>
      <c r="G18" s="99">
        <v>7</v>
      </c>
      <c r="H18" s="99">
        <v>8</v>
      </c>
    </row>
    <row r="19" s="75" customFormat="1" ht="21.75" customHeight="1" spans="1:8">
      <c r="A19" s="100"/>
      <c r="B19" s="101" t="s">
        <v>25</v>
      </c>
      <c r="C19" s="101"/>
      <c r="D19" s="101"/>
      <c r="E19" s="101"/>
      <c r="F19" s="101"/>
      <c r="G19" s="101"/>
      <c r="H19" s="102"/>
    </row>
    <row r="20" s="75" customFormat="1" ht="18.75" hidden="1" spans="1:8">
      <c r="A20" s="103">
        <v>1</v>
      </c>
      <c r="B20" s="103"/>
      <c r="C20" s="104"/>
      <c r="D20" s="105"/>
      <c r="E20" s="105"/>
      <c r="F20" s="105"/>
      <c r="G20" s="105"/>
      <c r="H20" s="106">
        <f>SUM(D20:G20)</f>
        <v>0</v>
      </c>
    </row>
    <row r="21" s="75" customFormat="1" ht="18.75" hidden="1" spans="1:8">
      <c r="A21" s="103">
        <v>2</v>
      </c>
      <c r="B21" s="103"/>
      <c r="C21" s="104"/>
      <c r="D21" s="105"/>
      <c r="E21" s="105"/>
      <c r="F21" s="105"/>
      <c r="G21" s="105"/>
      <c r="H21" s="106">
        <f>SUM(D21:G21)</f>
        <v>0</v>
      </c>
    </row>
    <row r="22" s="75" customFormat="1" ht="18.75" hidden="1" spans="1:8">
      <c r="A22" s="103">
        <v>3</v>
      </c>
      <c r="B22" s="104"/>
      <c r="C22" s="104"/>
      <c r="D22" s="105"/>
      <c r="E22" s="105"/>
      <c r="F22" s="105"/>
      <c r="G22" s="105"/>
      <c r="H22" s="106">
        <f>SUM(D22:G22)</f>
        <v>0</v>
      </c>
    </row>
    <row r="23" s="76" customFormat="1" ht="18.75" spans="1:8">
      <c r="A23" s="107" t="s">
        <v>26</v>
      </c>
      <c r="B23" s="108"/>
      <c r="C23" s="109"/>
      <c r="D23" s="110">
        <f>SUM(D20:D22)</f>
        <v>0</v>
      </c>
      <c r="E23" s="110">
        <f>SUM(E20:E22)</f>
        <v>0</v>
      </c>
      <c r="F23" s="110">
        <f>SUM(F20:F22)</f>
        <v>0</v>
      </c>
      <c r="G23" s="110">
        <f>SUM(G20:G22)</f>
        <v>0</v>
      </c>
      <c r="H23" s="110">
        <f>SUM(H20:H22)</f>
        <v>0</v>
      </c>
    </row>
    <row r="24" s="75" customFormat="1" ht="24" customHeight="1" spans="1:11">
      <c r="A24" s="100"/>
      <c r="B24" s="101" t="s">
        <v>27</v>
      </c>
      <c r="C24" s="101"/>
      <c r="D24" s="101"/>
      <c r="E24" s="101"/>
      <c r="F24" s="101"/>
      <c r="G24" s="101"/>
      <c r="H24" s="102"/>
      <c r="J24" s="136"/>
      <c r="K24" s="137"/>
    </row>
    <row r="25" s="75" customFormat="1" ht="24.95" customHeight="1" spans="1:9">
      <c r="A25" s="103">
        <v>1</v>
      </c>
      <c r="B25" s="111" t="s">
        <v>28</v>
      </c>
      <c r="C25" s="112" t="str">
        <f>'ССР Т'!C25</f>
        <v>Строительство ВЛИ</v>
      </c>
      <c r="D25" s="113"/>
      <c r="E25" s="114"/>
      <c r="F25" s="113"/>
      <c r="G25" s="115"/>
      <c r="H25" s="116">
        <f>SUM(D25:G25)</f>
        <v>0</v>
      </c>
      <c r="I25" s="138"/>
    </row>
    <row r="26" s="75" customFormat="1" ht="24.95" hidden="1" customHeight="1" spans="1:12">
      <c r="A26" s="103">
        <v>2</v>
      </c>
      <c r="B26" s="111" t="s">
        <v>30</v>
      </c>
      <c r="C26" s="112" t="str">
        <f>'ССР Т'!C26</f>
        <v>Установка РЩ</v>
      </c>
      <c r="D26" s="113"/>
      <c r="E26" s="113"/>
      <c r="F26" s="113"/>
      <c r="G26" s="115"/>
      <c r="H26" s="116">
        <f>SUM(D26:G26)</f>
        <v>0</v>
      </c>
      <c r="I26" s="138"/>
      <c r="L26" s="139"/>
    </row>
    <row r="27" s="75" customFormat="1" ht="24.95" hidden="1" customHeight="1" spans="1:12">
      <c r="A27" s="103">
        <v>3</v>
      </c>
      <c r="B27" s="111" t="s">
        <v>32</v>
      </c>
      <c r="C27" s="112" t="s">
        <v>33</v>
      </c>
      <c r="D27" s="113"/>
      <c r="E27" s="113"/>
      <c r="F27" s="113"/>
      <c r="G27" s="115"/>
      <c r="H27" s="116">
        <f>SUM(D27:G27)</f>
        <v>0</v>
      </c>
      <c r="I27" s="138"/>
      <c r="J27" s="136"/>
      <c r="K27" s="137"/>
      <c r="L27" s="140"/>
    </row>
    <row r="28" s="75" customFormat="1" ht="24.95" hidden="1" customHeight="1" spans="1:12">
      <c r="A28" s="103">
        <v>4</v>
      </c>
      <c r="B28" s="111" t="s">
        <v>34</v>
      </c>
      <c r="C28" s="112" t="s">
        <v>35</v>
      </c>
      <c r="D28" s="113"/>
      <c r="E28" s="113"/>
      <c r="F28" s="113"/>
      <c r="G28" s="115"/>
      <c r="H28" s="116">
        <f>SUM(D28:G28)</f>
        <v>0</v>
      </c>
      <c r="I28" s="138"/>
      <c r="J28" s="136"/>
      <c r="K28" s="137"/>
      <c r="L28" s="140"/>
    </row>
    <row r="29" s="75" customFormat="1" ht="24.95" hidden="1" customHeight="1" spans="1:11">
      <c r="A29" s="103">
        <v>5</v>
      </c>
      <c r="B29" s="111" t="s">
        <v>36</v>
      </c>
      <c r="C29" s="112" t="s">
        <v>37</v>
      </c>
      <c r="D29" s="113"/>
      <c r="E29" s="114"/>
      <c r="F29" s="113"/>
      <c r="G29" s="115"/>
      <c r="H29" s="116">
        <f>SUM(D29:G29)</f>
        <v>0</v>
      </c>
      <c r="J29" s="136"/>
      <c r="K29" s="136"/>
    </row>
    <row r="30" s="76" customFormat="1" ht="21" spans="1:11">
      <c r="A30" s="107" t="s">
        <v>38</v>
      </c>
      <c r="B30" s="108"/>
      <c r="C30" s="109"/>
      <c r="D30" s="117">
        <f>SUM(D25:D29)</f>
        <v>0</v>
      </c>
      <c r="E30" s="117">
        <f>SUM(E25:E29)</f>
        <v>0</v>
      </c>
      <c r="F30" s="117">
        <f>SUM(F25:F29)</f>
        <v>0</v>
      </c>
      <c r="G30" s="117">
        <f>SUM(G25:G29)</f>
        <v>0</v>
      </c>
      <c r="H30" s="117">
        <f>SUM(H25:H29)</f>
        <v>0</v>
      </c>
      <c r="I30" s="141"/>
      <c r="J30" s="142"/>
      <c r="K30" s="142"/>
    </row>
    <row r="31" s="76" customFormat="1" ht="18.75" spans="1:9">
      <c r="A31" s="118" t="s">
        <v>39</v>
      </c>
      <c r="B31" s="119"/>
      <c r="C31" s="120"/>
      <c r="D31" s="121">
        <f>D23+D30</f>
        <v>0</v>
      </c>
      <c r="E31" s="121">
        <f>E23+E30</f>
        <v>0</v>
      </c>
      <c r="F31" s="121">
        <f>F23+F30</f>
        <v>0</v>
      </c>
      <c r="G31" s="121">
        <f>G23+G30</f>
        <v>0</v>
      </c>
      <c r="H31" s="121">
        <f>H23+H30</f>
        <v>0</v>
      </c>
      <c r="I31" s="141"/>
    </row>
    <row r="32" s="76" customFormat="1" ht="21" hidden="1" customHeight="1" spans="1:8">
      <c r="A32" s="118"/>
      <c r="B32" s="122" t="s">
        <v>40</v>
      </c>
      <c r="C32" s="122"/>
      <c r="D32" s="122"/>
      <c r="E32" s="122"/>
      <c r="F32" s="122"/>
      <c r="G32" s="123"/>
      <c r="H32" s="124"/>
    </row>
    <row r="33" s="76" customFormat="1" ht="18.75" hidden="1" spans="1:8">
      <c r="A33" s="103">
        <v>3</v>
      </c>
      <c r="B33" s="103"/>
      <c r="C33" s="103"/>
      <c r="D33" s="105"/>
      <c r="E33" s="105"/>
      <c r="F33" s="105"/>
      <c r="G33" s="105"/>
      <c r="H33" s="106">
        <f>SUM(D33:G33)</f>
        <v>0</v>
      </c>
    </row>
    <row r="34" s="76" customFormat="1" ht="18.75" hidden="1" spans="1:8">
      <c r="A34" s="103">
        <v>8</v>
      </c>
      <c r="B34" s="103"/>
      <c r="C34" s="103"/>
      <c r="D34" s="105"/>
      <c r="E34" s="105"/>
      <c r="F34" s="105"/>
      <c r="G34" s="105"/>
      <c r="H34" s="106">
        <f>SUM(D34:G34)</f>
        <v>0</v>
      </c>
    </row>
    <row r="35" s="76" customFormat="1" ht="18.75" hidden="1" spans="1:8">
      <c r="A35" s="103">
        <v>9</v>
      </c>
      <c r="B35" s="103"/>
      <c r="C35" s="103"/>
      <c r="D35" s="105"/>
      <c r="E35" s="105"/>
      <c r="F35" s="105"/>
      <c r="G35" s="105"/>
      <c r="H35" s="106">
        <f>SUM(D35:G35)</f>
        <v>0</v>
      </c>
    </row>
    <row r="36" s="76" customFormat="1" ht="18.75" hidden="1" spans="1:8">
      <c r="A36" s="107" t="s">
        <v>41</v>
      </c>
      <c r="B36" s="108"/>
      <c r="C36" s="109"/>
      <c r="D36" s="110">
        <f>SUM(D33:D35)</f>
        <v>0</v>
      </c>
      <c r="E36" s="110">
        <f>SUM(E33:E35)</f>
        <v>0</v>
      </c>
      <c r="F36" s="110">
        <f>SUM(F33:F35)</f>
        <v>0</v>
      </c>
      <c r="G36" s="110">
        <f>SUM(G33:G35)</f>
        <v>0</v>
      </c>
      <c r="H36" s="110">
        <f>SUM(H33:H35)</f>
        <v>0</v>
      </c>
    </row>
    <row r="37" s="76" customFormat="1" ht="18.75" hidden="1" spans="1:8">
      <c r="A37" s="118" t="s">
        <v>42</v>
      </c>
      <c r="B37" s="119"/>
      <c r="C37" s="120"/>
      <c r="D37" s="125">
        <f>D31+D36</f>
        <v>0</v>
      </c>
      <c r="E37" s="125">
        <f>E31+E36</f>
        <v>0</v>
      </c>
      <c r="F37" s="125">
        <f>F31+F36</f>
        <v>0</v>
      </c>
      <c r="G37" s="125">
        <f>G31+G36</f>
        <v>0</v>
      </c>
      <c r="H37" s="125">
        <f>H31+H36</f>
        <v>0</v>
      </c>
    </row>
    <row r="38" s="76" customFormat="1" ht="22.5" hidden="1" customHeight="1" spans="1:8">
      <c r="A38" s="118"/>
      <c r="B38" s="122" t="s">
        <v>43</v>
      </c>
      <c r="C38" s="122"/>
      <c r="D38" s="122"/>
      <c r="E38" s="122"/>
      <c r="F38" s="122"/>
      <c r="G38" s="123"/>
      <c r="H38" s="124"/>
    </row>
    <row r="39" s="76" customFormat="1" ht="18.75" hidden="1" spans="1:8">
      <c r="A39" s="103">
        <v>4</v>
      </c>
      <c r="B39" s="103"/>
      <c r="C39" s="103"/>
      <c r="D39" s="105"/>
      <c r="E39" s="105"/>
      <c r="F39" s="105"/>
      <c r="G39" s="105"/>
      <c r="H39" s="106">
        <f>SUM(D39:G39)</f>
        <v>0</v>
      </c>
    </row>
    <row r="40" s="76" customFormat="1" ht="18.75" hidden="1" spans="1:8">
      <c r="A40" s="103">
        <v>11</v>
      </c>
      <c r="B40" s="103"/>
      <c r="C40" s="103"/>
      <c r="D40" s="105"/>
      <c r="E40" s="105"/>
      <c r="F40" s="105"/>
      <c r="G40" s="105"/>
      <c r="H40" s="106">
        <f>SUM(D40:G40)</f>
        <v>0</v>
      </c>
    </row>
    <row r="41" s="76" customFormat="1" ht="18.75" hidden="1" spans="1:8">
      <c r="A41" s="103">
        <v>12</v>
      </c>
      <c r="B41" s="103"/>
      <c r="C41" s="103"/>
      <c r="D41" s="105"/>
      <c r="E41" s="105"/>
      <c r="F41" s="105"/>
      <c r="G41" s="105"/>
      <c r="H41" s="106">
        <f>SUM(D41:G41)</f>
        <v>0</v>
      </c>
    </row>
    <row r="42" s="76" customFormat="1" ht="18.75" hidden="1" spans="1:8">
      <c r="A42" s="107" t="s">
        <v>44</v>
      </c>
      <c r="B42" s="108"/>
      <c r="C42" s="109"/>
      <c r="D42" s="110">
        <f>SUM(D39:D41)</f>
        <v>0</v>
      </c>
      <c r="E42" s="110">
        <f>SUM(E39:E41)</f>
        <v>0</v>
      </c>
      <c r="F42" s="110">
        <f>SUM(F39:F41)</f>
        <v>0</v>
      </c>
      <c r="G42" s="110">
        <f>SUM(G39:G41)</f>
        <v>0</v>
      </c>
      <c r="H42" s="110">
        <f>SUM(H39:H41)</f>
        <v>0</v>
      </c>
    </row>
    <row r="43" s="76" customFormat="1" ht="18.75" hidden="1" spans="1:8">
      <c r="A43" s="118" t="s">
        <v>45</v>
      </c>
      <c r="B43" s="119"/>
      <c r="C43" s="120"/>
      <c r="D43" s="125">
        <f>D37+D42</f>
        <v>0</v>
      </c>
      <c r="E43" s="125">
        <f>E37+E42</f>
        <v>0</v>
      </c>
      <c r="F43" s="125">
        <f>F37+F42</f>
        <v>0</v>
      </c>
      <c r="G43" s="125">
        <f>G37+G42</f>
        <v>0</v>
      </c>
      <c r="H43" s="125">
        <f>H37+H42</f>
        <v>0</v>
      </c>
    </row>
    <row r="44" s="76" customFormat="1" ht="24" hidden="1" customHeight="1" spans="1:8">
      <c r="A44" s="118"/>
      <c r="B44" s="122" t="s">
        <v>46</v>
      </c>
      <c r="C44" s="122"/>
      <c r="D44" s="122"/>
      <c r="E44" s="122"/>
      <c r="F44" s="122"/>
      <c r="G44" s="123"/>
      <c r="H44" s="124"/>
    </row>
    <row r="45" s="76" customFormat="1" ht="18.75" hidden="1" spans="1:8">
      <c r="A45" s="103">
        <v>5</v>
      </c>
      <c r="B45" s="103"/>
      <c r="C45" s="103"/>
      <c r="D45" s="105"/>
      <c r="E45" s="105"/>
      <c r="F45" s="105"/>
      <c r="G45" s="105"/>
      <c r="H45" s="106">
        <f>SUM(D45:G45)</f>
        <v>0</v>
      </c>
    </row>
    <row r="46" s="76" customFormat="1" ht="18.75" hidden="1" spans="1:8">
      <c r="A46" s="103">
        <v>14</v>
      </c>
      <c r="B46" s="103"/>
      <c r="C46" s="103"/>
      <c r="D46" s="105"/>
      <c r="E46" s="105"/>
      <c r="F46" s="105"/>
      <c r="G46" s="105"/>
      <c r="H46" s="106">
        <f>SUM(D46:G46)</f>
        <v>0</v>
      </c>
    </row>
    <row r="47" s="76" customFormat="1" ht="18.75" hidden="1" spans="1:8">
      <c r="A47" s="103">
        <v>15</v>
      </c>
      <c r="B47" s="103"/>
      <c r="C47" s="103"/>
      <c r="D47" s="105"/>
      <c r="E47" s="105"/>
      <c r="F47" s="105"/>
      <c r="G47" s="105"/>
      <c r="H47" s="106">
        <f>SUM(D47:G47)</f>
        <v>0</v>
      </c>
    </row>
    <row r="48" s="76" customFormat="1" ht="18.75" hidden="1" spans="1:8">
      <c r="A48" s="107" t="s">
        <v>47</v>
      </c>
      <c r="B48" s="108"/>
      <c r="C48" s="109"/>
      <c r="D48" s="110">
        <f>SUM(D45:D47)</f>
        <v>0</v>
      </c>
      <c r="E48" s="110">
        <f>SUM(E45:E47)</f>
        <v>0</v>
      </c>
      <c r="F48" s="110">
        <f>SUM(F45:F47)</f>
        <v>0</v>
      </c>
      <c r="G48" s="110">
        <f>SUM(G45:G47)</f>
        <v>0</v>
      </c>
      <c r="H48" s="110">
        <f>SUM(H45:H47)</f>
        <v>0</v>
      </c>
    </row>
    <row r="49" s="76" customFormat="1" ht="18.75" hidden="1" spans="1:8">
      <c r="A49" s="118" t="s">
        <v>48</v>
      </c>
      <c r="B49" s="119"/>
      <c r="C49" s="120"/>
      <c r="D49" s="125">
        <f>D43+D48</f>
        <v>0</v>
      </c>
      <c r="E49" s="125">
        <f>E43+E48</f>
        <v>0</v>
      </c>
      <c r="F49" s="125">
        <f>F43+F48</f>
        <v>0</v>
      </c>
      <c r="G49" s="125">
        <f>G43+G48</f>
        <v>0</v>
      </c>
      <c r="H49" s="125">
        <f>H43+H48</f>
        <v>0</v>
      </c>
    </row>
    <row r="50" s="76" customFormat="1" ht="21" hidden="1" customHeight="1" spans="1:8">
      <c r="A50" s="118"/>
      <c r="B50" s="122" t="s">
        <v>49</v>
      </c>
      <c r="C50" s="122"/>
      <c r="D50" s="122"/>
      <c r="E50" s="122"/>
      <c r="F50" s="122"/>
      <c r="G50" s="123"/>
      <c r="H50" s="124"/>
    </row>
    <row r="51" s="76" customFormat="1" ht="18.75" hidden="1" spans="1:8">
      <c r="A51" s="103">
        <v>6</v>
      </c>
      <c r="B51" s="103"/>
      <c r="C51" s="103"/>
      <c r="D51" s="105"/>
      <c r="E51" s="105"/>
      <c r="F51" s="105"/>
      <c r="G51" s="105"/>
      <c r="H51" s="106">
        <f>SUM(D51:G51)</f>
        <v>0</v>
      </c>
    </row>
    <row r="52" s="76" customFormat="1" ht="18.75" hidden="1" spans="1:8">
      <c r="A52" s="103">
        <v>17</v>
      </c>
      <c r="B52" s="103"/>
      <c r="C52" s="103"/>
      <c r="D52" s="105"/>
      <c r="E52" s="105"/>
      <c r="F52" s="105"/>
      <c r="G52" s="105"/>
      <c r="H52" s="106">
        <f>SUM(D52:G52)</f>
        <v>0</v>
      </c>
    </row>
    <row r="53" s="76" customFormat="1" ht="18.75" hidden="1" spans="1:8">
      <c r="A53" s="103">
        <v>18</v>
      </c>
      <c r="B53" s="103"/>
      <c r="C53" s="103"/>
      <c r="D53" s="105"/>
      <c r="E53" s="105"/>
      <c r="F53" s="105"/>
      <c r="G53" s="105"/>
      <c r="H53" s="106">
        <f>SUM(D53:G53)</f>
        <v>0</v>
      </c>
    </row>
    <row r="54" s="76" customFormat="1" ht="18.75" hidden="1" spans="1:8">
      <c r="A54" s="107" t="s">
        <v>50</v>
      </c>
      <c r="B54" s="108"/>
      <c r="C54" s="109"/>
      <c r="D54" s="110">
        <f>SUM(D51:D53)</f>
        <v>0</v>
      </c>
      <c r="E54" s="110">
        <f>SUM(E51:E53)</f>
        <v>0</v>
      </c>
      <c r="F54" s="110">
        <f>SUM(F51:F53)</f>
        <v>0</v>
      </c>
      <c r="G54" s="110">
        <f>SUM(G51:G53)</f>
        <v>0</v>
      </c>
      <c r="H54" s="110">
        <f>SUM(H51:H53)</f>
        <v>0</v>
      </c>
    </row>
    <row r="55" s="76" customFormat="1" ht="18.75" hidden="1" spans="1:8">
      <c r="A55" s="118" t="s">
        <v>51</v>
      </c>
      <c r="B55" s="119"/>
      <c r="C55" s="120"/>
      <c r="D55" s="125">
        <f>D49+D54</f>
        <v>0</v>
      </c>
      <c r="E55" s="125">
        <f>E49+E54</f>
        <v>0</v>
      </c>
      <c r="F55" s="125">
        <f>F49+F54</f>
        <v>0</v>
      </c>
      <c r="G55" s="125">
        <f>G49+G54</f>
        <v>0</v>
      </c>
      <c r="H55" s="125">
        <f>H49+H54</f>
        <v>0</v>
      </c>
    </row>
    <row r="56" s="76" customFormat="1" ht="29.1" hidden="1" customHeight="1" spans="1:8">
      <c r="A56" s="118"/>
      <c r="B56" s="122" t="s">
        <v>52</v>
      </c>
      <c r="C56" s="122"/>
      <c r="D56" s="122"/>
      <c r="E56" s="122"/>
      <c r="F56" s="122"/>
      <c r="G56" s="123"/>
      <c r="H56" s="124"/>
    </row>
    <row r="57" s="76" customFormat="1" ht="18.75" hidden="1" spans="1:8">
      <c r="A57" s="103">
        <v>7</v>
      </c>
      <c r="B57" s="103"/>
      <c r="C57" s="103"/>
      <c r="D57" s="105"/>
      <c r="E57" s="105"/>
      <c r="F57" s="105"/>
      <c r="G57" s="105"/>
      <c r="H57" s="106">
        <f>SUM(D57:G57)</f>
        <v>0</v>
      </c>
    </row>
    <row r="58" s="76" customFormat="1" ht="18.75" hidden="1" spans="1:8">
      <c r="A58" s="103">
        <v>20</v>
      </c>
      <c r="B58" s="103"/>
      <c r="C58" s="103"/>
      <c r="D58" s="105"/>
      <c r="E58" s="105"/>
      <c r="F58" s="105"/>
      <c r="G58" s="105"/>
      <c r="H58" s="106">
        <f>SUM(D58:G58)</f>
        <v>0</v>
      </c>
    </row>
    <row r="59" s="76" customFormat="1" ht="18.75" hidden="1" spans="1:8">
      <c r="A59" s="103">
        <v>21</v>
      </c>
      <c r="B59" s="103"/>
      <c r="C59" s="103"/>
      <c r="D59" s="105"/>
      <c r="E59" s="105"/>
      <c r="F59" s="105"/>
      <c r="G59" s="105"/>
      <c r="H59" s="106">
        <f>SUM(D59:G59)</f>
        <v>0</v>
      </c>
    </row>
    <row r="60" s="76" customFormat="1" ht="18.75" hidden="1" spans="1:8">
      <c r="A60" s="107" t="s">
        <v>53</v>
      </c>
      <c r="B60" s="108"/>
      <c r="C60" s="109"/>
      <c r="D60" s="110">
        <f>SUM(D57:D59)</f>
        <v>0</v>
      </c>
      <c r="E60" s="110">
        <f>SUM(E57:E59)</f>
        <v>0</v>
      </c>
      <c r="F60" s="110">
        <f>SUM(F57:F59)</f>
        <v>0</v>
      </c>
      <c r="G60" s="110">
        <f>SUM(G57:G59)</f>
        <v>0</v>
      </c>
      <c r="H60" s="110">
        <f>SUM(H57:H59)</f>
        <v>0</v>
      </c>
    </row>
    <row r="61" s="76" customFormat="1" ht="18.75" hidden="1" spans="1:8">
      <c r="A61" s="118" t="s">
        <v>54</v>
      </c>
      <c r="B61" s="119"/>
      <c r="C61" s="120"/>
      <c r="D61" s="125">
        <f>D55+D60</f>
        <v>0</v>
      </c>
      <c r="E61" s="125">
        <f>E55+E60</f>
        <v>0</v>
      </c>
      <c r="F61" s="125">
        <f>F55+F60</f>
        <v>0</v>
      </c>
      <c r="G61" s="125">
        <f>G55+G60</f>
        <v>0</v>
      </c>
      <c r="H61" s="125">
        <f>H55+H60</f>
        <v>0</v>
      </c>
    </row>
    <row r="62" s="75" customFormat="1" ht="28.5" customHeight="1" spans="1:8">
      <c r="A62" s="126"/>
      <c r="B62" s="122" t="s">
        <v>55</v>
      </c>
      <c r="C62" s="122"/>
      <c r="D62" s="122"/>
      <c r="E62" s="122"/>
      <c r="F62" s="122"/>
      <c r="G62" s="122"/>
      <c r="H62" s="102"/>
    </row>
    <row r="63" s="75" customFormat="1" ht="56.25" spans="1:8">
      <c r="A63" s="103">
        <v>2</v>
      </c>
      <c r="B63" s="127" t="s">
        <v>56</v>
      </c>
      <c r="C63" s="128" t="s">
        <v>57</v>
      </c>
      <c r="D63" s="129">
        <f>ROUND(D61*2.5%,5)</f>
        <v>0</v>
      </c>
      <c r="E63" s="129">
        <f>ROUND(E61*2.5%,5)</f>
        <v>0</v>
      </c>
      <c r="F63" s="129"/>
      <c r="G63" s="129"/>
      <c r="H63" s="130">
        <f t="shared" ref="H63:H65" si="0">SUM(D63:G63)</f>
        <v>0</v>
      </c>
    </row>
    <row r="64" s="75" customFormat="1" ht="18.75" hidden="1" spans="1:8">
      <c r="A64" s="131">
        <v>23</v>
      </c>
      <c r="B64" s="132"/>
      <c r="C64" s="133"/>
      <c r="D64" s="134"/>
      <c r="E64" s="134"/>
      <c r="F64" s="134"/>
      <c r="G64" s="134"/>
      <c r="H64" s="116">
        <f t="shared" si="0"/>
        <v>0</v>
      </c>
    </row>
    <row r="65" s="75" customFormat="1" ht="18.75" hidden="1" spans="1:8">
      <c r="A65" s="131">
        <v>24</v>
      </c>
      <c r="B65" s="132"/>
      <c r="C65" s="133"/>
      <c r="D65" s="134"/>
      <c r="E65" s="134"/>
      <c r="F65" s="134"/>
      <c r="G65" s="134"/>
      <c r="H65" s="116">
        <f t="shared" si="0"/>
        <v>0</v>
      </c>
    </row>
    <row r="66" s="75" customFormat="1" ht="18.75" spans="1:8">
      <c r="A66" s="107" t="s">
        <v>58</v>
      </c>
      <c r="B66" s="108"/>
      <c r="C66" s="109"/>
      <c r="D66" s="117">
        <f>SUM(D63:D65)</f>
        <v>0</v>
      </c>
      <c r="E66" s="117">
        <f>SUM(E63:E65)</f>
        <v>0</v>
      </c>
      <c r="F66" s="117">
        <f>SUM(F63:F65)</f>
        <v>0</v>
      </c>
      <c r="G66" s="117">
        <f>SUM(G63:G65)</f>
        <v>0</v>
      </c>
      <c r="H66" s="117">
        <f>SUM(H63:H65)</f>
        <v>0</v>
      </c>
    </row>
    <row r="67" s="75" customFormat="1" ht="18.75" spans="1:8">
      <c r="A67" s="118" t="s">
        <v>59</v>
      </c>
      <c r="B67" s="119"/>
      <c r="C67" s="120"/>
      <c r="D67" s="121">
        <f>D61+D66</f>
        <v>0</v>
      </c>
      <c r="E67" s="121">
        <f>E61+E66</f>
        <v>0</v>
      </c>
      <c r="F67" s="121">
        <f>F61+F66</f>
        <v>0</v>
      </c>
      <c r="G67" s="121">
        <f>G61+G66</f>
        <v>0</v>
      </c>
      <c r="H67" s="121">
        <f>H61+H66</f>
        <v>0</v>
      </c>
    </row>
    <row r="68" s="75" customFormat="1" ht="29.1" customHeight="1" spans="1:8">
      <c r="A68" s="126"/>
      <c r="B68" s="122" t="s">
        <v>60</v>
      </c>
      <c r="C68" s="122"/>
      <c r="D68" s="122"/>
      <c r="E68" s="122"/>
      <c r="F68" s="122"/>
      <c r="G68" s="122"/>
      <c r="H68" s="102"/>
    </row>
    <row r="69" s="75" customFormat="1" ht="56.25" spans="1:11">
      <c r="A69" s="103">
        <v>3</v>
      </c>
      <c r="B69" s="143" t="s">
        <v>61</v>
      </c>
      <c r="C69" s="143" t="s">
        <v>62</v>
      </c>
      <c r="D69" s="129">
        <f>ROUND(D67*1.9%,5)</f>
        <v>0</v>
      </c>
      <c r="E69" s="129">
        <f>ROUND(E67*1.9%,5)</f>
        <v>0</v>
      </c>
      <c r="F69" s="129"/>
      <c r="G69" s="129"/>
      <c r="H69" s="130">
        <f t="shared" ref="H69" si="1">SUM(D69:G69)</f>
        <v>0</v>
      </c>
      <c r="J69" s="136" t="s">
        <v>63</v>
      </c>
      <c r="K69" s="137">
        <f>ROUND((D31+E31)*1000*1.019+(H70+H71+H72+H73+H74)*1000,2)</f>
        <v>0</v>
      </c>
    </row>
    <row r="70" s="75" customFormat="1" ht="24.95" customHeight="1" spans="1:11">
      <c r="A70" s="131">
        <v>4</v>
      </c>
      <c r="B70" s="111" t="s">
        <v>64</v>
      </c>
      <c r="C70" s="112" t="str">
        <f>'ССР Т'!C70</f>
        <v>ПНР ВЛИ</v>
      </c>
      <c r="D70" s="134"/>
      <c r="E70" s="134"/>
      <c r="F70" s="134"/>
      <c r="G70" s="113"/>
      <c r="H70" s="116">
        <f>G70</f>
        <v>0</v>
      </c>
      <c r="I70" s="167"/>
      <c r="J70" s="136" t="s">
        <v>66</v>
      </c>
      <c r="K70" s="137">
        <f>F31*1000</f>
        <v>0</v>
      </c>
    </row>
    <row r="71" s="75" customFormat="1" ht="24.95" hidden="1" customHeight="1" spans="1:11">
      <c r="A71" s="103">
        <v>6</v>
      </c>
      <c r="B71" s="111" t="s">
        <v>67</v>
      </c>
      <c r="C71" s="112" t="str">
        <f>'ССР Т'!C71</f>
        <v>ПНР РЩ</v>
      </c>
      <c r="D71" s="134"/>
      <c r="E71" s="134"/>
      <c r="F71" s="134"/>
      <c r="G71" s="113"/>
      <c r="H71" s="116">
        <f>G71</f>
        <v>0</v>
      </c>
      <c r="J71" s="136" t="s">
        <v>66</v>
      </c>
      <c r="K71" s="137">
        <f>F30*1000</f>
        <v>0</v>
      </c>
    </row>
    <row r="72" s="75" customFormat="1" ht="24.95" hidden="1" customHeight="1" spans="1:8">
      <c r="A72" s="131">
        <v>10</v>
      </c>
      <c r="B72" s="111" t="s">
        <v>69</v>
      </c>
      <c r="C72" s="112" t="s">
        <v>70</v>
      </c>
      <c r="D72" s="134"/>
      <c r="E72" s="134"/>
      <c r="F72" s="134"/>
      <c r="G72" s="113"/>
      <c r="H72" s="116">
        <f>G72</f>
        <v>0</v>
      </c>
    </row>
    <row r="73" s="75" customFormat="1" ht="24.95" hidden="1" customHeight="1" spans="1:8">
      <c r="A73" s="131">
        <v>11</v>
      </c>
      <c r="B73" s="111" t="s">
        <v>71</v>
      </c>
      <c r="C73" s="112" t="s">
        <v>72</v>
      </c>
      <c r="D73" s="134"/>
      <c r="E73" s="134"/>
      <c r="F73" s="134"/>
      <c r="G73" s="113"/>
      <c r="H73" s="116">
        <f>G73</f>
        <v>0</v>
      </c>
    </row>
    <row r="74" s="75" customFormat="1" ht="24.95" hidden="1" customHeight="1" spans="1:8">
      <c r="A74" s="103">
        <v>12</v>
      </c>
      <c r="B74" s="111" t="s">
        <v>73</v>
      </c>
      <c r="C74" s="112" t="s">
        <v>74</v>
      </c>
      <c r="D74" s="134"/>
      <c r="E74" s="134"/>
      <c r="F74" s="134"/>
      <c r="G74" s="113"/>
      <c r="H74" s="116">
        <f>G74</f>
        <v>0</v>
      </c>
    </row>
    <row r="75" s="75" customFormat="1" ht="18.75" spans="1:10">
      <c r="A75" s="107" t="s">
        <v>75</v>
      </c>
      <c r="B75" s="108"/>
      <c r="C75" s="109"/>
      <c r="D75" s="117">
        <f>SUM(D69:D74)</f>
        <v>0</v>
      </c>
      <c r="E75" s="117">
        <f>SUM(E69:E74)</f>
        <v>0</v>
      </c>
      <c r="F75" s="117">
        <f>SUM(F69:F74)</f>
        <v>0</v>
      </c>
      <c r="G75" s="117">
        <f>SUM(G69:G74)</f>
        <v>0</v>
      </c>
      <c r="H75" s="117">
        <f>SUM(H69:H74)</f>
        <v>0</v>
      </c>
      <c r="I75" s="168" t="s">
        <v>63</v>
      </c>
      <c r="J75" s="168"/>
    </row>
    <row r="76" s="75" customFormat="1" ht="18.75" spans="1:10">
      <c r="A76" s="118" t="s">
        <v>76</v>
      </c>
      <c r="B76" s="119"/>
      <c r="C76" s="120"/>
      <c r="D76" s="121">
        <f>D67+D75</f>
        <v>0</v>
      </c>
      <c r="E76" s="121">
        <f>E67+E75</f>
        <v>0</v>
      </c>
      <c r="F76" s="121">
        <f>F67+F75</f>
        <v>0</v>
      </c>
      <c r="G76" s="121">
        <f>G67+G75</f>
        <v>0</v>
      </c>
      <c r="H76" s="144">
        <f>H67+H75</f>
        <v>0</v>
      </c>
      <c r="I76" s="169">
        <f>K69+K70</f>
        <v>0</v>
      </c>
      <c r="J76" s="170"/>
    </row>
    <row r="77" s="75" customFormat="1" ht="28.5" customHeight="1" spans="1:8">
      <c r="A77" s="126"/>
      <c r="B77" s="122" t="s">
        <v>77</v>
      </c>
      <c r="C77" s="122"/>
      <c r="D77" s="122"/>
      <c r="E77" s="122"/>
      <c r="F77" s="122"/>
      <c r="G77" s="122"/>
      <c r="H77" s="103"/>
    </row>
    <row r="78" s="75" customFormat="1" ht="56.25" spans="1:8">
      <c r="A78" s="103">
        <v>5</v>
      </c>
      <c r="B78" s="132" t="s">
        <v>78</v>
      </c>
      <c r="C78" s="145" t="s">
        <v>79</v>
      </c>
      <c r="D78" s="134"/>
      <c r="E78" s="134"/>
      <c r="F78" s="134"/>
      <c r="G78" s="134">
        <f>ROUND(H76*0.0214,5)</f>
        <v>0</v>
      </c>
      <c r="H78" s="116">
        <f>SUM(D78:G78)</f>
        <v>0</v>
      </c>
    </row>
    <row r="79" s="75" customFormat="1" ht="56.25" spans="1:8">
      <c r="A79" s="131">
        <v>6</v>
      </c>
      <c r="B79" s="132" t="s">
        <v>80</v>
      </c>
      <c r="C79" s="133" t="s">
        <v>81</v>
      </c>
      <c r="D79" s="134"/>
      <c r="E79" s="134"/>
      <c r="F79" s="134"/>
      <c r="G79" s="134">
        <f>ROUND((H76+H93)*0.0393,5)</f>
        <v>0</v>
      </c>
      <c r="H79" s="116">
        <f>SUM(D79:G79)</f>
        <v>0</v>
      </c>
    </row>
    <row r="80" s="75" customFormat="1" ht="18.75" hidden="1" spans="1:8">
      <c r="A80" s="131">
        <v>30</v>
      </c>
      <c r="B80" s="132"/>
      <c r="C80" s="133"/>
      <c r="D80" s="134"/>
      <c r="E80" s="134"/>
      <c r="F80" s="134"/>
      <c r="G80" s="134"/>
      <c r="H80" s="116">
        <f>SUM(D80:G80)</f>
        <v>0</v>
      </c>
    </row>
    <row r="81" s="75" customFormat="1" ht="18.75" spans="1:8">
      <c r="A81" s="107" t="s">
        <v>82</v>
      </c>
      <c r="B81" s="108"/>
      <c r="C81" s="109"/>
      <c r="D81" s="117">
        <f>SUM(D78:D80)</f>
        <v>0</v>
      </c>
      <c r="E81" s="117">
        <f>SUM(E78:E80)</f>
        <v>0</v>
      </c>
      <c r="F81" s="117">
        <f>SUM(F78:F80)</f>
        <v>0</v>
      </c>
      <c r="G81" s="117">
        <f>SUM(G78:G80)</f>
        <v>0</v>
      </c>
      <c r="H81" s="117">
        <f>SUM(D81:G81)</f>
        <v>0</v>
      </c>
    </row>
    <row r="82" s="75" customFormat="1" ht="18.75" spans="1:8">
      <c r="A82" s="118" t="s">
        <v>83</v>
      </c>
      <c r="B82" s="119"/>
      <c r="C82" s="120"/>
      <c r="D82" s="121">
        <f>D76+D81</f>
        <v>0</v>
      </c>
      <c r="E82" s="121">
        <f>E76+E81</f>
        <v>0</v>
      </c>
      <c r="F82" s="121">
        <f>F76+F81</f>
        <v>0</v>
      </c>
      <c r="G82" s="121">
        <f>G76+G81</f>
        <v>0</v>
      </c>
      <c r="H82" s="121">
        <f>H76+H81</f>
        <v>0</v>
      </c>
    </row>
    <row r="83" s="75" customFormat="1" ht="28.5" hidden="1" customHeight="1" spans="1:8">
      <c r="A83" s="126"/>
      <c r="B83" s="122" t="s">
        <v>84</v>
      </c>
      <c r="C83" s="122"/>
      <c r="D83" s="122"/>
      <c r="E83" s="122"/>
      <c r="F83" s="122"/>
      <c r="G83" s="122"/>
      <c r="H83" s="103"/>
    </row>
    <row r="84" s="75" customFormat="1" ht="18.75" hidden="1" spans="1:8">
      <c r="A84" s="131">
        <v>13</v>
      </c>
      <c r="B84" s="132"/>
      <c r="C84" s="133"/>
      <c r="D84" s="105"/>
      <c r="E84" s="105"/>
      <c r="F84" s="105"/>
      <c r="G84" s="105"/>
      <c r="H84" s="106">
        <f>SUM(D84:G84)</f>
        <v>0</v>
      </c>
    </row>
    <row r="85" s="75" customFormat="1" ht="18.75" hidden="1" spans="1:8">
      <c r="A85" s="131">
        <v>32</v>
      </c>
      <c r="B85" s="132"/>
      <c r="C85" s="133"/>
      <c r="D85" s="105"/>
      <c r="E85" s="105"/>
      <c r="F85" s="105"/>
      <c r="G85" s="105"/>
      <c r="H85" s="106">
        <f>SUM(D85:G85)</f>
        <v>0</v>
      </c>
    </row>
    <row r="86" s="75" customFormat="1" ht="18.75" hidden="1" spans="1:8">
      <c r="A86" s="131">
        <v>33</v>
      </c>
      <c r="B86" s="132"/>
      <c r="C86" s="133"/>
      <c r="D86" s="105"/>
      <c r="E86" s="105"/>
      <c r="F86" s="105"/>
      <c r="G86" s="105"/>
      <c r="H86" s="106">
        <f>SUM(D86:G86)</f>
        <v>0</v>
      </c>
    </row>
    <row r="87" s="75" customFormat="1" ht="18.75" hidden="1" spans="1:8">
      <c r="A87" s="107" t="s">
        <v>82</v>
      </c>
      <c r="B87" s="108"/>
      <c r="C87" s="109"/>
      <c r="D87" s="110">
        <f>SUM(D84:D86)</f>
        <v>0</v>
      </c>
      <c r="E87" s="110">
        <f>SUM(E84:E86)</f>
        <v>0</v>
      </c>
      <c r="F87" s="110">
        <f>SUM(F84:F86)</f>
        <v>0</v>
      </c>
      <c r="G87" s="110">
        <f>SUM(G84:G86)</f>
        <v>0</v>
      </c>
      <c r="H87" s="110">
        <f>SUM(D87:G87)</f>
        <v>0</v>
      </c>
    </row>
    <row r="88" s="75" customFormat="1" ht="18.75" hidden="1" spans="1:8">
      <c r="A88" s="118" t="s">
        <v>85</v>
      </c>
      <c r="B88" s="119"/>
      <c r="C88" s="120"/>
      <c r="D88" s="125">
        <f>D82+D87</f>
        <v>0</v>
      </c>
      <c r="E88" s="125">
        <f>E82+E87</f>
        <v>0</v>
      </c>
      <c r="F88" s="125">
        <f>F82+F87</f>
        <v>0</v>
      </c>
      <c r="G88" s="125">
        <f>G82+G87</f>
        <v>0</v>
      </c>
      <c r="H88" s="125">
        <f>H82+H87</f>
        <v>0</v>
      </c>
    </row>
    <row r="89" s="75" customFormat="1" ht="29.1" customHeight="1" spans="1:8">
      <c r="A89" s="126"/>
      <c r="B89" s="122" t="s">
        <v>86</v>
      </c>
      <c r="C89" s="122"/>
      <c r="D89" s="122"/>
      <c r="E89" s="122"/>
      <c r="F89" s="122"/>
      <c r="G89" s="122"/>
      <c r="H89" s="103"/>
    </row>
    <row r="90" s="75" customFormat="1" ht="21" spans="1:10">
      <c r="A90" s="103">
        <v>7</v>
      </c>
      <c r="B90" s="146">
        <f>D14</f>
        <v>0</v>
      </c>
      <c r="C90" s="147" t="s">
        <v>87</v>
      </c>
      <c r="D90" s="134"/>
      <c r="E90" s="134"/>
      <c r="F90" s="134"/>
      <c r="G90" s="113"/>
      <c r="H90" s="116">
        <f>SUM(D90:G90)</f>
        <v>0</v>
      </c>
      <c r="I90" s="161">
        <v>26278.5</v>
      </c>
      <c r="J90" s="171"/>
    </row>
    <row r="91" s="75" customFormat="1" ht="18.75" hidden="1" spans="1:8">
      <c r="A91" s="131">
        <v>14</v>
      </c>
      <c r="B91" s="103" t="s">
        <v>88</v>
      </c>
      <c r="C91" s="148" t="s">
        <v>89</v>
      </c>
      <c r="D91" s="134"/>
      <c r="E91" s="134"/>
      <c r="F91" s="134"/>
      <c r="G91" s="134">
        <v>0</v>
      </c>
      <c r="H91" s="116">
        <f>SUM(D91:G91)</f>
        <v>0</v>
      </c>
    </row>
    <row r="92" s="75" customFormat="1" ht="18.75" hidden="1" spans="1:8">
      <c r="A92" s="131">
        <v>36</v>
      </c>
      <c r="B92" s="103"/>
      <c r="C92" s="149"/>
      <c r="D92" s="134"/>
      <c r="E92" s="134"/>
      <c r="F92" s="134"/>
      <c r="G92" s="134"/>
      <c r="H92" s="116">
        <f>SUM(D92:G92)</f>
        <v>0</v>
      </c>
    </row>
    <row r="93" s="75" customFormat="1" ht="18.75" spans="1:9">
      <c r="A93" s="107" t="s">
        <v>90</v>
      </c>
      <c r="B93" s="108"/>
      <c r="C93" s="109"/>
      <c r="D93" s="117">
        <f>SUM(D90:D92)</f>
        <v>0</v>
      </c>
      <c r="E93" s="117">
        <f>SUM(E90:E92)</f>
        <v>0</v>
      </c>
      <c r="F93" s="117">
        <f>SUM(F90:F92)</f>
        <v>0</v>
      </c>
      <c r="G93" s="117">
        <f>SUM(G90:G92)</f>
        <v>0</v>
      </c>
      <c r="H93" s="117">
        <f>SUM(H90:H92)</f>
        <v>0</v>
      </c>
      <c r="I93" s="172"/>
    </row>
    <row r="94" s="75" customFormat="1" ht="19.5" spans="1:11">
      <c r="A94" s="118" t="s">
        <v>91</v>
      </c>
      <c r="B94" s="119"/>
      <c r="C94" s="120"/>
      <c r="D94" s="121">
        <f>D88+D93</f>
        <v>0</v>
      </c>
      <c r="E94" s="121">
        <f>E88+E93</f>
        <v>0</v>
      </c>
      <c r="F94" s="121">
        <f>F88+F93</f>
        <v>0</v>
      </c>
      <c r="G94" s="121">
        <f>G88+G93</f>
        <v>0</v>
      </c>
      <c r="H94" s="121">
        <f>H93+H88</f>
        <v>0</v>
      </c>
      <c r="I94" s="173"/>
      <c r="J94" s="168" t="s">
        <v>92</v>
      </c>
      <c r="K94" s="168" t="s">
        <v>93</v>
      </c>
    </row>
    <row r="95" s="75" customFormat="1" ht="28.5" customHeight="1" spans="1:11">
      <c r="A95" s="126"/>
      <c r="B95" s="122" t="s">
        <v>94</v>
      </c>
      <c r="C95" s="122"/>
      <c r="D95" s="122"/>
      <c r="E95" s="122"/>
      <c r="F95" s="122"/>
      <c r="G95" s="122"/>
      <c r="H95" s="103"/>
      <c r="I95" s="174" t="s">
        <v>95</v>
      </c>
      <c r="J95" s="175">
        <f>I76/1000+G90</f>
        <v>0</v>
      </c>
      <c r="K95" s="176">
        <f>J95*1.2</f>
        <v>0</v>
      </c>
    </row>
    <row r="96" s="75" customFormat="1" ht="37.5" spans="1:11">
      <c r="A96" s="103">
        <v>8</v>
      </c>
      <c r="B96" s="132" t="s">
        <v>96</v>
      </c>
      <c r="C96" s="145" t="s">
        <v>97</v>
      </c>
      <c r="D96" s="134">
        <f>ROUND(D94*0.03,5)</f>
        <v>0</v>
      </c>
      <c r="E96" s="134">
        <f t="shared" ref="E96:G96" si="2">ROUND(E94*0.03,5)</f>
        <v>0</v>
      </c>
      <c r="F96" s="134">
        <f t="shared" si="2"/>
        <v>0</v>
      </c>
      <c r="G96" s="134">
        <f t="shared" si="2"/>
        <v>0</v>
      </c>
      <c r="H96" s="116">
        <f>SUM(D96:G96)</f>
        <v>0</v>
      </c>
      <c r="I96" s="177"/>
      <c r="J96" s="136"/>
      <c r="K96" s="136"/>
    </row>
    <row r="97" s="75" customFormat="1" ht="21" hidden="1" spans="1:11">
      <c r="A97" s="103">
        <v>38</v>
      </c>
      <c r="B97" s="132"/>
      <c r="C97" s="145"/>
      <c r="D97" s="134"/>
      <c r="E97" s="134"/>
      <c r="F97" s="134"/>
      <c r="G97" s="134"/>
      <c r="H97" s="116">
        <f>SUM(D97:G97)</f>
        <v>0</v>
      </c>
      <c r="I97" s="136"/>
      <c r="J97" s="136"/>
      <c r="K97" s="136"/>
    </row>
    <row r="98" s="75" customFormat="1" ht="21" hidden="1" spans="1:11">
      <c r="A98" s="103">
        <v>39</v>
      </c>
      <c r="B98" s="132"/>
      <c r="C98" s="145"/>
      <c r="D98" s="134"/>
      <c r="E98" s="134"/>
      <c r="F98" s="134"/>
      <c r="G98" s="134"/>
      <c r="H98" s="116">
        <f>SUM(D98:G98)</f>
        <v>0</v>
      </c>
      <c r="I98" s="177"/>
      <c r="J98" s="136"/>
      <c r="K98" s="136"/>
    </row>
    <row r="99" s="75" customFormat="1" ht="20.25" customHeight="1" spans="1:11">
      <c r="A99" s="150"/>
      <c r="B99" s="150"/>
      <c r="C99" s="151" t="s">
        <v>98</v>
      </c>
      <c r="D99" s="152">
        <f>SUM(D96:D98)</f>
        <v>0</v>
      </c>
      <c r="E99" s="152">
        <f>SUM(E96:E98)</f>
        <v>0</v>
      </c>
      <c r="F99" s="152">
        <f>SUM(F96:F98)</f>
        <v>0</v>
      </c>
      <c r="G99" s="152">
        <f>SUM(G96:G98)</f>
        <v>0</v>
      </c>
      <c r="H99" s="152">
        <f>SUM(H96:H98)</f>
        <v>0</v>
      </c>
      <c r="I99" s="178"/>
      <c r="J99" s="179" t="s">
        <v>99</v>
      </c>
      <c r="K99" s="136"/>
    </row>
    <row r="100" s="75" customFormat="1" ht="21.75" spans="1:11">
      <c r="A100" s="153"/>
      <c r="B100" s="153"/>
      <c r="C100" s="153" t="s">
        <v>100</v>
      </c>
      <c r="D100" s="154">
        <f>D94+D99</f>
        <v>0</v>
      </c>
      <c r="E100" s="154">
        <f>E94+E99</f>
        <v>0</v>
      </c>
      <c r="F100" s="154">
        <f>F94+F99</f>
        <v>0</v>
      </c>
      <c r="G100" s="154">
        <f>G94+G99</f>
        <v>0</v>
      </c>
      <c r="H100" s="154">
        <f>H94+H99</f>
        <v>0</v>
      </c>
      <c r="I100" s="180"/>
      <c r="J100" s="181">
        <v>146.11628</v>
      </c>
      <c r="K100" s="161">
        <v>161342.13</v>
      </c>
    </row>
    <row r="101" s="75" customFormat="1" ht="21.75" spans="1:11">
      <c r="A101" s="150"/>
      <c r="B101" s="122" t="s">
        <v>101</v>
      </c>
      <c r="C101" s="122"/>
      <c r="D101" s="122"/>
      <c r="E101" s="122"/>
      <c r="F101" s="122"/>
      <c r="G101" s="122"/>
      <c r="H101" s="125"/>
      <c r="I101" s="136"/>
      <c r="J101" s="179" t="s">
        <v>102</v>
      </c>
      <c r="K101" s="136"/>
    </row>
    <row r="102" s="75" customFormat="1" ht="21.75" spans="1:10">
      <c r="A102" s="103">
        <v>9</v>
      </c>
      <c r="B102" s="150"/>
      <c r="C102" s="155" t="s">
        <v>103</v>
      </c>
      <c r="D102" s="134">
        <f>ROUND(D100*0.22,5)</f>
        <v>0</v>
      </c>
      <c r="E102" s="134">
        <f>ROUND(E100*0.22,5)</f>
        <v>0</v>
      </c>
      <c r="F102" s="134">
        <f>ROUND(F100*0.22,5)</f>
        <v>0</v>
      </c>
      <c r="G102" s="134">
        <f>ROUND(G100*0.22,5)</f>
        <v>0</v>
      </c>
      <c r="H102" s="121">
        <f>SUM(D102:G102)</f>
        <v>0</v>
      </c>
      <c r="I102" s="171"/>
      <c r="J102" s="182">
        <v>171.13091</v>
      </c>
    </row>
    <row r="103" s="75" customFormat="1" ht="37.5" hidden="1" spans="1:11">
      <c r="A103" s="103">
        <v>17</v>
      </c>
      <c r="B103" s="150"/>
      <c r="C103" s="155" t="s">
        <v>104</v>
      </c>
      <c r="D103" s="134"/>
      <c r="E103" s="134"/>
      <c r="F103" s="134"/>
      <c r="G103" s="134"/>
      <c r="H103" s="121">
        <f>SUM(D103:G103)</f>
        <v>0</v>
      </c>
      <c r="I103" s="136"/>
      <c r="J103" s="136"/>
      <c r="K103" s="136"/>
    </row>
    <row r="104" s="75" customFormat="1" ht="37.5" hidden="1" spans="1:11">
      <c r="A104" s="103">
        <v>42</v>
      </c>
      <c r="B104" s="150"/>
      <c r="C104" s="155" t="s">
        <v>105</v>
      </c>
      <c r="D104" s="134"/>
      <c r="E104" s="134"/>
      <c r="F104" s="134"/>
      <c r="G104" s="134"/>
      <c r="H104" s="121">
        <f>SUM(D104:G104)</f>
        <v>0</v>
      </c>
      <c r="I104" s="136"/>
      <c r="J104" s="136"/>
      <c r="K104" s="136"/>
    </row>
    <row r="105" s="75" customFormat="1" ht="23.25" spans="1:12">
      <c r="A105" s="150"/>
      <c r="B105" s="150"/>
      <c r="C105" s="156" t="s">
        <v>106</v>
      </c>
      <c r="D105" s="121">
        <f>SUM(D102:D104)</f>
        <v>0</v>
      </c>
      <c r="E105" s="121">
        <f>SUM(E102:E104)</f>
        <v>0</v>
      </c>
      <c r="F105" s="121">
        <f>SUM(F102:F104)</f>
        <v>0</v>
      </c>
      <c r="G105" s="121">
        <f>SUM(G102:G104)</f>
        <v>0</v>
      </c>
      <c r="H105" s="121">
        <f>SUM(H102:H104)</f>
        <v>0</v>
      </c>
      <c r="I105" s="183" t="s">
        <v>107</v>
      </c>
      <c r="J105" s="184">
        <f>(J102/1.03/1.0393-H90)/1.0214</f>
        <v>156.514455336928</v>
      </c>
      <c r="K105" s="171"/>
      <c r="L105" s="185">
        <f>K105*1.2</f>
        <v>0</v>
      </c>
    </row>
    <row r="106" s="75" customFormat="1" ht="21" spans="1:11">
      <c r="A106" s="150"/>
      <c r="B106" s="150"/>
      <c r="C106" s="156" t="s">
        <v>108</v>
      </c>
      <c r="D106" s="121">
        <f>D100+D105</f>
        <v>0</v>
      </c>
      <c r="E106" s="121">
        <f>E100+E105</f>
        <v>0</v>
      </c>
      <c r="F106" s="121">
        <f>F100+F105</f>
        <v>0</v>
      </c>
      <c r="G106" s="121">
        <f>G100+G105</f>
        <v>0</v>
      </c>
      <c r="H106" s="134">
        <f>H100+H105</f>
        <v>0</v>
      </c>
      <c r="I106" s="183" t="s">
        <v>109</v>
      </c>
      <c r="J106" s="186">
        <f>J100-H90</f>
        <v>146.11628</v>
      </c>
      <c r="K106" s="136"/>
    </row>
    <row r="107" s="75" customFormat="1" ht="21" spans="1:11">
      <c r="A107" s="157"/>
      <c r="B107" s="157"/>
      <c r="C107" s="158"/>
      <c r="D107" s="159"/>
      <c r="E107" s="159"/>
      <c r="F107" s="159"/>
      <c r="G107" s="159"/>
      <c r="H107" s="160"/>
      <c r="I107" s="183"/>
      <c r="J107" s="186"/>
      <c r="K107" s="136"/>
    </row>
    <row r="108" s="75" customFormat="1" ht="21" spans="1:11">
      <c r="A108" s="157"/>
      <c r="B108" s="157"/>
      <c r="C108" s="158"/>
      <c r="D108" s="159"/>
      <c r="E108" s="159"/>
      <c r="F108" s="159"/>
      <c r="G108" s="159"/>
      <c r="H108" s="160"/>
      <c r="I108" s="183"/>
      <c r="J108" s="186"/>
      <c r="K108" s="136"/>
    </row>
    <row r="109" s="75" customFormat="1" ht="21" spans="1:11">
      <c r="A109" s="157"/>
      <c r="B109" s="157"/>
      <c r="C109" s="158"/>
      <c r="D109" s="159"/>
      <c r="E109" s="159"/>
      <c r="F109" s="159"/>
      <c r="G109" s="159"/>
      <c r="H109" s="160"/>
      <c r="I109" s="183"/>
      <c r="J109" s="186"/>
      <c r="K109" s="136"/>
    </row>
    <row r="110" s="75" customFormat="1" ht="21" spans="1:11">
      <c r="A110" s="16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</row>
    <row r="111" s="77" customFormat="1" ht="41.25" customHeight="1" spans="1:8">
      <c r="A111" s="162"/>
      <c r="B111" s="163"/>
      <c r="C111" s="164" t="s">
        <v>110</v>
      </c>
      <c r="D111" s="165"/>
      <c r="E111" s="165"/>
      <c r="F111" s="166" t="s">
        <v>111</v>
      </c>
      <c r="G111" s="163"/>
      <c r="H111" s="163"/>
    </row>
    <row r="112" s="75" customFormat="1" ht="21" spans="1:8">
      <c r="A112" s="161"/>
      <c r="B112" s="163" t="s">
        <v>8</v>
      </c>
      <c r="C112" s="136"/>
      <c r="D112" s="136"/>
      <c r="E112" s="136"/>
      <c r="F112" s="136"/>
      <c r="G112" s="136"/>
      <c r="H112" s="136"/>
    </row>
    <row r="113" s="75" customFormat="1" ht="21" spans="2:6">
      <c r="B113" s="163"/>
      <c r="C113" s="136"/>
      <c r="D113" s="136"/>
      <c r="E113" s="136"/>
      <c r="F113" s="136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C96" sqref="C96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4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5" t="s">
        <v>112</v>
      </c>
      <c r="M1" s="66"/>
      <c r="N1" s="66"/>
      <c r="O1" s="66"/>
      <c r="P1" s="66"/>
      <c r="Q1" s="66"/>
    </row>
    <row r="2" ht="45" spans="1:17">
      <c r="A2" s="55" t="s">
        <v>113</v>
      </c>
      <c r="B2" s="56" t="s">
        <v>114</v>
      </c>
      <c r="C2" s="55" t="s">
        <v>115</v>
      </c>
      <c r="D2" s="57" t="s">
        <v>116</v>
      </c>
      <c r="E2" s="55" t="s">
        <v>117</v>
      </c>
      <c r="F2" s="58" t="s">
        <v>118</v>
      </c>
      <c r="G2" s="59" t="s">
        <v>119</v>
      </c>
      <c r="H2" s="59" t="s">
        <v>120</v>
      </c>
      <c r="I2" s="59" t="s">
        <v>121</v>
      </c>
      <c r="J2" s="59" t="s">
        <v>122</v>
      </c>
      <c r="K2" s="67"/>
      <c r="L2" s="68" t="s">
        <v>123</v>
      </c>
      <c r="M2" s="68" t="s">
        <v>124</v>
      </c>
      <c r="N2" s="68" t="s">
        <v>125</v>
      </c>
      <c r="O2" s="68" t="s">
        <v>126</v>
      </c>
      <c r="P2" s="68" t="s">
        <v>127</v>
      </c>
      <c r="Q2" s="68" t="s">
        <v>128</v>
      </c>
    </row>
    <row r="3" ht="18.75" spans="1:17">
      <c r="A3" s="60" t="str">
        <f>'ССР Т'!H15</f>
        <v>I-356312</v>
      </c>
      <c r="B3" s="61"/>
      <c r="C3" s="61" t="s">
        <v>129</v>
      </c>
      <c r="D3" s="62" t="s">
        <v>130</v>
      </c>
      <c r="E3" s="63"/>
      <c r="F3" s="60"/>
      <c r="G3" s="64" t="s">
        <v>131</v>
      </c>
      <c r="H3" s="61"/>
      <c r="I3" s="69">
        <v>2026</v>
      </c>
      <c r="J3" s="69">
        <v>3</v>
      </c>
      <c r="K3" s="61"/>
      <c r="L3" s="70"/>
      <c r="M3" s="70"/>
      <c r="N3" s="70"/>
      <c r="O3" s="70">
        <f>SUM('ССР позиции'!Y3:Y18)</f>
        <v>180402.82</v>
      </c>
      <c r="P3" s="70">
        <f>'ССР позиции'!Y19</f>
        <v>39688.62</v>
      </c>
      <c r="Q3" s="70">
        <f>SUM('ССР позиции'!Y3:Y19)</f>
        <v>220091.44</v>
      </c>
    </row>
    <row r="4" spans="12:17">
      <c r="L4" s="71"/>
      <c r="M4" s="71"/>
      <c r="N4" s="71"/>
      <c r="O4" s="71">
        <f>'ССР Т'!H100*1000</f>
        <v>180402.82</v>
      </c>
      <c r="P4" s="71">
        <f>'ССР Т'!H102*1000</f>
        <v>39688.62</v>
      </c>
      <c r="Q4" s="71">
        <f>'ССР Т'!H106*1000</f>
        <v>220091.44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 horizont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="85" zoomScaleNormal="100" workbookViewId="0">
      <pane xSplit="6" ySplit="2" topLeftCell="G3" activePane="bottomRight" state="frozen"/>
      <selection/>
      <selection pane="topRight"/>
      <selection pane="bottomLeft"/>
      <selection pane="bottomRight" activeCell="C96" sqref="C96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50.7777777777778" style="6" customWidth="1"/>
    <col min="7" max="7" width="16" style="6" customWidth="1"/>
    <col min="8" max="8" width="13.3333333333333" style="6" customWidth="1"/>
    <col min="9" max="9" width="14" style="6" customWidth="1"/>
    <col min="10" max="10" width="12.8333333333333" style="6" customWidth="1"/>
    <col min="11" max="11" width="13" style="6" customWidth="1"/>
    <col min="12" max="12" width="12.5" style="6" customWidth="1"/>
    <col min="13" max="13" width="12.3333333333333" style="6" customWidth="1"/>
    <col min="14" max="14" width="15.3333333333333" style="6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132</v>
      </c>
      <c r="H1" s="8"/>
      <c r="I1" s="8"/>
      <c r="J1" s="8"/>
      <c r="K1" s="8"/>
      <c r="L1" s="8"/>
      <c r="M1" s="8"/>
      <c r="N1" s="8"/>
      <c r="O1" s="24" t="s">
        <v>133</v>
      </c>
      <c r="P1" s="24"/>
      <c r="Q1" s="24"/>
      <c r="R1" s="24"/>
      <c r="S1" s="24"/>
      <c r="T1" s="24"/>
      <c r="U1" s="24"/>
      <c r="V1" s="24"/>
      <c r="X1" s="40" t="s">
        <v>112</v>
      </c>
      <c r="Y1" s="51"/>
    </row>
    <row r="2" ht="60.75" spans="1:25">
      <c r="A2" s="9" t="s">
        <v>113</v>
      </c>
      <c r="B2" s="10" t="s">
        <v>114</v>
      </c>
      <c r="C2" s="11" t="s">
        <v>134</v>
      </c>
      <c r="D2" s="11" t="s">
        <v>135</v>
      </c>
      <c r="E2" s="11" t="s">
        <v>17</v>
      </c>
      <c r="F2" s="11" t="s">
        <v>18</v>
      </c>
      <c r="G2" s="12" t="s">
        <v>136</v>
      </c>
      <c r="H2" s="12" t="s">
        <v>137</v>
      </c>
      <c r="I2" s="12" t="s">
        <v>138</v>
      </c>
      <c r="J2" s="25" t="s">
        <v>139</v>
      </c>
      <c r="K2" s="25" t="s">
        <v>140</v>
      </c>
      <c r="L2" s="25" t="s">
        <v>141</v>
      </c>
      <c r="M2" s="25" t="s">
        <v>142</v>
      </c>
      <c r="N2" s="25" t="s">
        <v>143</v>
      </c>
      <c r="O2" s="26" t="s">
        <v>136</v>
      </c>
      <c r="P2" s="27" t="s">
        <v>137</v>
      </c>
      <c r="Q2" s="27" t="s">
        <v>138</v>
      </c>
      <c r="R2" s="26" t="s">
        <v>139</v>
      </c>
      <c r="S2" s="26" t="s">
        <v>140</v>
      </c>
      <c r="T2" s="26" t="s">
        <v>141</v>
      </c>
      <c r="U2" s="26" t="s">
        <v>142</v>
      </c>
      <c r="V2" s="26" t="s">
        <v>143</v>
      </c>
      <c r="X2" s="41" t="s">
        <v>144</v>
      </c>
      <c r="Y2" s="52" t="s">
        <v>145</v>
      </c>
    </row>
    <row r="3" s="5" customFormat="1" spans="1:25">
      <c r="A3" s="13" t="str">
        <f>'ССР Т'!H15</f>
        <v>I-356312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Строительство ВЛИ</v>
      </c>
      <c r="G3" s="17"/>
      <c r="H3" s="17"/>
      <c r="I3" s="17"/>
      <c r="J3" s="28"/>
      <c r="K3" s="28"/>
      <c r="L3" s="28"/>
      <c r="M3" s="28"/>
      <c r="N3" s="29"/>
      <c r="O3" s="30">
        <f>'ССР Т'!D25*1000</f>
        <v>126305.69</v>
      </c>
      <c r="P3" s="30">
        <f>'ССР Т'!E25*1000</f>
        <v>16429.07</v>
      </c>
      <c r="Q3" s="30">
        <f>'ССР Т'!F25*1000</f>
        <v>0</v>
      </c>
      <c r="R3" s="42">
        <v>0</v>
      </c>
      <c r="S3" s="42">
        <v>0</v>
      </c>
      <c r="T3" s="42">
        <v>0</v>
      </c>
      <c r="U3" s="42">
        <v>0</v>
      </c>
      <c r="V3" s="43">
        <v>0</v>
      </c>
      <c r="W3" s="44"/>
      <c r="X3" s="45"/>
      <c r="Y3" s="53">
        <f t="shared" ref="Y3:Y19" si="0">SUM(O3:V3)</f>
        <v>142734.76</v>
      </c>
    </row>
    <row r="4" s="5" customFormat="1" hidden="1" spans="1:25">
      <c r="A4" s="13" t="str">
        <f>A3</f>
        <v>I-356312</v>
      </c>
      <c r="B4" s="13"/>
      <c r="C4" s="14">
        <v>2</v>
      </c>
      <c r="D4" s="14">
        <f t="shared" ref="D4:D19" si="1">IF(A4=A3,D3+1,1)</f>
        <v>2</v>
      </c>
      <c r="E4" s="15" t="str">
        <f>'ССР Т'!B26</f>
        <v>02-01-02</v>
      </c>
      <c r="F4" s="16" t="str">
        <f>'ССР Т'!C26</f>
        <v>Установка РЩ</v>
      </c>
      <c r="G4" s="17"/>
      <c r="H4" s="17"/>
      <c r="I4" s="17"/>
      <c r="J4" s="31"/>
      <c r="K4" s="31"/>
      <c r="L4" s="31"/>
      <c r="M4" s="31"/>
      <c r="N4" s="32"/>
      <c r="O4" s="30">
        <f>'ССР Т'!D26*1000</f>
        <v>0</v>
      </c>
      <c r="P4" s="30">
        <f>'ССР Т'!E26*1000</f>
        <v>0</v>
      </c>
      <c r="Q4" s="30">
        <f>'ССР Т'!F26*1000</f>
        <v>0</v>
      </c>
      <c r="R4" s="46"/>
      <c r="S4" s="46"/>
      <c r="T4" s="46"/>
      <c r="U4" s="46"/>
      <c r="V4" s="47"/>
      <c r="X4" s="45"/>
      <c r="Y4" s="53">
        <f t="shared" si="0"/>
        <v>0</v>
      </c>
    </row>
    <row r="5" s="5" customFormat="1" hidden="1" spans="1:25">
      <c r="A5" s="13" t="str">
        <f>A4</f>
        <v>I-356312</v>
      </c>
      <c r="B5" s="13"/>
      <c r="C5" s="14">
        <v>2</v>
      </c>
      <c r="D5" s="14">
        <f t="shared" si="1"/>
        <v>3</v>
      </c>
      <c r="E5" s="15" t="str">
        <f>'ССР Т'!B27</f>
        <v>02-01-03</v>
      </c>
      <c r="F5" s="16" t="str">
        <f>'ССР Т'!C27</f>
        <v>Строительство ТП</v>
      </c>
      <c r="G5" s="17"/>
      <c r="H5" s="17"/>
      <c r="I5" s="17"/>
      <c r="J5" s="31"/>
      <c r="K5" s="31"/>
      <c r="L5" s="31"/>
      <c r="M5" s="31"/>
      <c r="N5" s="32"/>
      <c r="O5" s="30">
        <f>'ССР Т'!D27*1000</f>
        <v>0</v>
      </c>
      <c r="P5" s="30">
        <f>'ССР Т'!E27*1000</f>
        <v>0</v>
      </c>
      <c r="Q5" s="30">
        <f>'ССР Т'!F27*1000</f>
        <v>0</v>
      </c>
      <c r="R5" s="46"/>
      <c r="S5" s="46"/>
      <c r="T5" s="46"/>
      <c r="U5" s="46"/>
      <c r="V5" s="47"/>
      <c r="X5" s="45"/>
      <c r="Y5" s="53">
        <f t="shared" ref="Y5" si="2">SUM(O5:V5)</f>
        <v>0</v>
      </c>
    </row>
    <row r="6" s="5" customFormat="1" hidden="1" spans="1:25">
      <c r="A6" s="13" t="str">
        <f>A3</f>
        <v>I-356312</v>
      </c>
      <c r="B6" s="13"/>
      <c r="C6" s="14">
        <v>2</v>
      </c>
      <c r="D6" s="14">
        <f t="shared" si="1"/>
        <v>4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31"/>
      <c r="K6" s="31"/>
      <c r="L6" s="31"/>
      <c r="M6" s="31"/>
      <c r="N6" s="32"/>
      <c r="O6" s="30">
        <f>'ССР Т'!D28*1000</f>
        <v>0</v>
      </c>
      <c r="P6" s="30">
        <f>'ССР Т'!E28*1000</f>
        <v>0</v>
      </c>
      <c r="Q6" s="30">
        <f>'ССР Т'!F28*1000</f>
        <v>0</v>
      </c>
      <c r="R6" s="46"/>
      <c r="S6" s="46"/>
      <c r="T6" s="46"/>
      <c r="U6" s="46"/>
      <c r="V6" s="47"/>
      <c r="X6" s="45"/>
      <c r="Y6" s="53">
        <f t="shared" si="0"/>
        <v>0</v>
      </c>
    </row>
    <row r="7" s="5" customFormat="1" hidden="1" spans="1:25">
      <c r="A7" s="13" t="str">
        <f>A4</f>
        <v>I-356312</v>
      </c>
      <c r="B7" s="13"/>
      <c r="C7" s="14">
        <v>2</v>
      </c>
      <c r="D7" s="14">
        <f t="shared" si="1"/>
        <v>5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31"/>
      <c r="K7" s="31"/>
      <c r="L7" s="31"/>
      <c r="M7" s="31"/>
      <c r="N7" s="32"/>
      <c r="O7" s="30">
        <f>'ССР Т'!D29*1000</f>
        <v>0</v>
      </c>
      <c r="P7" s="30">
        <f>'ССР Т'!E29*1000</f>
        <v>0</v>
      </c>
      <c r="Q7" s="30">
        <f>'ССР Т'!F29*1000</f>
        <v>0</v>
      </c>
      <c r="R7" s="46"/>
      <c r="S7" s="46"/>
      <c r="T7" s="46"/>
      <c r="U7" s="46"/>
      <c r="V7" s="47"/>
      <c r="X7" s="45"/>
      <c r="Y7" s="53">
        <f t="shared" ref="Y7" si="3">SUM(O7:V7)</f>
        <v>0</v>
      </c>
    </row>
    <row r="8" s="5" customFormat="1" ht="30" spans="1:25">
      <c r="A8" s="13" t="str">
        <f>A3</f>
        <v>I-356312</v>
      </c>
      <c r="B8" s="13"/>
      <c r="C8" s="14">
        <v>8</v>
      </c>
      <c r="D8" s="14">
        <v>2</v>
      </c>
      <c r="E8" s="18" t="s">
        <v>56</v>
      </c>
      <c r="F8" s="16" t="s">
        <v>57</v>
      </c>
      <c r="G8" s="17"/>
      <c r="H8" s="17"/>
      <c r="I8" s="17"/>
      <c r="J8" s="17"/>
      <c r="K8" s="17"/>
      <c r="L8" s="17"/>
      <c r="M8" s="17"/>
      <c r="N8" s="33"/>
      <c r="O8" s="30">
        <f>'ССР Т'!D63*1000</f>
        <v>3157.64</v>
      </c>
      <c r="P8" s="30">
        <f>'ССР Т'!E63*1000</f>
        <v>410.73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48">
        <v>0</v>
      </c>
      <c r="X8" s="45"/>
      <c r="Y8" s="53">
        <f t="shared" si="0"/>
        <v>3568.37</v>
      </c>
    </row>
    <row r="9" s="5" customFormat="1" ht="40" customHeight="1" spans="1:25">
      <c r="A9" s="13" t="str">
        <f>A8</f>
        <v>I-356312</v>
      </c>
      <c r="B9" s="13"/>
      <c r="C9" s="14">
        <v>9</v>
      </c>
      <c r="D9" s="14">
        <f t="shared" si="1"/>
        <v>3</v>
      </c>
      <c r="E9" s="18" t="s">
        <v>61</v>
      </c>
      <c r="F9" s="16" t="s">
        <v>146</v>
      </c>
      <c r="G9" s="19"/>
      <c r="H9" s="17"/>
      <c r="I9" s="17"/>
      <c r="J9" s="17"/>
      <c r="K9" s="17"/>
      <c r="L9" s="17"/>
      <c r="M9" s="17"/>
      <c r="N9" s="34"/>
      <c r="O9" s="35">
        <f>'ССР Т'!D69*1000</f>
        <v>2459.8</v>
      </c>
      <c r="P9" s="30">
        <f>'ССР Т'!E69*1000</f>
        <v>319.96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48">
        <v>0</v>
      </c>
      <c r="X9" s="45"/>
      <c r="Y9" s="53">
        <f t="shared" si="0"/>
        <v>2779.76</v>
      </c>
    </row>
    <row r="10" s="5" customFormat="1" spans="1:25">
      <c r="A10" s="13" t="str">
        <f t="shared" ref="A10:A19" si="4">A9</f>
        <v>I-356312</v>
      </c>
      <c r="B10" s="13"/>
      <c r="C10" s="14">
        <v>9</v>
      </c>
      <c r="D10" s="14">
        <f t="shared" si="1"/>
        <v>4</v>
      </c>
      <c r="E10" s="15" t="str">
        <f>'ССР Т'!B70</f>
        <v>09-01-01</v>
      </c>
      <c r="F10" s="16" t="str">
        <f>'ССР Т'!C70</f>
        <v>ПНР ВЛИ</v>
      </c>
      <c r="G10" s="19"/>
      <c r="H10" s="17"/>
      <c r="I10" s="17"/>
      <c r="J10" s="17"/>
      <c r="K10" s="17"/>
      <c r="L10" s="17"/>
      <c r="M10" s="17"/>
      <c r="N10" s="34"/>
      <c r="O10" s="35">
        <v>0</v>
      </c>
      <c r="P10" s="30">
        <v>0</v>
      </c>
      <c r="Q10" s="30">
        <v>0</v>
      </c>
      <c r="R10" s="30">
        <v>0</v>
      </c>
      <c r="S10" s="30">
        <f>'ССР Т'!G70*1000</f>
        <v>13693.72</v>
      </c>
      <c r="T10" s="30">
        <v>0</v>
      </c>
      <c r="U10" s="30">
        <v>0</v>
      </c>
      <c r="V10" s="48">
        <v>0</v>
      </c>
      <c r="X10" s="45"/>
      <c r="Y10" s="53">
        <f t="shared" si="0"/>
        <v>13693.72</v>
      </c>
    </row>
    <row r="11" s="5" customFormat="1" hidden="1" spans="1:25">
      <c r="A11" s="13" t="str">
        <f>A3</f>
        <v>I-356312</v>
      </c>
      <c r="B11" s="13"/>
      <c r="C11" s="14">
        <v>9</v>
      </c>
      <c r="D11" s="14">
        <f t="shared" si="1"/>
        <v>5</v>
      </c>
      <c r="E11" s="15" t="str">
        <f>'ССР Т'!B71</f>
        <v>09-01-02</v>
      </c>
      <c r="F11" s="16" t="str">
        <f>'ССР Т'!C71</f>
        <v>ПНР РЩ</v>
      </c>
      <c r="G11" s="19"/>
      <c r="H11" s="17"/>
      <c r="I11" s="17"/>
      <c r="J11" s="17"/>
      <c r="K11" s="17"/>
      <c r="L11" s="17"/>
      <c r="M11" s="17"/>
      <c r="N11" s="34"/>
      <c r="O11" s="35"/>
      <c r="P11" s="30"/>
      <c r="Q11" s="30"/>
      <c r="R11" s="30"/>
      <c r="S11" s="30">
        <f>'ССР Т'!G71*1000</f>
        <v>0</v>
      </c>
      <c r="T11" s="30"/>
      <c r="U11" s="30"/>
      <c r="V11" s="48"/>
      <c r="X11" s="45"/>
      <c r="Y11" s="53">
        <f t="shared" si="0"/>
        <v>0</v>
      </c>
    </row>
    <row r="12" s="5" customFormat="1" hidden="1" customHeight="1" spans="1:25">
      <c r="A12" s="13" t="str">
        <f>A3</f>
        <v>I-356312</v>
      </c>
      <c r="B12" s="13"/>
      <c r="C12" s="14">
        <v>9</v>
      </c>
      <c r="D12" s="14">
        <f t="shared" si="1"/>
        <v>6</v>
      </c>
      <c r="E12" s="15" t="str">
        <f>'ССР Т'!B72</f>
        <v>09-01-03</v>
      </c>
      <c r="F12" s="16" t="str">
        <f>'ССР Т'!C72</f>
        <v>ПНР ТП</v>
      </c>
      <c r="G12" s="19"/>
      <c r="H12" s="17"/>
      <c r="I12" s="17"/>
      <c r="J12" s="17"/>
      <c r="K12" s="17"/>
      <c r="L12" s="17"/>
      <c r="M12" s="17"/>
      <c r="N12" s="34"/>
      <c r="O12" s="35"/>
      <c r="P12" s="30"/>
      <c r="Q12" s="30"/>
      <c r="R12" s="30"/>
      <c r="S12" s="30">
        <f>'ССР Т'!G72*1000</f>
        <v>0</v>
      </c>
      <c r="T12" s="30"/>
      <c r="U12" s="30"/>
      <c r="V12" s="48"/>
      <c r="X12" s="45"/>
      <c r="Y12" s="53">
        <f t="shared" si="0"/>
        <v>0</v>
      </c>
    </row>
    <row r="13" s="5" customFormat="1" hidden="1" customHeight="1" spans="1:25">
      <c r="A13" s="13" t="str">
        <f>A3</f>
        <v>I-356312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4"/>
      <c r="O13" s="35"/>
      <c r="P13" s="30"/>
      <c r="Q13" s="30"/>
      <c r="R13" s="30"/>
      <c r="S13" s="30">
        <f>'ССР Т'!G73*1000</f>
        <v>0</v>
      </c>
      <c r="T13" s="30"/>
      <c r="U13" s="30"/>
      <c r="V13" s="48"/>
      <c r="X13" s="45"/>
      <c r="Y13" s="53">
        <f t="shared" si="0"/>
        <v>0</v>
      </c>
    </row>
    <row r="14" s="5" customFormat="1" hidden="1" spans="1:25">
      <c r="A14" s="13" t="str">
        <f>A4</f>
        <v>I-356312</v>
      </c>
      <c r="B14" s="13"/>
      <c r="C14" s="14">
        <v>9</v>
      </c>
      <c r="D14" s="14">
        <f>IF(A14=A12,D12+1,1)</f>
        <v>7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4"/>
      <c r="O14" s="35"/>
      <c r="P14" s="30"/>
      <c r="Q14" s="30"/>
      <c r="R14" s="30"/>
      <c r="S14" s="30">
        <f>'ССР Т'!G74*1000</f>
        <v>0</v>
      </c>
      <c r="T14" s="30"/>
      <c r="U14" s="30"/>
      <c r="V14" s="48"/>
      <c r="X14" s="45"/>
      <c r="Y14" s="53">
        <f t="shared" ref="Y14" si="5">SUM(O14:V14)</f>
        <v>0</v>
      </c>
    </row>
    <row r="15" s="5" customFormat="1" ht="30" spans="1:25">
      <c r="A15" s="13" t="str">
        <f>A10</f>
        <v>I-356312</v>
      </c>
      <c r="B15" s="13"/>
      <c r="C15" s="14">
        <v>10</v>
      </c>
      <c r="D15" s="14">
        <v>5</v>
      </c>
      <c r="E15" s="20" t="s">
        <v>147</v>
      </c>
      <c r="F15" s="16" t="s">
        <v>148</v>
      </c>
      <c r="G15" s="19"/>
      <c r="H15" s="17"/>
      <c r="I15" s="17"/>
      <c r="J15" s="17"/>
      <c r="K15" s="17"/>
      <c r="L15" s="17"/>
      <c r="M15" s="17"/>
      <c r="N15" s="34"/>
      <c r="O15" s="35">
        <v>0</v>
      </c>
      <c r="P15" s="30">
        <v>0</v>
      </c>
      <c r="Q15" s="30">
        <v>0</v>
      </c>
      <c r="R15" s="30">
        <v>0</v>
      </c>
      <c r="S15" s="30">
        <v>0</v>
      </c>
      <c r="T15" s="30">
        <f>'ССР Т'!H78*1000</f>
        <v>3483.42</v>
      </c>
      <c r="U15" s="30">
        <v>0</v>
      </c>
      <c r="V15" s="48">
        <v>0</v>
      </c>
      <c r="X15" s="45"/>
      <c r="Y15" s="53">
        <f t="shared" si="0"/>
        <v>3483.42</v>
      </c>
    </row>
    <row r="16" s="5" customFormat="1" ht="30" spans="1:25">
      <c r="A16" s="13" t="str">
        <f t="shared" si="4"/>
        <v>I-356312</v>
      </c>
      <c r="B16" s="13"/>
      <c r="C16" s="14">
        <v>10</v>
      </c>
      <c r="D16" s="14">
        <f t="shared" si="1"/>
        <v>6</v>
      </c>
      <c r="E16" s="20" t="s">
        <v>80</v>
      </c>
      <c r="F16" s="16" t="s">
        <v>81</v>
      </c>
      <c r="G16" s="19"/>
      <c r="H16" s="17"/>
      <c r="I16" s="17"/>
      <c r="J16" s="17"/>
      <c r="K16" s="17"/>
      <c r="L16" s="17"/>
      <c r="M16" s="17"/>
      <c r="N16" s="34"/>
      <c r="O16" s="36">
        <v>0</v>
      </c>
      <c r="P16" s="37">
        <v>0</v>
      </c>
      <c r="Q16" s="37">
        <v>0</v>
      </c>
      <c r="R16" s="37">
        <v>0</v>
      </c>
      <c r="S16" s="37">
        <v>0</v>
      </c>
      <c r="T16" s="37">
        <f>'ССР Т'!G79*1000</f>
        <v>6491.32</v>
      </c>
      <c r="U16" s="37">
        <v>0</v>
      </c>
      <c r="V16" s="48">
        <v>0</v>
      </c>
      <c r="X16" s="45"/>
      <c r="Y16" s="53">
        <f t="shared" si="0"/>
        <v>6491.32</v>
      </c>
    </row>
    <row r="17" s="5" customFormat="1" spans="1:25">
      <c r="A17" s="13" t="str">
        <f t="shared" si="4"/>
        <v>I-356312</v>
      </c>
      <c r="B17" s="13"/>
      <c r="C17" s="14">
        <v>12</v>
      </c>
      <c r="D17" s="14">
        <f t="shared" si="1"/>
        <v>7</v>
      </c>
      <c r="E17" s="20" t="str">
        <f>'ССР Т'!D14</f>
        <v>Договор № 15-26-Ф-Ст от 13.02.2026</v>
      </c>
      <c r="F17" s="16" t="s">
        <v>149</v>
      </c>
      <c r="G17" s="19"/>
      <c r="H17" s="17"/>
      <c r="I17" s="17"/>
      <c r="J17" s="17"/>
      <c r="K17" s="17"/>
      <c r="L17" s="17"/>
      <c r="M17" s="17"/>
      <c r="N17" s="34"/>
      <c r="O17" s="36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>'ССР Т'!G90*1000</f>
        <v>2397.03</v>
      </c>
      <c r="V17" s="48">
        <v>0</v>
      </c>
      <c r="X17" s="45"/>
      <c r="Y17" s="53">
        <f t="shared" si="0"/>
        <v>2397.03</v>
      </c>
    </row>
    <row r="18" s="5" customFormat="1" ht="30" spans="1:25">
      <c r="A18" s="13" t="str">
        <f t="shared" si="4"/>
        <v>I-356312</v>
      </c>
      <c r="B18" s="13"/>
      <c r="C18" s="14">
        <v>13</v>
      </c>
      <c r="D18" s="14">
        <f t="shared" si="1"/>
        <v>8</v>
      </c>
      <c r="E18" s="20" t="s">
        <v>150</v>
      </c>
      <c r="F18" s="21" t="str">
        <f>'ССР Т'!C96</f>
        <v>Непредвиденные затраты 3%</v>
      </c>
      <c r="G18" s="22"/>
      <c r="H18" s="22"/>
      <c r="I18" s="22"/>
      <c r="J18" s="22"/>
      <c r="K18" s="22"/>
      <c r="L18" s="22"/>
      <c r="M18" s="22"/>
      <c r="N18" s="22"/>
      <c r="O18" s="36">
        <f>ROUND(SUM(O3:O17)*0.03,2)*0</f>
        <v>0</v>
      </c>
      <c r="P18" s="36">
        <f t="shared" ref="P18:V18" si="6">ROUND(SUM(P3:P17)*0.03,2)*0</f>
        <v>0</v>
      </c>
      <c r="Q18" s="36">
        <f t="shared" si="6"/>
        <v>0</v>
      </c>
      <c r="R18" s="36">
        <f>'ССР Т'!H96*1000</f>
        <v>5254.44</v>
      </c>
      <c r="S18" s="36">
        <f t="shared" si="6"/>
        <v>0</v>
      </c>
      <c r="T18" s="36">
        <f t="shared" si="6"/>
        <v>0</v>
      </c>
      <c r="U18" s="36">
        <f t="shared" si="6"/>
        <v>0</v>
      </c>
      <c r="V18" s="36">
        <f t="shared" si="6"/>
        <v>0</v>
      </c>
      <c r="X18" s="45"/>
      <c r="Y18" s="53">
        <f t="shared" si="0"/>
        <v>5254.44</v>
      </c>
    </row>
    <row r="19" s="5" customFormat="1" ht="15.75" spans="1:25">
      <c r="A19" s="13" t="str">
        <f t="shared" si="4"/>
        <v>I-356312</v>
      </c>
      <c r="B19" s="13"/>
      <c r="C19" s="14">
        <v>14</v>
      </c>
      <c r="D19" s="14">
        <f t="shared" si="1"/>
        <v>9</v>
      </c>
      <c r="E19" s="18" t="s">
        <v>151</v>
      </c>
      <c r="F19" s="21" t="s">
        <v>151</v>
      </c>
      <c r="G19" s="23"/>
      <c r="H19" s="23"/>
      <c r="I19" s="23"/>
      <c r="J19" s="23"/>
      <c r="K19" s="23"/>
      <c r="L19" s="23"/>
      <c r="M19" s="23"/>
      <c r="N19" s="23"/>
      <c r="O19" s="38">
        <f>ROUND(SUMIFS(O$3:O$296915,$A$3:$A$296915,$A19,$C$3:$C$296915,"&lt;&gt;14")*0.22,2)</f>
        <v>29023.09</v>
      </c>
      <c r="P19" s="38">
        <f>ROUND(SUMIFS(P$3:P$296915,$A$3:$A$296915,$A19,$C$3:$C$296915,"&lt;&gt;14")*0.22,2)</f>
        <v>3775.15</v>
      </c>
      <c r="Q19" s="38">
        <f>ROUND(SUMIFS(Q$3:Q$296915,$A$3:$A$296915,$A19,$C$3:$C$296915,"&lt;&gt;14")*0.22,2)</f>
        <v>0</v>
      </c>
      <c r="R19" s="38">
        <f>ROUND(SUMIFS(R$3:R$296915,$A$3:$A$296915,$A19,$C$3:$C$296915,"&lt;&gt;14")*0.22,2)-0.01</f>
        <v>1155.97</v>
      </c>
      <c r="S19" s="38">
        <f>ROUND(SUMIFS(S$3:S$296915,$A$3:$A$296915,$A19,$C$3:$C$296915,"&lt;&gt;14")*0.22,2)</f>
        <v>3012.62</v>
      </c>
      <c r="T19" s="38">
        <f>ROUND(SUMIFS(T$3:T$296915,$A$3:$A$296915,$A19,$C$3:$C$296915,"&lt;&gt;14")*0.22,2)</f>
        <v>2194.44</v>
      </c>
      <c r="U19" s="38">
        <f>ROUND(SUMIFS(U$3:U$296915,$A$3:$A$296915,$A19,$C$3:$C$296915,"&lt;&gt;14")*0.22,2)</f>
        <v>527.35</v>
      </c>
      <c r="V19" s="49">
        <f>ROUND(SUMIFS(V$3:V$296915,$A$3:$A$296915,$A19,$C$3:$C$296915,"&lt;&gt;14")*0.22,2)</f>
        <v>0</v>
      </c>
      <c r="X19" s="45"/>
      <c r="Y19" s="53">
        <f t="shared" si="0"/>
        <v>39688.62</v>
      </c>
    </row>
    <row r="20" spans="15:25">
      <c r="O20" s="39"/>
      <c r="P20" s="39"/>
      <c r="Q20" s="39"/>
      <c r="R20" s="39"/>
      <c r="S20" s="39"/>
      <c r="T20" s="39"/>
      <c r="U20" s="39"/>
      <c r="X20" s="50"/>
      <c r="Y20" s="50">
        <f>'ССР Т'!H105*1000</f>
        <v>39688.62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C96" sqref="C96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152</v>
      </c>
      <c r="D1" s="4" t="s">
        <v>153</v>
      </c>
      <c r="E1" s="1" t="s">
        <v>154</v>
      </c>
    </row>
    <row r="2" spans="1:5">
      <c r="A2" s="2" t="s">
        <v>155</v>
      </c>
      <c r="B2" s="2" t="s">
        <v>156</v>
      </c>
      <c r="D2" s="3">
        <v>1</v>
      </c>
      <c r="E2" s="2" t="s">
        <v>25</v>
      </c>
    </row>
    <row r="3" spans="1:5">
      <c r="A3" s="2" t="s">
        <v>129</v>
      </c>
      <c r="B3" s="2" t="s">
        <v>157</v>
      </c>
      <c r="D3" s="3">
        <v>2</v>
      </c>
      <c r="E3" s="2" t="s">
        <v>27</v>
      </c>
    </row>
    <row r="4" spans="4:5">
      <c r="D4" s="3">
        <v>3</v>
      </c>
      <c r="E4" s="2" t="s">
        <v>40</v>
      </c>
    </row>
    <row r="5" spans="4:5">
      <c r="D5" s="3">
        <v>4</v>
      </c>
      <c r="E5" s="2" t="s">
        <v>43</v>
      </c>
    </row>
    <row r="6" spans="4:5">
      <c r="D6" s="3">
        <v>5</v>
      </c>
      <c r="E6" s="2" t="s">
        <v>46</v>
      </c>
    </row>
    <row r="7" spans="4:5">
      <c r="D7" s="3">
        <v>6</v>
      </c>
      <c r="E7" s="2" t="s">
        <v>49</v>
      </c>
    </row>
    <row r="8" spans="4:5">
      <c r="D8" s="3">
        <v>7</v>
      </c>
      <c r="E8" s="2" t="s">
        <v>52</v>
      </c>
    </row>
    <row r="9" spans="4:5">
      <c r="D9" s="3">
        <v>8</v>
      </c>
      <c r="E9" s="2" t="s">
        <v>55</v>
      </c>
    </row>
    <row r="10" spans="4:5">
      <c r="D10" s="3">
        <v>9</v>
      </c>
      <c r="E10" s="2" t="s">
        <v>60</v>
      </c>
    </row>
    <row r="11" spans="4:5">
      <c r="D11" s="3">
        <v>10</v>
      </c>
      <c r="E11" s="2" t="s">
        <v>77</v>
      </c>
    </row>
    <row r="12" spans="4:5">
      <c r="D12" s="3">
        <v>11</v>
      </c>
      <c r="E12" s="2" t="s">
        <v>84</v>
      </c>
    </row>
    <row r="13" spans="4:5">
      <c r="D13" s="3">
        <v>12</v>
      </c>
      <c r="E13" s="2" t="s">
        <v>86</v>
      </c>
    </row>
    <row r="14" spans="4:5">
      <c r="D14" s="3">
        <v>13</v>
      </c>
      <c r="E14" s="2" t="s">
        <v>94</v>
      </c>
    </row>
    <row r="15" spans="4:5">
      <c r="D15" s="3">
        <v>14</v>
      </c>
      <c r="E15" s="2" t="s">
        <v>101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2024-04-10T12:13:00Z</cp:lastPrinted>
  <dcterms:modified xsi:type="dcterms:W3CDTF">2026-03-29T06:52:05Z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836D246C222A4392B654EAB4A945E1D6_12</vt:lpwstr>
  </property>
  <property fmtid="{D5CDD505-2E9C-101B-9397-08002B2CF9AE}" pid="3" name="KSOProductBuildVer">
    <vt:lpwstr>1049-12.2.0.23196</vt:lpwstr>
  </property>
</Properties>
</file>