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\k" localSheetId="4">#REF!</definedName>
    <definedName name="_\m" localSheetId="4">#REF!</definedName>
    <definedName name="_\s" localSheetId="4">#REF!</definedName>
    <definedName name="_\z" localSheetId="4">#REF!</definedName>
    <definedName name="__\AUTOEXEC">#REF!</definedName>
    <definedName name="__\k">#REF!</definedName>
    <definedName name="__\m">#REF!</definedName>
    <definedName name="__\s">#REF!</definedName>
    <definedName name="__\z">#REF!</definedName>
    <definedName name="____\AUTOEXEC">#REF!</definedName>
    <definedName name="____\k">#REF!</definedName>
    <definedName name="____\m">#REF!</definedName>
    <definedName name="____\s">#REF!</definedName>
    <definedName name="____\z">#REF!</definedName>
    <definedName name="_____\AUTOEXEC">#REF!</definedName>
    <definedName name="_____\k">#REF!</definedName>
    <definedName name="_____\m">#REF!</definedName>
    <definedName name="_____\s">#REF!</definedName>
    <definedName name="___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Excel_BuiltIn_Print_Area_1">#REF!</definedName>
    <definedName name="Itog" localSheetId="4">#REF!</definedName>
    <definedName name="Itog">#REF!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Л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_xlnm.Print_Titles" localSheetId="4">'ССР Б'!$18:$18</definedName>
    <definedName name="_xlnm.Print_Titles" localSheetId="1">'ССР Т'!$18:$18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пол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ПЗ!$A$1:$V$84</definedName>
    <definedName name="_xlnm.Print_Area" localSheetId="4">'ССР Б'!$A$1:$H$112</definedName>
    <definedName name="_xlnm.Print_Area" localSheetId="1">'ССР Т'!$A$1:$H$112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Titles" localSheetId="2">'ССР Т ВЫП'!$18:$18</definedName>
    <definedName name="_xlnm.Print_Area" localSheetId="2">'ССР Т ВЫП'!$A$1:$H$112</definedName>
    <definedName name="_xlnm.Print_Titles" localSheetId="3">'ССР Т ОСТ'!$18:$18</definedName>
    <definedName name="_xlnm.Print_Area" localSheetId="3">'ССР Т ОСТ'!$A$1:$H$112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>
      <text>
        <r>
          <rPr>
            <b/>
            <sz val="9"/>
            <rFont val="Tahoma"/>
            <charset val="204"/>
          </rPr>
          <t>Федоров Иван Александрович:</t>
        </r>
        <r>
          <rPr>
            <sz val="9"/>
            <rFont val="Tahoma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3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<sst xmlns="http://schemas.openxmlformats.org/spreadsheetml/2006/main" count="539" uniqueCount="173">
  <si>
    <t>Пояснительная записка к сметной документации:</t>
  </si>
  <si>
    <t xml:space="preserve">              Сметная документация выполнена в соответствии с Федеральной сметной нормативной базой ФСНБ-2022, утвержденной приказом Минстроя России от 30 декабря 2021 г. № 1046/пр</t>
  </si>
  <si>
    <t>Адрес объекта строительства: Московская область.</t>
  </si>
  <si>
    <t xml:space="preserve">               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               Локальные сметы составлены по сметным нормативам ФСНБ-2022 Московской области: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                                                                                                                         
              К ценам материалов и оборудования применены следующие коэффициенты:                                                                                                                      К=1,02 согласно Мет. ПЦСН-2023 МО п. 27 пп. а);
К=1,012 согласно Мет. ПЦСН-2023 МО п. 27 пп. в);
К=1,03 согласно Мет. ПЦСН-2023 МО п. 26.
            Стоимость строительства определена ресурсно-индексный метод (РИМ) с применением КТЦ и пересчётом индексами изменения сметной стоимости строительства по группам однородных строительных ресурсов. 
            Средства по главам 8-12 определяются на основании действующих нормативов и положений.
Резерв средств содержание службы заказчика-застройщика 3,93%, приказ от 01.07.2025 № 612 ПАО "Россети Московский регион". Резерв средств заказчика на осуществление строительного контроля 2,14%,  постановление Правительства РФ от 21.06.2010 № 468.
             Резерв средств на непредвиденные работы и затраты определен в размере 3% от глав 1-12 согласно М-ке 421/пр 04.08.2020 п.179 пп. б).</t>
  </si>
  <si>
    <t xml:space="preserve">          Сметная стоимость строительства определилась:</t>
  </si>
  <si>
    <t>в текущих ценах по состоянию на:</t>
  </si>
  <si>
    <t>Строительные работы :</t>
  </si>
  <si>
    <t>тыс.руб.</t>
  </si>
  <si>
    <t>Монтажные работы :</t>
  </si>
  <si>
    <t>Оборудование :</t>
  </si>
  <si>
    <t>Прочее :</t>
  </si>
  <si>
    <t>Всего :</t>
  </si>
  <si>
    <t xml:space="preserve">НДС, 22 % : </t>
  </si>
  <si>
    <t xml:space="preserve">Итого с НДС : </t>
  </si>
  <si>
    <t>"УТВЕРЖДАЮ"</t>
  </si>
  <si>
    <t>Заместитель директора по капитальному строительству - Начальник УКС</t>
  </si>
  <si>
    <t>_______________________А.Ю.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</si>
  <si>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</si>
  <si>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</si>
  <si>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</si>
  <si>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РЩ-0,4 кВ с КТП-2004, ПС №529 «Сидорово», в т.ч. ПИР, МО, Ступино г, Гридюкино д. Ю8-25-302-250582(227574)</t>
  </si>
  <si>
    <t>(наименование стройки, объекта)</t>
  </si>
  <si>
    <t>Договор № 40-26-Ф-Ст от 10.03.2026</t>
  </si>
  <si>
    <t>Составлен в ценах по состоянию на</t>
  </si>
  <si>
    <t>2026.03</t>
  </si>
  <si>
    <t>I-357881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</si>
  <si>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</si>
  <si>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</si>
  <si>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</si>
  <si>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</si>
  <si>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</si>
  <si>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</si>
  <si>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</si>
  <si>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</si>
  <si>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</si>
  <si>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</si>
  <si>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</si>
  <si>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</si>
  <si>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</si>
  <si>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Реконструкция ТП</t>
  </si>
  <si>
    <t>Строительство ВЛИ</t>
  </si>
  <si>
    <t>Установка РЩ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</si>
  <si>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</si>
  <si>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</si>
  <si>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</si>
  <si>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</si>
  <si>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</si>
  <si>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</si>
  <si>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</si>
  <si>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</si>
  <si>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</si>
  <si>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</si>
  <si>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</si>
  <si>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</si>
  <si>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</si>
  <si>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</si>
  <si>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</si>
  <si>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</si>
  <si>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</si>
  <si>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</si>
  <si>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</si>
  <si>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</si>
  <si>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</si>
  <si>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</si>
  <si>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</si>
  <si>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</si>
  <si>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</si>
  <si>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</si>
  <si>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</si>
  <si>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</si>
  <si>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</si>
  <si>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</si>
  <si>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</si>
  <si>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ТП</t>
  </si>
  <si>
    <t>ПНР ВЛИ</t>
  </si>
  <si>
    <t>ПНР РЩ</t>
  </si>
  <si>
    <t>обор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</si>
  <si>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</si>
  <si>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</si>
  <si>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</si>
  <si>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</si>
  <si>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</si>
  <si>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</si>
  <si>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</si>
  <si>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</si>
  <si>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</si>
  <si>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</si>
  <si>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</si>
  <si>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</si>
  <si>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</si>
  <si>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</si>
  <si>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</si>
  <si>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</si>
  <si>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</si>
  <si>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12-01-02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</si>
  <si>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</si>
  <si>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</si>
  <si>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</si>
  <si>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</si>
  <si>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</si>
  <si>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</si>
  <si>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</si>
  <si>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</si>
  <si>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</si>
  <si>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</si>
  <si>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</si>
  <si>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</si>
  <si>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</si>
  <si>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</si>
  <si>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</si>
  <si>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</si>
  <si>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</si>
  <si>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</si>
  <si>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</si>
  <si>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</si>
  <si>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</si>
  <si>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</si>
  <si>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</si>
  <si>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Реконструкция ВЛИ</t>
  </si>
  <si>
    <t>02-01-02</t>
  </si>
  <si>
    <t>Вырубка</t>
  </si>
  <si>
    <t>Временные здания и сооружения 2,5%*0,8</t>
  </si>
  <si>
    <t>09-01-03</t>
  </si>
  <si>
    <t>Смета 12-02</t>
  </si>
  <si>
    <t>НДС - 20 %</t>
  </si>
  <si>
    <t>Генеральный директор ООО "Домсервис"</t>
  </si>
  <si>
    <t>А.Ю. Сорокин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</si>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</sst>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4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4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b/>
      <sz val="24"/>
      <color theme="1"/>
      <name val="Calibri"/>
      <charset val="204"/>
      <scheme val="minor"/>
    </font>
    <font>
      <b/>
      <sz val="24"/>
      <name val="Calibri"/>
      <charset val="204"/>
      <scheme val="minor"/>
    </font>
    <font>
      <sz val="24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sz val="11"/>
      <color rgb="FF000000"/>
      <name val="Calibri"/>
      <charset val="204"/>
      <scheme val="minor"/>
    </font>
    <font>
      <b/>
      <sz val="9"/>
      <name val="Tahoma"/>
      <charset val="204"/>
    </font>
    <font>
      <sz val="9"/>
      <name val="Tahoma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5">
    <xf numFmtId="0" fontId="0" fillId="0" borderId="0" applyNumberFormat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1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22" applyNumberFormat="0" applyAlignment="0" applyProtection="0">
      <alignment vertical="center"/>
    </xf>
    <xf numFmtId="0" fontId="46" fillId="15" borderId="23" applyNumberFormat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57" fillId="0" borderId="4">
      <alignment horizontal="center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7" fillId="0" borderId="4">
      <alignment horizontal="center"/>
    </xf>
    <xf numFmtId="0" fontId="57" fillId="0" borderId="0">
      <alignment vertical="top"/>
    </xf>
    <xf numFmtId="0" fontId="57" fillId="0" borderId="0">
      <alignment horizontal="right" vertical="top" wrapText="1"/>
    </xf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4">
      <alignment horizontal="center" wrapText="1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 applyNumberFormat="0"/>
    <xf numFmtId="0" fontId="58" fillId="0" borderId="0"/>
    <xf numFmtId="0" fontId="5" fillId="0" borderId="0" applyNumberFormat="0"/>
    <xf numFmtId="0" fontId="60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8" fillId="0" borderId="0"/>
    <xf numFmtId="0" fontId="5" fillId="0" borderId="0"/>
    <xf numFmtId="0" fontId="58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0" fillId="0" borderId="0" applyNumberFormat="0"/>
    <xf numFmtId="0" fontId="59" fillId="0" borderId="0"/>
    <xf numFmtId="0" fontId="5" fillId="0" borderId="0"/>
    <xf numFmtId="0" fontId="60" fillId="0" borderId="0" applyNumberFormat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4">
      <alignment horizontal="center" wrapText="1"/>
    </xf>
    <xf numFmtId="9" fontId="58" fillId="0" borderId="0" applyFont="0" applyFill="0" applyBorder="0" applyAlignment="0" applyProtection="0"/>
    <xf numFmtId="0" fontId="57" fillId="0" borderId="4">
      <alignment horizontal="center"/>
    </xf>
    <xf numFmtId="0" fontId="57" fillId="0" borderId="4">
      <alignment horizontal="center" wrapText="1"/>
    </xf>
    <xf numFmtId="0" fontId="58" fillId="0" borderId="0"/>
    <xf numFmtId="0" fontId="58" fillId="0" borderId="0"/>
    <xf numFmtId="0" fontId="58" fillId="0" borderId="0"/>
    <xf numFmtId="0" fontId="60" fillId="0" borderId="4"/>
    <xf numFmtId="0" fontId="57" fillId="0" borderId="0">
      <alignment horizontal="center"/>
    </xf>
    <xf numFmtId="180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7" fillId="0" borderId="0">
      <alignment horizontal="left" vertical="top"/>
    </xf>
    <xf numFmtId="0" fontId="57" fillId="0" borderId="0"/>
  </cellStyleXfs>
  <cellXfs count="212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41" applyFont="1" applyFill="1" applyBorder="1"/>
    <xf numFmtId="0" fontId="2" fillId="0" borderId="4" xfId="98" applyBorder="1" applyAlignment="1">
      <alignment wrapText="1"/>
    </xf>
    <xf numFmtId="182" fontId="0" fillId="2" borderId="6" xfId="241" applyFont="1" applyFill="1" applyBorder="1"/>
    <xf numFmtId="182" fontId="5" fillId="2" borderId="6" xfId="241" applyFont="1" applyFill="1" applyBorder="1"/>
    <xf numFmtId="182" fontId="5" fillId="2" borderId="7" xfId="241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41" applyFont="1" applyFill="1" applyBorder="1"/>
    <xf numFmtId="182" fontId="0" fillId="2" borderId="9" xfId="241" applyFont="1" applyFill="1" applyBorder="1"/>
    <xf numFmtId="182" fontId="0" fillId="4" borderId="4" xfId="241" applyFont="1" applyFill="1" applyBorder="1"/>
    <xf numFmtId="182" fontId="0" fillId="2" borderId="10" xfId="241" applyFont="1" applyFill="1" applyBorder="1"/>
    <xf numFmtId="182" fontId="0" fillId="2" borderId="11" xfId="241" applyFont="1" applyFill="1" applyBorder="1"/>
    <xf numFmtId="182" fontId="0" fillId="2" borderId="5" xfId="241" applyFont="1" applyFill="1" applyBorder="1"/>
    <xf numFmtId="182" fontId="0" fillId="2" borderId="12" xfId="241" applyFont="1" applyFill="1" applyBorder="1"/>
    <xf numFmtId="182" fontId="0" fillId="4" borderId="6" xfId="241" applyFont="1" applyFill="1" applyBorder="1"/>
    <xf numFmtId="182" fontId="5" fillId="4" borderId="6" xfId="241" applyFont="1" applyFill="1" applyBorder="1"/>
    <xf numFmtId="182" fontId="5" fillId="4" borderId="4" xfId="241" applyFont="1" applyFill="1" applyBorder="1"/>
    <xf numFmtId="182" fontId="5" fillId="4" borderId="7" xfId="241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41" applyFont="1" applyFill="1" applyBorder="1"/>
    <xf numFmtId="182" fontId="0" fillId="4" borderId="13" xfId="241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41" applyFont="1" applyFill="1" applyBorder="1"/>
    <xf numFmtId="182" fontId="0" fillId="4" borderId="15" xfId="241" applyFont="1" applyFill="1" applyBorder="1"/>
    <xf numFmtId="182" fontId="0" fillId="4" borderId="12" xfId="241" applyFont="1" applyFill="1" applyBorder="1"/>
    <xf numFmtId="182" fontId="7" fillId="4" borderId="7" xfId="241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42" applyFont="1" applyFill="1" applyBorder="1"/>
    <xf numFmtId="184" fontId="2" fillId="0" borderId="0" xfId="99" applyNumberFormat="1" applyAlignment="1">
      <alignment horizontal="center"/>
    </xf>
    <xf numFmtId="0" fontId="10" fillId="0" borderId="0" xfId="183" applyFont="1"/>
    <xf numFmtId="0" fontId="1" fillId="0" borderId="0" xfId="183" applyFont="1"/>
    <xf numFmtId="0" fontId="1" fillId="0" borderId="0" xfId="183" applyFont="1" applyAlignment="1">
      <alignment horizontal="center" vertical="center"/>
    </xf>
    <xf numFmtId="0" fontId="2" fillId="0" borderId="0" xfId="183" applyAlignment="1">
      <alignment horizontal="center" vertical="center"/>
    </xf>
    <xf numFmtId="0" fontId="11" fillId="0" borderId="0" xfId="183" applyFont="1" applyAlignment="1">
      <alignment horizontal="center" vertical="center"/>
    </xf>
    <xf numFmtId="0" fontId="2" fillId="0" borderId="0" xfId="183" applyAlignment="1">
      <alignment horizontal="center"/>
    </xf>
    <xf numFmtId="0" fontId="2" fillId="0" borderId="0" xfId="183"/>
    <xf numFmtId="0" fontId="12" fillId="0" borderId="0" xfId="183" applyFont="1"/>
    <xf numFmtId="0" fontId="13" fillId="0" borderId="0" xfId="183" applyFont="1" applyAlignment="1">
      <alignment horizontal="left"/>
    </xf>
    <xf numFmtId="0" fontId="13" fillId="0" borderId="0" xfId="183" applyFont="1"/>
    <xf numFmtId="0" fontId="14" fillId="0" borderId="0" xfId="183" applyFont="1" applyAlignment="1">
      <alignment horizontal="left"/>
    </xf>
    <xf numFmtId="0" fontId="14" fillId="0" borderId="0" xfId="183" applyFont="1"/>
    <xf numFmtId="0" fontId="14" fillId="0" borderId="0" xfId="183" applyFont="1" applyAlignment="1">
      <alignment horizontal="left" vertical="top" wrapText="1"/>
    </xf>
    <xf numFmtId="0" fontId="14" fillId="0" borderId="0" xfId="183" applyFont="1" applyAlignment="1">
      <alignment horizontal="left" vertical="top"/>
    </xf>
    <xf numFmtId="0" fontId="14" fillId="0" borderId="0" xfId="183" applyFont="1" applyAlignment="1">
      <alignment vertical="top" wrapText="1"/>
    </xf>
    <xf numFmtId="0" fontId="14" fillId="0" borderId="0" xfId="183" applyFont="1" applyAlignment="1">
      <alignment horizontal="left" wrapText="1"/>
    </xf>
    <xf numFmtId="0" fontId="14" fillId="0" borderId="0" xfId="183" applyFont="1" applyAlignment="1">
      <alignment wrapText="1"/>
    </xf>
    <xf numFmtId="0" fontId="14" fillId="0" borderId="0" xfId="183" applyFont="1" applyAlignment="1">
      <alignment horizontal="center"/>
    </xf>
    <xf numFmtId="0" fontId="15" fillId="0" borderId="0" xfId="183" applyFont="1" applyAlignment="1">
      <alignment horizontal="center"/>
    </xf>
    <xf numFmtId="0" fontId="14" fillId="0" borderId="1" xfId="183" applyFont="1" applyBorder="1" applyAlignment="1">
      <alignment horizontal="center" wrapText="1"/>
    </xf>
    <xf numFmtId="0" fontId="14" fillId="0" borderId="0" xfId="183" applyFont="1" applyAlignment="1">
      <alignment horizontal="center" vertical="top" wrapText="1"/>
    </xf>
    <xf numFmtId="0" fontId="16" fillId="0" borderId="0" xfId="183" applyFont="1" applyAlignment="1">
      <alignment horizontal="left" vertical="top"/>
    </xf>
    <xf numFmtId="0" fontId="17" fillId="0" borderId="0" xfId="183" applyFont="1"/>
    <xf numFmtId="0" fontId="17" fillId="0" borderId="0" xfId="183" applyFont="1" applyAlignment="1">
      <alignment horizontal="left" vertical="center"/>
    </xf>
    <xf numFmtId="0" fontId="17" fillId="0" borderId="0" xfId="183" applyFont="1" applyAlignment="1">
      <alignment horizontal="center"/>
    </xf>
    <xf numFmtId="0" fontId="17" fillId="0" borderId="0" xfId="183" applyFont="1" applyAlignment="1">
      <alignment horizontal="left"/>
    </xf>
    <xf numFmtId="0" fontId="17" fillId="0" borderId="4" xfId="183" applyFont="1" applyBorder="1" applyAlignment="1">
      <alignment horizontal="center" vertical="center" wrapText="1"/>
    </xf>
    <xf numFmtId="0" fontId="17" fillId="0" borderId="4" xfId="183" applyFont="1" applyBorder="1" applyAlignment="1">
      <alignment horizontal="center" vertical="center"/>
    </xf>
    <xf numFmtId="0" fontId="18" fillId="0" borderId="5" xfId="183" applyFont="1" applyBorder="1" applyAlignment="1">
      <alignment vertical="center" wrapText="1"/>
    </xf>
    <xf numFmtId="0" fontId="18" fillId="0" borderId="16" xfId="183" applyFont="1" applyBorder="1" applyAlignment="1">
      <alignment horizontal="left" vertical="center" wrapText="1"/>
    </xf>
    <xf numFmtId="0" fontId="12" fillId="0" borderId="2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/>
    </xf>
    <xf numFmtId="0" fontId="12" fillId="0" borderId="4" xfId="183" applyFont="1" applyBorder="1" applyAlignment="1">
      <alignment horizontal="justify" vertical="center"/>
    </xf>
    <xf numFmtId="181" fontId="17" fillId="0" borderId="4" xfId="240" applyFont="1" applyFill="1" applyBorder="1" applyAlignment="1">
      <alignment horizontal="center" vertical="center"/>
    </xf>
    <xf numFmtId="181" fontId="19" fillId="0" borderId="4" xfId="240" applyFont="1" applyFill="1" applyBorder="1" applyAlignment="1">
      <alignment horizontal="center" vertical="center"/>
    </xf>
    <xf numFmtId="0" fontId="20" fillId="0" borderId="5" xfId="183" applyFont="1" applyBorder="1" applyAlignment="1">
      <alignment horizontal="right" vertical="center"/>
    </xf>
    <xf numFmtId="0" fontId="20" fillId="0" borderId="16" xfId="183" applyFont="1" applyBorder="1" applyAlignment="1">
      <alignment horizontal="right" vertical="center"/>
    </xf>
    <xf numFmtId="0" fontId="20" fillId="0" borderId="17" xfId="183" applyFont="1" applyBorder="1" applyAlignment="1">
      <alignment horizontal="right" vertical="center"/>
    </xf>
    <xf numFmtId="181" fontId="20" fillId="0" borderId="4" xfId="240" applyFont="1" applyFill="1" applyBorder="1" applyAlignment="1">
      <alignment horizontal="center" vertical="center"/>
    </xf>
    <xf numFmtId="49" fontId="12" fillId="0" borderId="4" xfId="183" applyNumberFormat="1" applyFont="1" applyBorder="1" applyAlignment="1">
      <alignment horizontal="center" vertical="center"/>
    </xf>
    <xf numFmtId="0" fontId="12" fillId="0" borderId="4" xfId="183" applyFont="1" applyBorder="1" applyAlignment="1">
      <alignment horizontal="left" vertical="center"/>
    </xf>
    <xf numFmtId="186" fontId="17" fillId="10" borderId="4" xfId="240" applyNumberFormat="1" applyFont="1" applyFill="1" applyBorder="1" applyAlignment="1">
      <alignment horizontal="center" vertical="center"/>
    </xf>
    <xf numFmtId="186" fontId="17" fillId="10" borderId="17" xfId="240" applyNumberFormat="1" applyFont="1" applyFill="1" applyBorder="1" applyAlignment="1">
      <alignment horizontal="center" vertical="center"/>
    </xf>
    <xf numFmtId="186" fontId="17" fillId="0" borderId="17" xfId="240" applyNumberFormat="1" applyFont="1" applyFill="1" applyBorder="1" applyAlignment="1">
      <alignment horizontal="center" vertical="center"/>
    </xf>
    <xf numFmtId="186" fontId="19" fillId="0" borderId="4" xfId="240" applyNumberFormat="1" applyFont="1" applyFill="1" applyBorder="1" applyAlignment="1">
      <alignment horizontal="center" vertical="center"/>
    </xf>
    <xf numFmtId="186" fontId="17" fillId="0" borderId="4" xfId="240" applyNumberFormat="1" applyFont="1" applyFill="1" applyBorder="1" applyAlignment="1">
      <alignment horizontal="center" vertical="center"/>
    </xf>
    <xf numFmtId="186" fontId="20" fillId="0" borderId="4" xfId="240" applyNumberFormat="1" applyFont="1" applyFill="1" applyBorder="1" applyAlignment="1">
      <alignment horizontal="center" vertical="center"/>
    </xf>
    <xf numFmtId="0" fontId="18" fillId="0" borderId="5" xfId="183" applyFont="1" applyBorder="1" applyAlignment="1">
      <alignment horizontal="right" vertical="center"/>
    </xf>
    <xf numFmtId="0" fontId="18" fillId="0" borderId="16" xfId="183" applyFont="1" applyBorder="1" applyAlignment="1">
      <alignment horizontal="right" vertical="center"/>
    </xf>
    <xf numFmtId="0" fontId="18" fillId="0" borderId="17" xfId="183" applyFont="1" applyBorder="1" applyAlignment="1">
      <alignment horizontal="right" vertical="center"/>
    </xf>
    <xf numFmtId="186" fontId="18" fillId="0" borderId="4" xfId="240" applyNumberFormat="1" applyFont="1" applyFill="1" applyBorder="1" applyAlignment="1">
      <alignment horizontal="center" vertical="center"/>
    </xf>
    <xf numFmtId="0" fontId="18" fillId="0" borderId="16" xfId="183" applyFont="1" applyBorder="1" applyAlignment="1">
      <alignment horizontal="left" vertical="center"/>
    </xf>
    <xf numFmtId="0" fontId="18" fillId="0" borderId="17" xfId="183" applyFont="1" applyBorder="1" applyAlignment="1">
      <alignment horizontal="left" vertical="center"/>
    </xf>
    <xf numFmtId="181" fontId="18" fillId="0" borderId="2" xfId="240" applyFont="1" applyFill="1" applyBorder="1" applyAlignment="1">
      <alignment horizontal="center" vertical="center"/>
    </xf>
    <xf numFmtId="181" fontId="18" fillId="0" borderId="4" xfId="240" applyFont="1" applyFill="1" applyBorder="1" applyAlignment="1">
      <alignment horizontal="center" vertical="center"/>
    </xf>
    <xf numFmtId="0" fontId="18" fillId="0" borderId="5" xfId="183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40" applyNumberFormat="1" applyFont="1" applyFill="1" applyBorder="1" applyAlignment="1">
      <alignment horizontal="center" vertical="center"/>
    </xf>
    <xf numFmtId="186" fontId="19" fillId="11" borderId="4" xfId="240" applyNumberFormat="1" applyFont="1" applyFill="1" applyBorder="1" applyAlignment="1">
      <alignment horizontal="center" vertical="center"/>
    </xf>
    <xf numFmtId="0" fontId="12" fillId="0" borderId="5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 wrapText="1"/>
    </xf>
    <xf numFmtId="0" fontId="12" fillId="0" borderId="17" xfId="183" applyFont="1" applyBorder="1" applyAlignment="1">
      <alignment horizontal="left" vertical="center" wrapText="1"/>
    </xf>
    <xf numFmtId="0" fontId="1" fillId="0" borderId="0" xfId="183" applyFont="1" applyAlignment="1">
      <alignment vertical="center" wrapText="1"/>
    </xf>
    <xf numFmtId="0" fontId="21" fillId="0" borderId="0" xfId="183" applyFont="1" applyAlignment="1">
      <alignment horizontal="center" vertical="center"/>
    </xf>
    <xf numFmtId="187" fontId="21" fillId="0" borderId="0" xfId="183" applyNumberFormat="1" applyFont="1" applyAlignment="1">
      <alignment horizontal="center" vertical="center"/>
    </xf>
    <xf numFmtId="186" fontId="2" fillId="0" borderId="0" xfId="183" applyNumberFormat="1" applyAlignment="1">
      <alignment horizontal="center" vertical="center"/>
    </xf>
    <xf numFmtId="188" fontId="2" fillId="0" borderId="0" xfId="183" applyNumberFormat="1" applyAlignment="1">
      <alignment horizontal="center" vertical="center"/>
    </xf>
    <xf numFmtId="189" fontId="11" fillId="0" borderId="0" xfId="183" applyNumberFormat="1" applyFont="1" applyAlignment="1">
      <alignment horizontal="center" vertical="center"/>
    </xf>
    <xf numFmtId="0" fontId="22" fillId="0" borderId="0" xfId="183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horizontal="left" vertical="center" wrapText="1"/>
    </xf>
    <xf numFmtId="0" fontId="12" fillId="10" borderId="4" xfId="183" applyFont="1" applyFill="1" applyBorder="1" applyAlignment="1">
      <alignment horizontal="center" vertical="center" wrapText="1"/>
    </xf>
    <xf numFmtId="0" fontId="19" fillId="13" borderId="4" xfId="137" applyFont="1" applyFill="1" applyBorder="1" applyAlignment="1">
      <alignment vertical="center" wrapText="1"/>
    </xf>
    <xf numFmtId="0" fontId="19" fillId="13" borderId="4" xfId="137" applyFont="1" applyFill="1" applyBorder="1" applyAlignment="1">
      <alignment horizontal="left" vertical="center" wrapText="1"/>
    </xf>
    <xf numFmtId="0" fontId="12" fillId="0" borderId="17" xfId="183" applyFont="1" applyBorder="1" applyAlignment="1">
      <alignment horizontal="left" vertical="center"/>
    </xf>
    <xf numFmtId="0" fontId="17" fillId="0" borderId="4" xfId="183" applyFont="1" applyBorder="1" applyAlignment="1">
      <alignment vertical="center"/>
    </xf>
    <xf numFmtId="0" fontId="12" fillId="0" borderId="4" xfId="183" applyFont="1" applyBorder="1" applyAlignment="1">
      <alignment vertical="center"/>
    </xf>
    <xf numFmtId="186" fontId="12" fillId="0" borderId="4" xfId="183" applyNumberFormat="1" applyFont="1" applyBorder="1" applyAlignment="1">
      <alignment vertical="center"/>
    </xf>
    <xf numFmtId="0" fontId="17" fillId="10" borderId="4" xfId="183" applyFont="1" applyFill="1" applyBorder="1" applyAlignment="1">
      <alignment vertical="center"/>
    </xf>
    <xf numFmtId="186" fontId="18" fillId="10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vertical="center" wrapText="1"/>
    </xf>
    <xf numFmtId="0" fontId="17" fillId="0" borderId="4" xfId="183" applyFont="1" applyBorder="1" applyAlignment="1">
      <alignment vertical="center" wrapText="1"/>
    </xf>
    <xf numFmtId="0" fontId="17" fillId="0" borderId="0" xfId="183" applyFont="1" applyAlignment="1">
      <alignment vertical="center"/>
    </xf>
    <xf numFmtId="0" fontId="17" fillId="0" borderId="0" xfId="183" applyFont="1" applyAlignment="1">
      <alignment vertical="center" wrapText="1"/>
    </xf>
    <xf numFmtId="186" fontId="18" fillId="0" borderId="0" xfId="240" applyNumberFormat="1" applyFont="1" applyFill="1" applyBorder="1" applyAlignment="1">
      <alignment horizontal="center" vertical="center"/>
    </xf>
    <xf numFmtId="186" fontId="17" fillId="0" borderId="0" xfId="240" applyNumberFormat="1" applyFont="1" applyFill="1" applyBorder="1" applyAlignment="1">
      <alignment horizontal="center" vertical="center"/>
    </xf>
    <xf numFmtId="0" fontId="12" fillId="0" borderId="0" xfId="183" applyFont="1" applyAlignment="1">
      <alignment horizontal="center" vertical="center"/>
    </xf>
    <xf numFmtId="0" fontId="12" fillId="0" borderId="0" xfId="183" applyFont="1" applyAlignment="1">
      <alignment horizontal="center"/>
    </xf>
    <xf numFmtId="0" fontId="21" fillId="0" borderId="0" xfId="183" applyFont="1" applyAlignment="1">
      <alignment horizontal="center"/>
    </xf>
    <xf numFmtId="0" fontId="21" fillId="0" borderId="0" xfId="183" applyFont="1" applyAlignment="1">
      <alignment horizontal="center" wrapText="1"/>
    </xf>
    <xf numFmtId="0" fontId="21" fillId="0" borderId="1" xfId="183" applyFont="1" applyBorder="1" applyAlignment="1">
      <alignment horizontal="center"/>
    </xf>
    <xf numFmtId="0" fontId="21" fillId="0" borderId="0" xfId="183" applyFont="1" applyAlignment="1">
      <alignment horizontal="left"/>
    </xf>
    <xf numFmtId="189" fontId="12" fillId="0" borderId="0" xfId="183" applyNumberFormat="1" applyFont="1" applyAlignment="1">
      <alignment horizontal="center" vertical="center"/>
    </xf>
    <xf numFmtId="0" fontId="17" fillId="0" borderId="0" xfId="183" applyFont="1" applyAlignment="1">
      <alignment horizontal="center" vertical="center"/>
    </xf>
    <xf numFmtId="190" fontId="17" fillId="0" borderId="0" xfId="183" applyNumberFormat="1" applyFont="1" applyAlignment="1">
      <alignment horizontal="center" vertical="center"/>
    </xf>
    <xf numFmtId="187" fontId="17" fillId="0" borderId="0" xfId="183" applyNumberFormat="1" applyFont="1" applyAlignment="1">
      <alignment horizontal="center" vertical="center"/>
    </xf>
    <xf numFmtId="189" fontId="21" fillId="0" borderId="0" xfId="183" applyNumberFormat="1" applyFont="1" applyAlignment="1">
      <alignment horizontal="center" vertical="center"/>
    </xf>
    <xf numFmtId="0" fontId="23" fillId="13" borderId="0" xfId="137" applyFont="1" applyFill="1"/>
    <xf numFmtId="184" fontId="23" fillId="13" borderId="0" xfId="137" applyNumberFormat="1" applyFont="1" applyFill="1"/>
    <xf numFmtId="184" fontId="24" fillId="13" borderId="0" xfId="137" applyNumberFormat="1" applyFont="1" applyFill="1" applyAlignment="1">
      <alignment horizontal="right" vertical="center"/>
    </xf>
    <xf numFmtId="191" fontId="15" fillId="0" borderId="18" xfId="183" applyNumberFormat="1" applyFont="1" applyBorder="1" applyAlignment="1">
      <alignment horizontal="center" vertical="center"/>
    </xf>
    <xf numFmtId="189" fontId="21" fillId="0" borderId="18" xfId="183" applyNumberFormat="1" applyFont="1" applyBorder="1" applyAlignment="1">
      <alignment horizontal="center" vertical="center"/>
    </xf>
    <xf numFmtId="0" fontId="24" fillId="13" borderId="0" xfId="137" applyFont="1" applyFill="1" applyAlignment="1">
      <alignment horizontal="right"/>
    </xf>
    <xf numFmtId="0" fontId="25" fillId="13" borderId="0" xfId="137" applyFont="1" applyFill="1" applyAlignment="1">
      <alignment horizontal="left"/>
    </xf>
    <xf numFmtId="0" fontId="15" fillId="0" borderId="0" xfId="183" applyFont="1" applyAlignment="1">
      <alignment horizontal="center" vertical="center"/>
    </xf>
    <xf numFmtId="191" fontId="24" fillId="13" borderId="0" xfId="137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83" applyNumberFormat="1" applyFont="1" applyBorder="1" applyAlignment="1">
      <alignment horizontal="center" vertical="center"/>
    </xf>
    <xf numFmtId="0" fontId="15" fillId="0" borderId="0" xfId="183" applyFont="1" applyAlignment="1">
      <alignment horizontal="right" vertical="center"/>
    </xf>
    <xf numFmtId="191" fontId="28" fillId="0" borderId="0" xfId="183" applyNumberFormat="1" applyFont="1" applyAlignment="1">
      <alignment horizontal="center" vertical="center"/>
    </xf>
    <xf numFmtId="189" fontId="2" fillId="0" borderId="0" xfId="183" applyNumberFormat="1" applyAlignment="1">
      <alignment horizontal="center" vertical="center"/>
    </xf>
    <xf numFmtId="191" fontId="15" fillId="0" borderId="0" xfId="183" applyNumberFormat="1" applyFont="1" applyAlignment="1">
      <alignment horizontal="center" vertical="center"/>
    </xf>
    <xf numFmtId="49" fontId="12" fillId="10" borderId="4" xfId="183" applyNumberFormat="1" applyFont="1" applyFill="1" applyBorder="1" applyAlignment="1">
      <alignment horizontal="center" vertical="center" wrapText="1"/>
    </xf>
    <xf numFmtId="49" fontId="12" fillId="10" borderId="4" xfId="183" applyNumberFormat="1" applyFont="1" applyFill="1" applyBorder="1" applyAlignment="1">
      <alignment horizontal="center" vertical="center"/>
    </xf>
    <xf numFmtId="181" fontId="21" fillId="0" borderId="0" xfId="183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84" applyFont="1"/>
    <xf numFmtId="0" fontId="30" fillId="0" borderId="0" xfId="184" applyFont="1" applyAlignment="1">
      <alignment horizontal="center" wrapText="1"/>
    </xf>
    <xf numFmtId="0" fontId="30" fillId="0" borderId="0" xfId="184" applyFont="1" applyAlignment="1">
      <alignment horizontal="center" vertical="center" wrapText="1"/>
    </xf>
    <xf numFmtId="0" fontId="29" fillId="0" borderId="0" xfId="184" applyFont="1" applyAlignment="1">
      <alignment horizontal="center" vertical="center"/>
    </xf>
    <xf numFmtId="0" fontId="31" fillId="0" borderId="0" xfId="184" applyFont="1" applyAlignment="1">
      <alignment horizontal="left" vertical="center" wrapText="1"/>
    </xf>
    <xf numFmtId="0" fontId="32" fillId="0" borderId="0" xfId="184" applyFont="1" applyAlignment="1">
      <alignment horizontal="center" vertical="center"/>
    </xf>
    <xf numFmtId="0" fontId="31" fillId="0" borderId="0" xfId="184" applyFont="1" applyAlignment="1">
      <alignment horizontal="center" vertical="center"/>
    </xf>
    <xf numFmtId="0" fontId="32" fillId="0" borderId="0" xfId="184" applyFont="1" applyAlignment="1">
      <alignment horizontal="left" vertical="center"/>
    </xf>
    <xf numFmtId="0" fontId="31" fillId="0" borderId="0" xfId="184" applyFont="1" applyAlignment="1">
      <alignment horizontal="left" vertical="top" wrapText="1"/>
    </xf>
    <xf numFmtId="0" fontId="30" fillId="0" borderId="0" xfId="184" applyFont="1" applyAlignment="1">
      <alignment horizontal="right" vertical="center"/>
    </xf>
    <xf numFmtId="0" fontId="33" fillId="0" borderId="0" xfId="115" applyFont="1" applyAlignment="1">
      <alignment horizontal="center"/>
    </xf>
    <xf numFmtId="0" fontId="34" fillId="0" borderId="0" xfId="124" applyFont="1" applyAlignment="1">
      <alignment horizontal="center" vertical="center" wrapText="1"/>
    </xf>
    <xf numFmtId="0" fontId="35" fillId="0" borderId="0" xfId="124" applyFont="1" applyAlignment="1">
      <alignment horizontal="left" vertical="center" wrapText="1"/>
    </xf>
    <xf numFmtId="2" fontId="35" fillId="0" borderId="0" xfId="124" applyNumberFormat="1" applyFont="1" applyAlignment="1">
      <alignment horizontal="right" vertical="center" wrapText="1"/>
    </xf>
    <xf numFmtId="0" fontId="34" fillId="0" borderId="0" xfId="124" applyFont="1" applyAlignment="1">
      <alignment horizontal="left" vertical="center" wrapText="1"/>
    </xf>
    <xf numFmtId="2" fontId="34" fillId="0" borderId="0" xfId="124" applyNumberFormat="1" applyFont="1" applyAlignment="1">
      <alignment horizontal="right" vertical="center" wrapText="1"/>
    </xf>
    <xf numFmtId="0" fontId="31" fillId="0" borderId="0" xfId="184" applyFont="1" applyAlignment="1">
      <alignment vertical="top"/>
    </xf>
    <xf numFmtId="0" fontId="32" fillId="0" borderId="0" xfId="100" applyFont="1"/>
    <xf numFmtId="0" fontId="34" fillId="0" borderId="0" xfId="124" applyFont="1" applyAlignment="1">
      <alignment vertical="center" wrapText="1"/>
    </xf>
    <xf numFmtId="0" fontId="31" fillId="0" borderId="1" xfId="184" applyFont="1" applyBorder="1" applyAlignment="1">
      <alignment vertical="top"/>
    </xf>
    <xf numFmtId="0" fontId="35" fillId="0" borderId="0" xfId="124" applyFont="1" applyAlignment="1">
      <alignment horizontal="center" vertical="center" wrapText="1"/>
    </xf>
    <xf numFmtId="0" fontId="31" fillId="0" borderId="0" xfId="100" applyFont="1"/>
    <xf numFmtId="0" fontId="31" fillId="0" borderId="0" xfId="184" applyFont="1" applyAlignment="1">
      <alignment horizontal="center" vertical="top"/>
    </xf>
  </cellXfs>
  <cellStyles count="24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2 3" xfId="114"/>
    <cellStyle name="Обычный 2 2 2 4" xfId="115"/>
    <cellStyle name="Обычный 2 2 3" xfId="116"/>
    <cellStyle name="Обычный 2 2 4 2" xfId="117"/>
    <cellStyle name="Обычный 2 2 4 2 3" xfId="118"/>
    <cellStyle name="Обычный 2 2 4 2 3 2" xfId="119"/>
    <cellStyle name="Обычный 2 3" xfId="120"/>
    <cellStyle name="Обычный 2 4 2 2" xfId="121"/>
    <cellStyle name="Обычный 2 4 2 2 3" xfId="122"/>
    <cellStyle name="Обычный 2 4 2 2 3 2" xfId="123"/>
    <cellStyle name="Обычный 2 5 3" xfId="124"/>
    <cellStyle name="Обычный 2_Мартемьянова 126_12 испарав лен после замеч" xfId="125"/>
    <cellStyle name="Обычный 20" xfId="126"/>
    <cellStyle name="Обычный 21" xfId="127"/>
    <cellStyle name="Обычный 22" xfId="128"/>
    <cellStyle name="Обычный 23" xfId="129"/>
    <cellStyle name="Обычный 24" xfId="130"/>
    <cellStyle name="Обычный 25" xfId="131"/>
    <cellStyle name="Обычный 26" xfId="132"/>
    <cellStyle name="Обычный 27" xfId="133"/>
    <cellStyle name="Обычный 28" xfId="134"/>
    <cellStyle name="Обычный 29" xfId="135"/>
    <cellStyle name="Обычный 3" xfId="136"/>
    <cellStyle name="Обычный 3 2" xfId="137"/>
    <cellStyle name="Обычный 3 3" xfId="138"/>
    <cellStyle name="Обычный 3 3 2" xfId="139"/>
    <cellStyle name="Обычный 3_Мартемьянова 126_12 испарав лен после замеч" xfId="140"/>
    <cellStyle name="Обычный 30" xfId="141"/>
    <cellStyle name="Обычный 31" xfId="142"/>
    <cellStyle name="Обычный 32" xfId="143"/>
    <cellStyle name="Обычный 33" xfId="144"/>
    <cellStyle name="Обычный 34" xfId="145"/>
    <cellStyle name="Обычный 35" xfId="146"/>
    <cellStyle name="Обычный 36" xfId="147"/>
    <cellStyle name="Обычный 37" xfId="148"/>
    <cellStyle name="Обычный 38" xfId="149"/>
    <cellStyle name="Обычный 39" xfId="150"/>
    <cellStyle name="Обычный 4" xfId="151"/>
    <cellStyle name="Обычный 40" xfId="152"/>
    <cellStyle name="Обычный 41" xfId="153"/>
    <cellStyle name="Обычный 42" xfId="154"/>
    <cellStyle name="Обычный 43" xfId="155"/>
    <cellStyle name="Обычный 44" xfId="156"/>
    <cellStyle name="Обычный 45" xfId="157"/>
    <cellStyle name="Обычный 46" xfId="158"/>
    <cellStyle name="Обычный 47" xfId="159"/>
    <cellStyle name="Обычный 48" xfId="160"/>
    <cellStyle name="Обычный 49" xfId="161"/>
    <cellStyle name="Обычный 5" xfId="162"/>
    <cellStyle name="Обычный 50" xfId="163"/>
    <cellStyle name="Обычный 51" xfId="164"/>
    <cellStyle name="Обычный 52" xfId="165"/>
    <cellStyle name="Обычный 53" xfId="166"/>
    <cellStyle name="Обычный 54" xfId="167"/>
    <cellStyle name="Обычный 55" xfId="168"/>
    <cellStyle name="Обычный 56" xfId="169"/>
    <cellStyle name="Обычный 57" xfId="170"/>
    <cellStyle name="Обычный 58" xfId="171"/>
    <cellStyle name="Обычный 59" xfId="172"/>
    <cellStyle name="Обычный 6" xfId="173"/>
    <cellStyle name="Обычный 60" xfId="174"/>
    <cellStyle name="Обычный 61" xfId="175"/>
    <cellStyle name="Обычный 62" xfId="176"/>
    <cellStyle name="Обычный 63" xfId="177"/>
    <cellStyle name="Обычный 63 2 2" xfId="178"/>
    <cellStyle name="Обычный 63 2 2 2" xfId="179"/>
    <cellStyle name="Обычный 63 2 2 3" xfId="180"/>
    <cellStyle name="Обычный 64" xfId="181"/>
    <cellStyle name="Обычный 65" xfId="182"/>
    <cellStyle name="Обычный 65 2" xfId="183"/>
    <cellStyle name="Обычный 65 2 2" xfId="184"/>
    <cellStyle name="Обычный 66" xfId="185"/>
    <cellStyle name="Обычный 67" xfId="186"/>
    <cellStyle name="Обычный 68" xfId="187"/>
    <cellStyle name="Обычный 69" xfId="188"/>
    <cellStyle name="Обычный 7" xfId="189"/>
    <cellStyle name="Обычный 7 2 2" xfId="190"/>
    <cellStyle name="Обычный 70" xfId="191"/>
    <cellStyle name="Обычный 71" xfId="192"/>
    <cellStyle name="Обычный 72" xfId="193"/>
    <cellStyle name="Обычный 73" xfId="194"/>
    <cellStyle name="Обычный 73 2" xfId="195"/>
    <cellStyle name="Обычный 74" xfId="196"/>
    <cellStyle name="Обычный 75" xfId="197"/>
    <cellStyle name="Обычный 75 2" xfId="198"/>
    <cellStyle name="Обычный 76" xfId="199"/>
    <cellStyle name="Обычный 77" xfId="200"/>
    <cellStyle name="Обычный 78" xfId="201"/>
    <cellStyle name="Обычный 79" xfId="202"/>
    <cellStyle name="Обычный 8" xfId="203"/>
    <cellStyle name="Обычный 8 2" xfId="204"/>
    <cellStyle name="Обычный 80" xfId="205"/>
    <cellStyle name="Обычный 81" xfId="206"/>
    <cellStyle name="Обычный 82" xfId="207"/>
    <cellStyle name="Обычный 83" xfId="208"/>
    <cellStyle name="Обычный 84" xfId="209"/>
    <cellStyle name="Обычный 85" xfId="210"/>
    <cellStyle name="Обычный 86" xfId="211"/>
    <cellStyle name="Обычный 87" xfId="212"/>
    <cellStyle name="Обычный 88" xfId="213"/>
    <cellStyle name="Обычный 89" xfId="214"/>
    <cellStyle name="Обычный 9" xfId="215"/>
    <cellStyle name="Обычный 9 2" xfId="216"/>
    <cellStyle name="Обычный 90" xfId="217"/>
    <cellStyle name="Обычный 91" xfId="218"/>
    <cellStyle name="Обычный 92" xfId="219"/>
    <cellStyle name="Обычный 93" xfId="220"/>
    <cellStyle name="Обычный 94" xfId="221"/>
    <cellStyle name="Обычный 95" xfId="222"/>
    <cellStyle name="Обычный 96" xfId="223"/>
    <cellStyle name="Обычный 97" xfId="224"/>
    <cellStyle name="Обычный 98" xfId="225"/>
    <cellStyle name="Обычный 99" xfId="226"/>
    <cellStyle name="Параметр" xfId="227"/>
    <cellStyle name="ПеременныеСметы" xfId="228"/>
    <cellStyle name="Процентный 2" xfId="229"/>
    <cellStyle name="РесСмета" xfId="230"/>
    <cellStyle name="СводкаСтоимРаб" xfId="231"/>
    <cellStyle name="СводРасч" xfId="232"/>
    <cellStyle name="СводРасч 2" xfId="233"/>
    <cellStyle name="СводРасч 3" xfId="234"/>
    <cellStyle name="Стиль 1_АКТ" xfId="235"/>
    <cellStyle name="Титул" xfId="236"/>
    <cellStyle name="Финансовый [0] 2" xfId="237"/>
    <cellStyle name="Финансовый 2" xfId="238"/>
    <cellStyle name="Финансовый 3" xfId="239"/>
    <cellStyle name="Финансовый 3 2" xfId="240"/>
    <cellStyle name="Финансовый 4" xfId="241"/>
    <cellStyle name="Финансовый 5" xfId="242"/>
    <cellStyle name="Хвост" xfId="243"/>
    <cellStyle name="Экспертиза" xfId="2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/>
      <sheetData sheetId="1495"/>
      <sheetData sheetId="1496"/>
      <sheetData sheetId="1497"/>
      <sheetData sheetId="1498"/>
      <sheetData sheetId="1499"/>
      <sheetData sheetId="1500" refreshError="1"/>
      <sheetData sheetId="1501"/>
      <sheetData sheetId="1502"/>
      <sheetData sheetId="1503"/>
      <sheetData sheetId="1504"/>
      <sheetData sheetId="1505"/>
      <sheetData sheetId="1506"/>
      <sheetData sheetId="1507"/>
      <sheetData sheetId="1508" refreshError="1"/>
      <sheetData sheetId="1509" refreshError="1"/>
      <sheetData sheetId="1510"/>
      <sheetData sheetId="1511"/>
      <sheetData sheetId="1512" refreshError="1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Настр"/>
      <sheetName val="ПД-2.2"/>
      <sheetName val="Lucent"/>
      <sheetName val="Общ"/>
      <sheetName val="6"/>
      <sheetName val="1.14"/>
      <sheetName val="1.7"/>
      <sheetName val="СМ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 refreshError="1"/>
      <sheetData sheetId="819" refreshError="1"/>
      <sheetData sheetId="820" refreshError="1"/>
      <sheetData sheetId="82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  <sheetName val="Хаттон_90_礊め_x0005_"/>
      <sheetName val="ПС"/>
      <sheetName val=""/>
      <sheetName val="таблица_руко_x0019__x0015_ _x0003__x000c__x0011__x0011_"/>
      <sheetName val="Хаттон_90_忕と_x0005_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  <sheetName val="таблица_руко_x0019__x0015_ _x0003__x000c__x0011__x0011_"/>
      <sheetName val="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 refreshError="1"/>
      <sheetData sheetId="1549" refreshError="1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/>
      <sheetData sheetId="1577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  <sheetName val="таблица_руко_x0019__x0015_ _x0003__x000c__x0011__x0011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КБК ДПК"/>
      <sheetName val="ЕТС (ф)"/>
      <sheetName val="база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  <sheetName val="ПС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 refreshError="1"/>
      <sheetData sheetId="1718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/>
      <sheetData sheetId="1758"/>
      <sheetData sheetId="1759" refreshError="1"/>
      <sheetData sheetId="1760" refreshError="1"/>
      <sheetData sheetId="1761" refreshError="1"/>
      <sheetData sheetId="1762"/>
      <sheetData sheetId="1763"/>
      <sheetData sheetId="1764"/>
      <sheetData sheetId="1765"/>
      <sheetData sheetId="1766"/>
      <sheetData sheetId="1767"/>
      <sheetData sheetId="1768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/>
      <sheetData sheetId="1779" refreshError="1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/>
      <sheetData sheetId="1816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view="pageBreakPreview" zoomScale="55" zoomScaleNormal="100" topLeftCell="A36" workbookViewId="0">
      <selection activeCell="G69" sqref="G69:S69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2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ht="20.1" customHeight="1" spans="1:2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2">
      <c r="A7" s="191" t="str">
        <f>'ССР Т'!B11</f>
        <v>Строительство РЩ-0,4 кВ с КТП-2004, ПС №529 «Сидорово», в т.ч. ПИР, МО, Ступино г, Гридюкино д. Ю8-25-302-250582(227574)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</row>
    <row r="8" ht="20.1" customHeight="1" spans="1:2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</row>
    <row r="9" ht="20.1" customHeight="1" spans="1:2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ht="20.1" customHeight="1" spans="1:2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</row>
    <row r="11" ht="20.1" customHeight="1" spans="1:2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</row>
    <row r="12" ht="20.1" customHeight="1" spans="1:22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</row>
    <row r="13" ht="20.1" customHeight="1" spans="1:22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ht="20.1" customHeight="1" spans="1:20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ht="30.75" customHeight="1" spans="1:2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8" t="str">
        <f>'ССР Т'!H15</f>
        <v>I-357881</v>
      </c>
      <c r="S15" s="198"/>
      <c r="T15" s="198"/>
      <c r="U15" s="198"/>
      <c r="V15" s="198"/>
    </row>
    <row r="16" ht="30.75" customHeight="1" spans="1:20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8"/>
      <c r="S16" s="198"/>
      <c r="T16" s="198"/>
    </row>
    <row r="17" ht="20.1" customHeight="1" spans="1:22">
      <c r="A17" s="193" t="s">
        <v>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ht="20.1" customHeight="1" spans="1:2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ht="141" customHeight="1" spans="1:2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ht="20.1" customHeight="1" spans="1:20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</row>
    <row r="21" ht="20.1" customHeight="1" spans="1:22">
      <c r="A21" s="195" t="s">
        <v>2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ht="20.1" customHeight="1" spans="1:2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2">
      <c r="A24" s="197" t="s">
        <v>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</row>
    <row r="25" ht="20.1" customHeight="1" spans="1:22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</row>
    <row r="26" ht="20.1" customHeight="1" spans="1:2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</row>
    <row r="27" ht="20.1" customHeight="1" spans="1:22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</row>
    <row r="28" ht="20.1" customHeight="1" spans="1:22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ht="20.1" customHeight="1" spans="1:22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  <row r="30" ht="20.1" customHeight="1" spans="1:2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ht="20.1" customHeight="1" spans="1:2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ht="20.1" customHeight="1" spans="1:2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ht="20.1" customHeight="1" spans="1:2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</row>
    <row r="34" ht="20.1" customHeight="1" spans="1:2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</row>
    <row r="35" ht="20.1" customHeight="1" spans="1:2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</row>
    <row r="36" ht="20.1" customHeight="1" spans="1:2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  <row r="37" ht="20.1" customHeight="1" spans="1:2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</row>
    <row r="38" ht="20.1" customHeight="1" spans="1:22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</row>
    <row r="39" ht="20.1" customHeight="1" spans="1:22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</row>
    <row r="40" ht="20.1" customHeight="1" spans="1:22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</row>
    <row r="41" ht="20.1" customHeight="1" spans="1:22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</row>
    <row r="42" ht="20.1" customHeight="1" spans="1:22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</row>
    <row r="43" ht="20.1" customHeight="1" spans="1:2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ht="20.1" customHeight="1" spans="1:22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</row>
    <row r="45" ht="20.1" customHeight="1" spans="1:22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</row>
    <row r="46" ht="20.1" customHeight="1" spans="1:22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ht="20.1" customHeight="1" spans="1:22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</row>
    <row r="48" ht="20.1" customHeight="1" spans="1:22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</row>
    <row r="49" ht="20.1" customHeight="1" spans="1:22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</row>
    <row r="50" ht="20.1" customHeight="1" spans="1:22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</row>
    <row r="51" ht="20.1" customHeight="1" spans="1:2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</row>
    <row r="52" ht="20.1" customHeight="1" spans="1:22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</row>
    <row r="53" ht="20.1" customHeight="1" spans="1:22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</row>
    <row r="54" ht="20.1" customHeight="1" spans="1:22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</row>
    <row r="55" ht="20.1" customHeight="1" spans="1:22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</row>
    <row r="56" ht="20.1" customHeight="1" spans="1:22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</row>
    <row r="57" ht="20.1" customHeight="1" spans="1:22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</row>
    <row r="58" ht="20.1" customHeight="1" spans="1:22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</row>
    <row r="59" ht="20.1" customHeight="1" spans="1:22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</row>
    <row r="60" ht="20.1" customHeight="1" spans="1:22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</row>
    <row r="61" ht="20.1" customHeight="1" spans="1:22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</row>
    <row r="62" ht="20.1" customHeight="1" spans="1:22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</row>
    <row r="63" ht="20.1" customHeight="1" spans="1:22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</row>
    <row r="64" ht="20.1" customHeight="1" spans="1:22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</row>
    <row r="65" ht="20.1" customHeight="1" spans="1:22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</row>
    <row r="66" ht="48" customHeight="1" spans="1:22">
      <c r="A66" s="199" t="s">
        <v>4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</row>
    <row r="67" ht="20.1" customHeight="1" spans="1:2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</row>
    <row r="68" ht="24.95" customHeight="1" spans="1:22">
      <c r="A68" s="200" t="s">
        <v>5</v>
      </c>
      <c r="B68" s="200"/>
      <c r="C68" s="200"/>
      <c r="D68" s="200"/>
      <c r="E68" s="200"/>
      <c r="F68" s="200"/>
      <c r="G68" s="200"/>
      <c r="H68" s="200"/>
      <c r="I68" s="200"/>
      <c r="J68" s="200" t="str">
        <f>'ССР Т'!D15</f>
        <v>2026.03</v>
      </c>
      <c r="K68" s="200"/>
      <c r="L68" s="200"/>
      <c r="M68" s="207"/>
      <c r="N68" s="207"/>
      <c r="O68" s="207"/>
      <c r="P68" s="207"/>
      <c r="Q68" s="207"/>
      <c r="R68" s="207"/>
      <c r="S68" s="207"/>
      <c r="T68" s="207"/>
      <c r="U68" s="207"/>
      <c r="V68" s="207"/>
    </row>
    <row r="69" ht="24.95" customHeight="1" spans="1:22">
      <c r="A69" s="201" t="s">
        <v>6</v>
      </c>
      <c r="B69" s="201"/>
      <c r="C69" s="201"/>
      <c r="D69" s="201"/>
      <c r="E69" s="201"/>
      <c r="F69" s="201"/>
      <c r="G69" s="202">
        <f>'ССР Т'!D100</f>
        <v>16.80015</v>
      </c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9" t="s">
        <v>7</v>
      </c>
      <c r="U69" s="209"/>
      <c r="V69" s="209"/>
    </row>
    <row r="70" ht="24.95" customHeight="1" spans="1:22">
      <c r="A70" s="201" t="s">
        <v>8</v>
      </c>
      <c r="B70" s="201"/>
      <c r="C70" s="201"/>
      <c r="D70" s="201"/>
      <c r="E70" s="201"/>
      <c r="F70" s="201"/>
      <c r="G70" s="202">
        <f>'ССР Т'!E100</f>
        <v>101.03267</v>
      </c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9" t="s">
        <v>7</v>
      </c>
      <c r="U70" s="209"/>
      <c r="V70" s="209"/>
    </row>
    <row r="71" ht="24.95" customHeight="1" spans="1:22">
      <c r="A71" s="201" t="s">
        <v>9</v>
      </c>
      <c r="B71" s="201"/>
      <c r="C71" s="201"/>
      <c r="D71" s="201"/>
      <c r="E71" s="201"/>
      <c r="F71" s="201"/>
      <c r="G71" s="202">
        <f>'ССР Т'!F100</f>
        <v>162.45215</v>
      </c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9" t="s">
        <v>7</v>
      </c>
      <c r="U71" s="209"/>
      <c r="V71" s="209"/>
    </row>
    <row r="72" ht="24.95" customHeight="1" spans="1:22">
      <c r="A72" s="201" t="s">
        <v>10</v>
      </c>
      <c r="B72" s="201"/>
      <c r="C72" s="201"/>
      <c r="D72" s="201"/>
      <c r="E72" s="201"/>
      <c r="F72" s="201"/>
      <c r="G72" s="202">
        <f>'ССР Т'!G100</f>
        <v>76.86513</v>
      </c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9" t="s">
        <v>7</v>
      </c>
      <c r="U72" s="209"/>
      <c r="V72" s="209"/>
    </row>
    <row r="73" ht="24.95" customHeight="1" spans="1:22">
      <c r="A73" s="201" t="s">
        <v>11</v>
      </c>
      <c r="B73" s="201"/>
      <c r="C73" s="201"/>
      <c r="D73" s="201"/>
      <c r="E73" s="201"/>
      <c r="F73" s="201"/>
      <c r="G73" s="202">
        <f>'ССР Т'!H100</f>
        <v>357.1501</v>
      </c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9" t="s">
        <v>7</v>
      </c>
      <c r="U73" s="209"/>
      <c r="V73" s="209"/>
    </row>
    <row r="74" ht="24.95" customHeight="1" spans="1:22">
      <c r="A74" s="201" t="s">
        <v>12</v>
      </c>
      <c r="B74" s="201"/>
      <c r="C74" s="201"/>
      <c r="D74" s="201"/>
      <c r="E74" s="201"/>
      <c r="F74" s="201"/>
      <c r="G74" s="202">
        <f>'ССР Т'!H105</f>
        <v>78.57302</v>
      </c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9" t="s">
        <v>7</v>
      </c>
      <c r="U74" s="209"/>
      <c r="V74" s="209"/>
    </row>
    <row r="75" ht="45" customHeight="1" spans="1:22">
      <c r="A75" s="203" t="s">
        <v>13</v>
      </c>
      <c r="B75" s="203"/>
      <c r="C75" s="203"/>
      <c r="D75" s="203"/>
      <c r="E75" s="203"/>
      <c r="F75" s="203"/>
      <c r="G75" s="204">
        <f>'ССР Т'!H106</f>
        <v>435.72312</v>
      </c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0" t="s">
        <v>7</v>
      </c>
      <c r="U75" s="200"/>
      <c r="V75" s="200"/>
    </row>
    <row r="76" ht="31.5" spans="1:22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10"/>
      <c r="V76" s="210"/>
    </row>
    <row r="77" ht="31.5" spans="1:22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10"/>
      <c r="V77" s="210"/>
    </row>
    <row r="78" ht="31.5" spans="1:22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10"/>
      <c r="V78" s="210"/>
    </row>
    <row r="79" ht="31.5" spans="1:22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10"/>
      <c r="V79" s="210"/>
    </row>
    <row r="80" ht="31.5" spans="1:20">
      <c r="A80" s="205"/>
      <c r="B80" s="205"/>
      <c r="C80" s="205" t="str">
        <f>'ССР Т'!C111</f>
        <v>Генеральный директор ООО "Фарад"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8"/>
      <c r="N80" s="208"/>
      <c r="O80" s="208"/>
      <c r="P80" s="208"/>
      <c r="Q80" s="208"/>
      <c r="R80" s="208"/>
      <c r="S80" s="208"/>
      <c r="T80" s="211" t="str">
        <f>'ССР Т'!F111</f>
        <v>О.Е. Родионов</v>
      </c>
    </row>
    <row r="81" ht="31.5" spans="1:20">
      <c r="A81" s="205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</row>
    <row r="82" ht="31.5" spans="1:20">
      <c r="A82" s="205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</row>
    <row r="83" ht="31.5" spans="1:20">
      <c r="A83" s="205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</row>
    <row r="84" ht="31.5" spans="1:20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</row>
    <row r="85" ht="32.25" spans="1:20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</row>
    <row r="86" ht="32.25" spans="1:20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</row>
  </sheetData>
  <mergeCells count="30">
    <mergeCell ref="R15:V15"/>
    <mergeCell ref="A66:V66"/>
    <mergeCell ref="A68:I68"/>
    <mergeCell ref="J68:L68"/>
    <mergeCell ref="A69:F69"/>
    <mergeCell ref="G69:S69"/>
    <mergeCell ref="T69:V69"/>
    <mergeCell ref="A70:F70"/>
    <mergeCell ref="G70:S70"/>
    <mergeCell ref="T70:V70"/>
    <mergeCell ref="A71:F71"/>
    <mergeCell ref="G71:S71"/>
    <mergeCell ref="T71:V71"/>
    <mergeCell ref="A72:F72"/>
    <mergeCell ref="G72:S72"/>
    <mergeCell ref="T72:V72"/>
    <mergeCell ref="A73:F73"/>
    <mergeCell ref="G73:S73"/>
    <mergeCell ref="T73:V73"/>
    <mergeCell ref="A74:F74"/>
    <mergeCell ref="G74:S74"/>
    <mergeCell ref="T74:V74"/>
    <mergeCell ref="A75:F75"/>
    <mergeCell ref="G75:S75"/>
    <mergeCell ref="T75:V75"/>
    <mergeCell ref="A4:V5"/>
    <mergeCell ref="A7:V13"/>
    <mergeCell ref="A17:V19"/>
    <mergeCell ref="A21:V22"/>
    <mergeCell ref="A24:V56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62" workbookViewId="0">
      <selection activeCell="J67" sqref="J67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>SUM(D26:G26)</f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15.61629</v>
      </c>
      <c r="E27" s="111">
        <v>93.91318</v>
      </c>
      <c r="F27" s="111">
        <v>157.72053</v>
      </c>
      <c r="G27" s="113"/>
      <c r="H27" s="114">
        <f>SUM(D27:G27)</f>
        <v>267.25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15.61629</v>
      </c>
      <c r="E30" s="116">
        <f>SUM(E25:E29)</f>
        <v>93.91318</v>
      </c>
      <c r="F30" s="116">
        <f>SUM(F25:F29)</f>
        <v>157.72053</v>
      </c>
      <c r="G30" s="116">
        <f>SUM(G25:G29)</f>
        <v>0</v>
      </c>
      <c r="H30" s="116">
        <f>SUM(H25:H29)</f>
        <v>267.25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15.61629</v>
      </c>
      <c r="E31" s="120">
        <f>E23+E30</f>
        <v>93.91318</v>
      </c>
      <c r="F31" s="120">
        <f>F23+F30</f>
        <v>157.72053</v>
      </c>
      <c r="G31" s="120">
        <f>G23+G30</f>
        <v>0</v>
      </c>
      <c r="H31" s="120">
        <f>H23+H30</f>
        <v>267.25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15.61629</v>
      </c>
      <c r="E37" s="124">
        <f>E31+E36</f>
        <v>93.91318</v>
      </c>
      <c r="F37" s="124">
        <f>F31+F36</f>
        <v>157.72053</v>
      </c>
      <c r="G37" s="124">
        <f>G31+G36</f>
        <v>0</v>
      </c>
      <c r="H37" s="124">
        <f>H31+H36</f>
        <v>267.25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15.61629</v>
      </c>
      <c r="E43" s="124">
        <f>E37+E42</f>
        <v>93.91318</v>
      </c>
      <c r="F43" s="124">
        <f>F37+F42</f>
        <v>157.72053</v>
      </c>
      <c r="G43" s="124">
        <f>G37+G42</f>
        <v>0</v>
      </c>
      <c r="H43" s="124">
        <f>H37+H42</f>
        <v>267.25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15.61629</v>
      </c>
      <c r="E49" s="124">
        <f>E43+E48</f>
        <v>93.91318</v>
      </c>
      <c r="F49" s="124">
        <f>F43+F48</f>
        <v>157.72053</v>
      </c>
      <c r="G49" s="124">
        <f>G43+G48</f>
        <v>0</v>
      </c>
      <c r="H49" s="124">
        <f>H43+H48</f>
        <v>267.25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15.61629</v>
      </c>
      <c r="E55" s="124">
        <f>E49+E54</f>
        <v>93.91318</v>
      </c>
      <c r="F55" s="124">
        <f>F49+F54</f>
        <v>157.72053</v>
      </c>
      <c r="G55" s="124">
        <f>G49+G54</f>
        <v>0</v>
      </c>
      <c r="H55" s="124">
        <f>H49+H54</f>
        <v>267.25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15.61629</v>
      </c>
      <c r="E61" s="124">
        <f>E55+E60</f>
        <v>93.91318</v>
      </c>
      <c r="F61" s="124">
        <f>F55+F60</f>
        <v>157.72053</v>
      </c>
      <c r="G61" s="124">
        <f>G55+G60</f>
        <v>0</v>
      </c>
      <c r="H61" s="124">
        <f>H55+H60</f>
        <v>267.25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0.39041</v>
      </c>
      <c r="E63" s="128">
        <f>ROUND(E61*2.5%,5)</f>
        <v>2.34783</v>
      </c>
      <c r="F63" s="128"/>
      <c r="G63" s="128"/>
      <c r="H63" s="129">
        <f t="shared" ref="H63:H65" si="0">SUM(D63:G63)</f>
        <v>2.73824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0.39041</v>
      </c>
      <c r="E66" s="116">
        <f>SUM(E63:E65)</f>
        <v>2.34783</v>
      </c>
      <c r="F66" s="116">
        <f>SUM(F63:F65)</f>
        <v>0</v>
      </c>
      <c r="G66" s="116">
        <f>SUM(G63:G65)</f>
        <v>0</v>
      </c>
      <c r="H66" s="116">
        <f>SUM(H63:H65)</f>
        <v>2.73824</v>
      </c>
    </row>
    <row r="67" s="73" customFormat="1" ht="18.75" spans="1:8">
      <c r="A67" s="117" t="s">
        <v>67</v>
      </c>
      <c r="B67" s="118"/>
      <c r="C67" s="119"/>
      <c r="D67" s="120">
        <f>D61+D66</f>
        <v>16.0067</v>
      </c>
      <c r="E67" s="120">
        <f>E61+E66</f>
        <v>96.26101</v>
      </c>
      <c r="F67" s="120">
        <f>F61+F66</f>
        <v>157.72053</v>
      </c>
      <c r="G67" s="120">
        <f>G61+G66</f>
        <v>0</v>
      </c>
      <c r="H67" s="120">
        <f>H61+H66</f>
        <v>269.98824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0.30413</v>
      </c>
      <c r="E69" s="128">
        <f>ROUND(E67*1.9%,5)</f>
        <v>1.82896</v>
      </c>
      <c r="F69" s="128"/>
      <c r="G69" s="128"/>
      <c r="H69" s="129">
        <f t="shared" ref="H69" si="1">SUM(D69:G69)</f>
        <v>2.13309</v>
      </c>
      <c r="J69" s="134" t="s">
        <v>71</v>
      </c>
      <c r="K69" s="135">
        <f>(D31+E31)*1.019*1000+G76*1000</f>
        <v>158083.97993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>G72</f>
        <v>46.47345</v>
      </c>
      <c r="J72" s="134" t="s">
        <v>76</v>
      </c>
      <c r="K72" s="186">
        <f>F31*1000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0.30413</v>
      </c>
      <c r="E75" s="116">
        <f>SUM(E69:E74)</f>
        <v>1.82896</v>
      </c>
      <c r="F75" s="116">
        <f>SUM(F69:F74)</f>
        <v>0</v>
      </c>
      <c r="G75" s="116">
        <f>SUM(G69:G74)</f>
        <v>46.47345</v>
      </c>
      <c r="H75" s="116">
        <f>SUM(H69:H74)</f>
        <v>48.60654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16.31083</v>
      </c>
      <c r="E76" s="120">
        <f>E67+E75</f>
        <v>98.08997</v>
      </c>
      <c r="F76" s="120">
        <f>F67+F75</f>
        <v>157.72053</v>
      </c>
      <c r="G76" s="120">
        <f>G67+G75</f>
        <v>46.47345</v>
      </c>
      <c r="H76" s="141">
        <f>H67+H75</f>
        <v>318.59478</v>
      </c>
      <c r="I76" s="166">
        <f>K69+K72</f>
        <v>315804.50993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6.81793</v>
      </c>
      <c r="H78" s="114">
        <f>SUM(D78:G78)</f>
        <v>6.81793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12.85407</v>
      </c>
      <c r="H79" s="114">
        <f>SUM(D79:G79)</f>
        <v>12.85407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19.672</v>
      </c>
      <c r="H81" s="116">
        <f>SUM(D81:G81)</f>
        <v>19.672</v>
      </c>
    </row>
    <row r="82" s="73" customFormat="1" ht="18.75" spans="1:8">
      <c r="A82" s="117" t="s">
        <v>89</v>
      </c>
      <c r="B82" s="118"/>
      <c r="C82" s="119"/>
      <c r="D82" s="120">
        <f>D76+D81</f>
        <v>16.31083</v>
      </c>
      <c r="E82" s="120">
        <f>E76+E81</f>
        <v>98.08997</v>
      </c>
      <c r="F82" s="120">
        <f>F76+F81</f>
        <v>157.72053</v>
      </c>
      <c r="G82" s="120">
        <f>G76+G81</f>
        <v>66.14545</v>
      </c>
      <c r="H82" s="120">
        <f>H76+H81</f>
        <v>338.26678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16.31083</v>
      </c>
      <c r="E88" s="124">
        <f>E82+E87</f>
        <v>98.08997</v>
      </c>
      <c r="F88" s="124">
        <f>F82+F87</f>
        <v>157.72053</v>
      </c>
      <c r="G88" s="124">
        <f>G82+G87</f>
        <v>66.14545</v>
      </c>
      <c r="H88" s="124">
        <f>H82+H87</f>
        <v>338.26678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40-26-Ф-Ст от 10.03.2026</v>
      </c>
      <c r="C90" s="144" t="s">
        <v>93</v>
      </c>
      <c r="D90" s="115"/>
      <c r="E90" s="115"/>
      <c r="F90" s="115"/>
      <c r="G90" s="111">
        <v>8.48089</v>
      </c>
      <c r="H90" s="114">
        <f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8.48089</v>
      </c>
      <c r="H93" s="116">
        <f>SUM(H90:H92)</f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16.31083</v>
      </c>
      <c r="E94" s="120">
        <f>E88+E93</f>
        <v>98.08997</v>
      </c>
      <c r="F94" s="120">
        <f>F88+F93</f>
        <v>157.72053</v>
      </c>
      <c r="G94" s="120">
        <f>G88+G93</f>
        <v>74.62634</v>
      </c>
      <c r="H94" s="120">
        <f>H93+H88</f>
        <v>346.74767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324.28539993</v>
      </c>
      <c r="K95" s="173">
        <f>J95*1.22</f>
        <v>395.6281879146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0.48932</v>
      </c>
      <c r="E96" s="115">
        <f t="shared" ref="E96:G96" si="2">ROUND(E94*0.03,5)</f>
        <v>2.9427</v>
      </c>
      <c r="F96" s="115">
        <f t="shared" si="2"/>
        <v>4.73162</v>
      </c>
      <c r="G96" s="115">
        <f t="shared" si="2"/>
        <v>2.23879</v>
      </c>
      <c r="H96" s="114">
        <f>SUM(D96:G96)</f>
        <v>10.40243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0.48932</v>
      </c>
      <c r="E99" s="149">
        <f>SUM(E96:E98)</f>
        <v>2.9427</v>
      </c>
      <c r="F99" s="149">
        <f>SUM(F96:F98)</f>
        <v>4.73162</v>
      </c>
      <c r="G99" s="149">
        <f>SUM(G96:G98)</f>
        <v>2.23879</v>
      </c>
      <c r="H99" s="149">
        <f>SUM(H96:H98)</f>
        <v>10.40243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16.80015</v>
      </c>
      <c r="E100" s="151">
        <f>E94+E99</f>
        <v>101.03267</v>
      </c>
      <c r="F100" s="151">
        <f>F94+F99</f>
        <v>162.45215</v>
      </c>
      <c r="G100" s="151">
        <f>G94+G99</f>
        <v>76.86513</v>
      </c>
      <c r="H100" s="151">
        <f>H94+H99</f>
        <v>357.1501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>ROUND(D100*0.22,5)</f>
        <v>3.69603</v>
      </c>
      <c r="E102" s="115">
        <f>ROUND(E100*0.22,5)</f>
        <v>22.22719</v>
      </c>
      <c r="F102" s="115">
        <f>ROUND(F100*0.22,5)</f>
        <v>35.73947</v>
      </c>
      <c r="G102" s="115">
        <f>ROUND(G100*0.22,5)</f>
        <v>16.91033</v>
      </c>
      <c r="H102" s="120">
        <f>SUM(D102:G102)</f>
        <v>78.57302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3.69603</v>
      </c>
      <c r="E105" s="120">
        <f>SUM(E102:E104)</f>
        <v>22.22719</v>
      </c>
      <c r="F105" s="120">
        <f>SUM(F102:F104)</f>
        <v>35.73947</v>
      </c>
      <c r="G105" s="120">
        <f>SUM(G102:G104)</f>
        <v>16.91033</v>
      </c>
      <c r="H105" s="120">
        <f>SUM(H102:H104)</f>
        <v>78.57302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20.49618</v>
      </c>
      <c r="E106" s="120">
        <f>E100+E105</f>
        <v>123.25986</v>
      </c>
      <c r="F106" s="120">
        <f>F100+F105</f>
        <v>198.19162</v>
      </c>
      <c r="G106" s="120">
        <f>G100+G105</f>
        <v>93.77546</v>
      </c>
      <c r="H106" s="115">
        <f>H100+H105</f>
        <v>435.72312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7" workbookViewId="0">
      <selection activeCell="D105" sqref="D10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13.42594</v>
      </c>
      <c r="E27" s="111">
        <v>87.81264</v>
      </c>
      <c r="F27" s="111">
        <v>157.72053</v>
      </c>
      <c r="G27" s="113"/>
      <c r="H27" s="114">
        <f t="shared" si="2"/>
        <v>258.95911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13.42594</v>
      </c>
      <c r="E30" s="116">
        <f t="shared" si="3"/>
        <v>87.81264</v>
      </c>
      <c r="F30" s="116">
        <f t="shared" si="3"/>
        <v>157.72053</v>
      </c>
      <c r="G30" s="116">
        <f t="shared" si="3"/>
        <v>0</v>
      </c>
      <c r="H30" s="116">
        <f t="shared" si="3"/>
        <v>258.95911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13.42594</v>
      </c>
      <c r="E31" s="120">
        <f t="shared" si="4"/>
        <v>87.81264</v>
      </c>
      <c r="F31" s="120">
        <f t="shared" si="4"/>
        <v>157.72053</v>
      </c>
      <c r="G31" s="120">
        <f t="shared" si="4"/>
        <v>0</v>
      </c>
      <c r="H31" s="120">
        <f t="shared" si="4"/>
        <v>258.95911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13.42594</v>
      </c>
      <c r="E37" s="124">
        <f t="shared" si="7"/>
        <v>87.81264</v>
      </c>
      <c r="F37" s="124">
        <f t="shared" si="7"/>
        <v>157.72053</v>
      </c>
      <c r="G37" s="124">
        <f t="shared" si="7"/>
        <v>0</v>
      </c>
      <c r="H37" s="124">
        <f t="shared" si="7"/>
        <v>258.95911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13.42594</v>
      </c>
      <c r="E43" s="124">
        <f t="shared" si="10"/>
        <v>87.81264</v>
      </c>
      <c r="F43" s="124">
        <f t="shared" si="10"/>
        <v>157.72053</v>
      </c>
      <c r="G43" s="124">
        <f t="shared" si="10"/>
        <v>0</v>
      </c>
      <c r="H43" s="124">
        <f t="shared" si="10"/>
        <v>258.95911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13.42594</v>
      </c>
      <c r="E49" s="124">
        <f t="shared" si="13"/>
        <v>87.81264</v>
      </c>
      <c r="F49" s="124">
        <f t="shared" si="13"/>
        <v>157.72053</v>
      </c>
      <c r="G49" s="124">
        <f t="shared" si="13"/>
        <v>0</v>
      </c>
      <c r="H49" s="124">
        <f t="shared" si="13"/>
        <v>258.95911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13.42594</v>
      </c>
      <c r="E55" s="124">
        <f t="shared" si="16"/>
        <v>87.81264</v>
      </c>
      <c r="F55" s="124">
        <f t="shared" si="16"/>
        <v>157.72053</v>
      </c>
      <c r="G55" s="124">
        <f t="shared" si="16"/>
        <v>0</v>
      </c>
      <c r="H55" s="124">
        <f t="shared" si="16"/>
        <v>258.95911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13.42594</v>
      </c>
      <c r="E61" s="124">
        <f t="shared" si="19"/>
        <v>87.81264</v>
      </c>
      <c r="F61" s="124">
        <f t="shared" si="19"/>
        <v>157.72053</v>
      </c>
      <c r="G61" s="124">
        <f t="shared" si="19"/>
        <v>0</v>
      </c>
      <c r="H61" s="124">
        <f t="shared" si="19"/>
        <v>258.95911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0.33565</v>
      </c>
      <c r="E63" s="128">
        <f>ROUND(E61*2.5%,5)</f>
        <v>2.19532</v>
      </c>
      <c r="F63" s="128"/>
      <c r="G63" s="128"/>
      <c r="H63" s="129">
        <f t="shared" ref="H63:H65" si="20">SUM(D63:G63)</f>
        <v>2.53097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0.33565</v>
      </c>
      <c r="E66" s="116">
        <f t="shared" si="21"/>
        <v>2.19532</v>
      </c>
      <c r="F66" s="116">
        <f t="shared" si="21"/>
        <v>0</v>
      </c>
      <c r="G66" s="116">
        <f t="shared" si="21"/>
        <v>0</v>
      </c>
      <c r="H66" s="116">
        <f t="shared" si="21"/>
        <v>2.53097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13.76159</v>
      </c>
      <c r="E67" s="120">
        <f t="shared" si="22"/>
        <v>90.00796</v>
      </c>
      <c r="F67" s="120">
        <f t="shared" si="22"/>
        <v>157.72053</v>
      </c>
      <c r="G67" s="120">
        <f t="shared" si="22"/>
        <v>0</v>
      </c>
      <c r="H67" s="120">
        <f t="shared" si="22"/>
        <v>261.49008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0.26147</v>
      </c>
      <c r="E69" s="128">
        <f>ROUND(E67*1.9%,5)</f>
        <v>1.71015</v>
      </c>
      <c r="F69" s="128"/>
      <c r="G69" s="128"/>
      <c r="H69" s="129">
        <f>SUM(D69:G69)</f>
        <v>1.97162</v>
      </c>
      <c r="J69" s="134" t="s">
        <v>71</v>
      </c>
      <c r="K69" s="135">
        <f>(D31+E31)*1.019*1000+G76*1000</f>
        <v>103162.11302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/>
      <c r="H72" s="114">
        <f t="shared" si="23"/>
        <v>0</v>
      </c>
      <c r="J72" s="134" t="s">
        <v>76</v>
      </c>
      <c r="K72" s="186">
        <f>F31*1000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0.26147</v>
      </c>
      <c r="E75" s="116">
        <f t="shared" si="24"/>
        <v>1.71015</v>
      </c>
      <c r="F75" s="116">
        <f t="shared" si="24"/>
        <v>0</v>
      </c>
      <c r="G75" s="116">
        <f t="shared" si="24"/>
        <v>0</v>
      </c>
      <c r="H75" s="116">
        <f t="shared" si="24"/>
        <v>1.97162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14.02306</v>
      </c>
      <c r="E76" s="120">
        <f t="shared" si="25"/>
        <v>91.71811</v>
      </c>
      <c r="F76" s="120">
        <f t="shared" si="25"/>
        <v>157.72053</v>
      </c>
      <c r="G76" s="120">
        <f t="shared" si="25"/>
        <v>0</v>
      </c>
      <c r="H76" s="141">
        <f t="shared" si="25"/>
        <v>263.4617</v>
      </c>
      <c r="I76" s="166">
        <f>K69+K72</f>
        <v>260882.64302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5.63808</v>
      </c>
      <c r="H78" s="114">
        <f t="shared" ref="H78:H81" si="26">SUM(D78:G78)</f>
        <v>5.63808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10.68734</v>
      </c>
      <c r="H79" s="114">
        <f t="shared" si="26"/>
        <v>10.68734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16.32542</v>
      </c>
      <c r="H81" s="116">
        <f t="shared" si="26"/>
        <v>16.32542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14.02306</v>
      </c>
      <c r="E82" s="120">
        <f t="shared" si="28"/>
        <v>91.71811</v>
      </c>
      <c r="F82" s="120">
        <f t="shared" si="28"/>
        <v>157.72053</v>
      </c>
      <c r="G82" s="120">
        <f t="shared" si="28"/>
        <v>16.32542</v>
      </c>
      <c r="H82" s="120">
        <f t="shared" si="28"/>
        <v>279.78712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14.02306</v>
      </c>
      <c r="E88" s="124">
        <f t="shared" si="31"/>
        <v>91.71811</v>
      </c>
      <c r="F88" s="124">
        <f t="shared" si="31"/>
        <v>157.72053</v>
      </c>
      <c r="G88" s="124">
        <f t="shared" si="31"/>
        <v>16.32542</v>
      </c>
      <c r="H88" s="124">
        <f t="shared" si="31"/>
        <v>279.78712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40-26-Ф-Ст от 10.03.2026</v>
      </c>
      <c r="C90" s="144" t="s">
        <v>93</v>
      </c>
      <c r="D90" s="115"/>
      <c r="E90" s="115"/>
      <c r="F90" s="115"/>
      <c r="G90" s="111">
        <v>8.48089</v>
      </c>
      <c r="H90" s="114">
        <f t="shared" ref="H90:H92" si="32"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8.48089</v>
      </c>
      <c r="H93" s="116">
        <f t="shared" si="33"/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14.02306</v>
      </c>
      <c r="E94" s="120">
        <f t="shared" si="34"/>
        <v>91.71811</v>
      </c>
      <c r="F94" s="120">
        <f t="shared" si="34"/>
        <v>157.72053</v>
      </c>
      <c r="G94" s="120">
        <f t="shared" si="34"/>
        <v>24.80631</v>
      </c>
      <c r="H94" s="120">
        <f>H93+H88</f>
        <v>288.26801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269.36353302</v>
      </c>
      <c r="K95" s="173">
        <f>J95*1.22</f>
        <v>328.6235102844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0.42069</v>
      </c>
      <c r="E96" s="115">
        <f t="shared" si="35"/>
        <v>2.75154</v>
      </c>
      <c r="F96" s="115">
        <f t="shared" si="35"/>
        <v>4.73162</v>
      </c>
      <c r="G96" s="115">
        <f t="shared" si="35"/>
        <v>0.74419</v>
      </c>
      <c r="H96" s="114">
        <f t="shared" ref="H96:H98" si="36">SUM(D96:G96)</f>
        <v>8.64804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0.42069</v>
      </c>
      <c r="E99" s="149">
        <f t="shared" si="37"/>
        <v>2.75154</v>
      </c>
      <c r="F99" s="149">
        <f t="shared" si="37"/>
        <v>4.73162</v>
      </c>
      <c r="G99" s="149">
        <f t="shared" si="37"/>
        <v>0.74419</v>
      </c>
      <c r="H99" s="149">
        <f t="shared" si="37"/>
        <v>8.64804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14.44375</v>
      </c>
      <c r="E100" s="151">
        <f t="shared" si="38"/>
        <v>94.46965</v>
      </c>
      <c r="F100" s="151">
        <f t="shared" si="38"/>
        <v>162.45215</v>
      </c>
      <c r="G100" s="151">
        <f t="shared" si="38"/>
        <v>25.5505</v>
      </c>
      <c r="H100" s="151">
        <f t="shared" si="38"/>
        <v>296.91605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3.17763</v>
      </c>
      <c r="E102" s="115">
        <f t="shared" si="39"/>
        <v>20.78332</v>
      </c>
      <c r="F102" s="115">
        <f t="shared" si="39"/>
        <v>35.73947</v>
      </c>
      <c r="G102" s="115">
        <f t="shared" si="39"/>
        <v>5.62111</v>
      </c>
      <c r="H102" s="120">
        <f t="shared" ref="H102:H104" si="40">SUM(D102:G102)</f>
        <v>65.32153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3.17763</v>
      </c>
      <c r="E105" s="120">
        <f t="shared" si="41"/>
        <v>20.78332</v>
      </c>
      <c r="F105" s="120">
        <f t="shared" si="41"/>
        <v>35.73947</v>
      </c>
      <c r="G105" s="120">
        <f t="shared" si="41"/>
        <v>5.62111</v>
      </c>
      <c r="H105" s="120">
        <f t="shared" si="41"/>
        <v>65.32153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17.62138</v>
      </c>
      <c r="E106" s="120">
        <f t="shared" si="42"/>
        <v>115.25297</v>
      </c>
      <c r="F106" s="120">
        <f t="shared" si="42"/>
        <v>198.19162</v>
      </c>
      <c r="G106" s="120">
        <f t="shared" si="42"/>
        <v>31.17161</v>
      </c>
      <c r="H106" s="115">
        <f t="shared" si="42"/>
        <v>362.23758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7" workbookViewId="0">
      <selection activeCell="G93" sqref="G93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2.19035</v>
      </c>
      <c r="E27" s="111">
        <v>6.10054</v>
      </c>
      <c r="F27" s="111"/>
      <c r="G27" s="113"/>
      <c r="H27" s="114">
        <f t="shared" si="2"/>
        <v>8.29089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2.19035</v>
      </c>
      <c r="E30" s="116">
        <f t="shared" si="3"/>
        <v>6.10054</v>
      </c>
      <c r="F30" s="116">
        <f t="shared" si="3"/>
        <v>0</v>
      </c>
      <c r="G30" s="116">
        <f t="shared" si="3"/>
        <v>0</v>
      </c>
      <c r="H30" s="116">
        <f t="shared" si="3"/>
        <v>8.29089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2.19035</v>
      </c>
      <c r="E31" s="120">
        <f t="shared" si="4"/>
        <v>6.10054</v>
      </c>
      <c r="F31" s="120">
        <f t="shared" si="4"/>
        <v>0</v>
      </c>
      <c r="G31" s="120">
        <f t="shared" si="4"/>
        <v>0</v>
      </c>
      <c r="H31" s="120">
        <f t="shared" si="4"/>
        <v>8.29089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2.19035</v>
      </c>
      <c r="E37" s="124">
        <f t="shared" si="7"/>
        <v>6.10054</v>
      </c>
      <c r="F37" s="124">
        <f t="shared" si="7"/>
        <v>0</v>
      </c>
      <c r="G37" s="124">
        <f t="shared" si="7"/>
        <v>0</v>
      </c>
      <c r="H37" s="124">
        <f t="shared" si="7"/>
        <v>8.29089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2.19035</v>
      </c>
      <c r="E43" s="124">
        <f t="shared" si="10"/>
        <v>6.10054</v>
      </c>
      <c r="F43" s="124">
        <f t="shared" si="10"/>
        <v>0</v>
      </c>
      <c r="G43" s="124">
        <f t="shared" si="10"/>
        <v>0</v>
      </c>
      <c r="H43" s="124">
        <f t="shared" si="10"/>
        <v>8.29089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2.19035</v>
      </c>
      <c r="E49" s="124">
        <f t="shared" si="13"/>
        <v>6.10054</v>
      </c>
      <c r="F49" s="124">
        <f t="shared" si="13"/>
        <v>0</v>
      </c>
      <c r="G49" s="124">
        <f t="shared" si="13"/>
        <v>0</v>
      </c>
      <c r="H49" s="124">
        <f t="shared" si="13"/>
        <v>8.29089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2.19035</v>
      </c>
      <c r="E55" s="124">
        <f t="shared" si="16"/>
        <v>6.10054</v>
      </c>
      <c r="F55" s="124">
        <f t="shared" si="16"/>
        <v>0</v>
      </c>
      <c r="G55" s="124">
        <f t="shared" si="16"/>
        <v>0</v>
      </c>
      <c r="H55" s="124">
        <f t="shared" si="16"/>
        <v>8.29089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2.19035</v>
      </c>
      <c r="E61" s="124">
        <f t="shared" si="19"/>
        <v>6.10054</v>
      </c>
      <c r="F61" s="124">
        <f t="shared" si="19"/>
        <v>0</v>
      </c>
      <c r="G61" s="124">
        <f t="shared" si="19"/>
        <v>0</v>
      </c>
      <c r="H61" s="124">
        <f t="shared" si="19"/>
        <v>8.29089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0.05476</v>
      </c>
      <c r="E63" s="128">
        <f>ROUND(E61*2.5%,5)</f>
        <v>0.15251</v>
      </c>
      <c r="F63" s="128"/>
      <c r="G63" s="128"/>
      <c r="H63" s="129">
        <f t="shared" ref="H63:H65" si="20">SUM(D63:G63)</f>
        <v>0.20727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0.05476</v>
      </c>
      <c r="E66" s="116">
        <f t="shared" si="21"/>
        <v>0.15251</v>
      </c>
      <c r="F66" s="116">
        <f t="shared" si="21"/>
        <v>0</v>
      </c>
      <c r="G66" s="116">
        <f t="shared" si="21"/>
        <v>0</v>
      </c>
      <c r="H66" s="116">
        <f t="shared" si="21"/>
        <v>0.20727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2.24511</v>
      </c>
      <c r="E67" s="120">
        <f t="shared" si="22"/>
        <v>6.25305</v>
      </c>
      <c r="F67" s="120">
        <f t="shared" si="22"/>
        <v>0</v>
      </c>
      <c r="G67" s="120">
        <f t="shared" si="22"/>
        <v>0</v>
      </c>
      <c r="H67" s="120">
        <f t="shared" si="22"/>
        <v>8.49816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0.04266</v>
      </c>
      <c r="E69" s="128">
        <f>ROUND(E67*1.9%,5)</f>
        <v>0.11881</v>
      </c>
      <c r="F69" s="128"/>
      <c r="G69" s="128"/>
      <c r="H69" s="129">
        <f>SUM(D69:G69)</f>
        <v>0.16147</v>
      </c>
      <c r="J69" s="134" t="s">
        <v>71</v>
      </c>
      <c r="K69" s="135">
        <f>(D31+E31)*1.019*1000+G76*1000</f>
        <v>54921.86691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 t="shared" si="23"/>
        <v>46.47345</v>
      </c>
      <c r="J72" s="134" t="s">
        <v>76</v>
      </c>
      <c r="K72" s="186">
        <f>F31*1000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0.04266</v>
      </c>
      <c r="E75" s="116">
        <f t="shared" si="24"/>
        <v>0.11881</v>
      </c>
      <c r="F75" s="116">
        <f t="shared" si="24"/>
        <v>0</v>
      </c>
      <c r="G75" s="116">
        <f t="shared" si="24"/>
        <v>46.47345</v>
      </c>
      <c r="H75" s="116">
        <f t="shared" si="24"/>
        <v>46.63492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2.28777</v>
      </c>
      <c r="E76" s="120">
        <f t="shared" si="25"/>
        <v>6.37186</v>
      </c>
      <c r="F76" s="120">
        <f t="shared" si="25"/>
        <v>0</v>
      </c>
      <c r="G76" s="120">
        <f t="shared" si="25"/>
        <v>46.47345</v>
      </c>
      <c r="H76" s="141">
        <f t="shared" si="25"/>
        <v>55.13308</v>
      </c>
      <c r="I76" s="166">
        <f>K69+K72</f>
        <v>54921.86691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1.17985</v>
      </c>
      <c r="H78" s="114">
        <f t="shared" ref="H78:H81" si="26">SUM(D78:G78)</f>
        <v>1.17985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2.16673</v>
      </c>
      <c r="H79" s="114">
        <f t="shared" si="26"/>
        <v>2.16673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3.34658</v>
      </c>
      <c r="H81" s="116">
        <f t="shared" si="26"/>
        <v>3.34658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2.28777</v>
      </c>
      <c r="E82" s="120">
        <f t="shared" si="28"/>
        <v>6.37186</v>
      </c>
      <c r="F82" s="120">
        <f t="shared" si="28"/>
        <v>0</v>
      </c>
      <c r="G82" s="120">
        <f t="shared" si="28"/>
        <v>49.82003</v>
      </c>
      <c r="H82" s="120">
        <f t="shared" si="28"/>
        <v>58.47966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2.28777</v>
      </c>
      <c r="E88" s="124">
        <f t="shared" si="31"/>
        <v>6.37186</v>
      </c>
      <c r="F88" s="124">
        <f t="shared" si="31"/>
        <v>0</v>
      </c>
      <c r="G88" s="124">
        <f t="shared" si="31"/>
        <v>49.82003</v>
      </c>
      <c r="H88" s="124">
        <f t="shared" si="31"/>
        <v>58.47966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40-26-Ф-Ст от 10.03.2026</v>
      </c>
      <c r="C90" s="144" t="s">
        <v>93</v>
      </c>
      <c r="D90" s="115"/>
      <c r="E90" s="115"/>
      <c r="F90" s="115"/>
      <c r="G90" s="111"/>
      <c r="H90" s="114">
        <f t="shared" ref="H90:H92" si="32">SUM(D90:G90)</f>
        <v>0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0</v>
      </c>
      <c r="H93" s="116">
        <f t="shared" si="33"/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2.28777</v>
      </c>
      <c r="E94" s="120">
        <f t="shared" si="34"/>
        <v>6.37186</v>
      </c>
      <c r="F94" s="120">
        <f t="shared" si="34"/>
        <v>0</v>
      </c>
      <c r="G94" s="120">
        <f t="shared" si="34"/>
        <v>49.82003</v>
      </c>
      <c r="H94" s="120">
        <f>H93+H88</f>
        <v>58.47966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54.92186691</v>
      </c>
      <c r="K95" s="173">
        <f>J95*1.22</f>
        <v>67.0046776302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0.06863</v>
      </c>
      <c r="E96" s="115">
        <f t="shared" si="35"/>
        <v>0.19116</v>
      </c>
      <c r="F96" s="115">
        <f t="shared" si="35"/>
        <v>0</v>
      </c>
      <c r="G96" s="115">
        <f t="shared" si="35"/>
        <v>1.4946</v>
      </c>
      <c r="H96" s="114">
        <f t="shared" ref="H96:H98" si="36">SUM(D96:G96)</f>
        <v>1.75439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0.06863</v>
      </c>
      <c r="E99" s="149">
        <f t="shared" si="37"/>
        <v>0.19116</v>
      </c>
      <c r="F99" s="149">
        <f t="shared" si="37"/>
        <v>0</v>
      </c>
      <c r="G99" s="149">
        <f t="shared" si="37"/>
        <v>1.4946</v>
      </c>
      <c r="H99" s="149">
        <f t="shared" si="37"/>
        <v>1.75439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2.3564</v>
      </c>
      <c r="E100" s="151">
        <f t="shared" si="38"/>
        <v>6.56302</v>
      </c>
      <c r="F100" s="151">
        <f t="shared" si="38"/>
        <v>0</v>
      </c>
      <c r="G100" s="151">
        <f t="shared" si="38"/>
        <v>51.31463</v>
      </c>
      <c r="H100" s="151">
        <f t="shared" si="38"/>
        <v>60.23405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0.51841</v>
      </c>
      <c r="E102" s="115">
        <f t="shared" si="39"/>
        <v>1.44386</v>
      </c>
      <c r="F102" s="115">
        <f t="shared" si="39"/>
        <v>0</v>
      </c>
      <c r="G102" s="115">
        <f t="shared" si="39"/>
        <v>11.28922</v>
      </c>
      <c r="H102" s="120">
        <f t="shared" ref="H102:H104" si="40">SUM(D102:G102)</f>
        <v>13.25149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0.51841</v>
      </c>
      <c r="E105" s="120">
        <f t="shared" si="41"/>
        <v>1.44386</v>
      </c>
      <c r="F105" s="120">
        <f t="shared" si="41"/>
        <v>0</v>
      </c>
      <c r="G105" s="120">
        <f t="shared" si="41"/>
        <v>11.28922</v>
      </c>
      <c r="H105" s="120">
        <f t="shared" si="41"/>
        <v>13.25149</v>
      </c>
      <c r="I105" s="180" t="s">
        <v>113</v>
      </c>
      <c r="J105" s="181">
        <f>(J102/1.03/1.0568-H90)/1.0214</f>
        <v>266.190660383582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2.87481</v>
      </c>
      <c r="E106" s="120">
        <f t="shared" si="42"/>
        <v>8.00688</v>
      </c>
      <c r="F106" s="120">
        <f t="shared" si="42"/>
        <v>0</v>
      </c>
      <c r="G106" s="120">
        <f t="shared" si="42"/>
        <v>62.60385</v>
      </c>
      <c r="H106" s="115">
        <f t="shared" si="42"/>
        <v>73.48554</v>
      </c>
      <c r="I106" s="180" t="s">
        <v>115</v>
      </c>
      <c r="J106" s="183">
        <f>J100-H90</f>
        <v>269.71019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workbookViewId="0">
      <selection activeCell="A105" sqref="A10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/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/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>
        <v>2000</v>
      </c>
      <c r="E15" s="95"/>
      <c r="F15" s="77"/>
      <c r="G15" s="94"/>
      <c r="H15" s="94" t="str">
        <f>'ССР Т'!H15</f>
        <v>I-357881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customHeight="1" spans="1:9">
      <c r="A26" s="101">
        <v>1</v>
      </c>
      <c r="B26" s="109" t="s">
        <v>38</v>
      </c>
      <c r="C26" s="110" t="s">
        <v>118</v>
      </c>
      <c r="D26" s="111"/>
      <c r="E26" s="111"/>
      <c r="F26" s="115"/>
      <c r="G26" s="113"/>
      <c r="H26" s="114">
        <f>SUM(D26:G26)</f>
        <v>0</v>
      </c>
      <c r="I26" s="136"/>
    </row>
    <row r="27" s="73" customFormat="1" ht="24.95" hidden="1" customHeight="1" spans="1:12">
      <c r="A27" s="101">
        <v>2</v>
      </c>
      <c r="B27" s="109" t="s">
        <v>119</v>
      </c>
      <c r="C27" s="110" t="s">
        <v>120</v>
      </c>
      <c r="D27" s="111"/>
      <c r="E27" s="111"/>
      <c r="F27" s="115"/>
      <c r="G27" s="113"/>
      <c r="H27" s="114">
        <f>SUM(D27:G27)</f>
        <v>0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0</v>
      </c>
      <c r="E30" s="116">
        <f>SUM(E25:E29)</f>
        <v>0</v>
      </c>
      <c r="F30" s="116">
        <f>SUM(F25:F29)</f>
        <v>0</v>
      </c>
      <c r="G30" s="116">
        <f>SUM(G25:G29)</f>
        <v>0</v>
      </c>
      <c r="H30" s="116">
        <f>SUM(H25:H29)</f>
        <v>0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0</v>
      </c>
      <c r="E31" s="120">
        <f>E23+E30</f>
        <v>0</v>
      </c>
      <c r="F31" s="120">
        <f>F23+F30</f>
        <v>0</v>
      </c>
      <c r="G31" s="120">
        <f>G23+G30</f>
        <v>0</v>
      </c>
      <c r="H31" s="120">
        <f>H23+H30</f>
        <v>0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0</v>
      </c>
      <c r="E37" s="124">
        <f>E31+E36</f>
        <v>0</v>
      </c>
      <c r="F37" s="124">
        <f>F31+F36</f>
        <v>0</v>
      </c>
      <c r="G37" s="124">
        <f>G31+G36</f>
        <v>0</v>
      </c>
      <c r="H37" s="124">
        <f>H31+H36</f>
        <v>0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0</v>
      </c>
      <c r="E43" s="124">
        <f>E37+E42</f>
        <v>0</v>
      </c>
      <c r="F43" s="124">
        <f>F37+F42</f>
        <v>0</v>
      </c>
      <c r="G43" s="124">
        <f>G37+G42</f>
        <v>0</v>
      </c>
      <c r="H43" s="124">
        <f>H37+H42</f>
        <v>0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0</v>
      </c>
      <c r="E49" s="124">
        <f>E43+E48</f>
        <v>0</v>
      </c>
      <c r="F49" s="124">
        <f>F43+F48</f>
        <v>0</v>
      </c>
      <c r="G49" s="124">
        <f>G43+G48</f>
        <v>0</v>
      </c>
      <c r="H49" s="124">
        <f>H43+H48</f>
        <v>0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0</v>
      </c>
      <c r="E55" s="124">
        <f>E49+E54</f>
        <v>0</v>
      </c>
      <c r="F55" s="124">
        <f>F49+F54</f>
        <v>0</v>
      </c>
      <c r="G55" s="124">
        <f>G49+G54</f>
        <v>0</v>
      </c>
      <c r="H55" s="124">
        <f>H49+H54</f>
        <v>0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0</v>
      </c>
      <c r="E61" s="124">
        <f>E55+E60</f>
        <v>0</v>
      </c>
      <c r="F61" s="124">
        <f>F55+F60</f>
        <v>0</v>
      </c>
      <c r="G61" s="124">
        <f>G55+G60</f>
        <v>0</v>
      </c>
      <c r="H61" s="124">
        <f>H55+H60</f>
        <v>0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121</v>
      </c>
      <c r="D63" s="128">
        <f>ROUND(D61*2%,5)</f>
        <v>0</v>
      </c>
      <c r="E63" s="128">
        <f>ROUND(E61*2%,5)</f>
        <v>0</v>
      </c>
      <c r="F63" s="128"/>
      <c r="G63" s="128"/>
      <c r="H63" s="129">
        <f t="shared" ref="H63:H65" si="0">SUM(D63:G63)</f>
        <v>0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</v>
      </c>
      <c r="E66" s="116">
        <f>SUM(E63:E65)</f>
        <v>0</v>
      </c>
      <c r="F66" s="116">
        <f>SUM(F63:F65)</f>
        <v>0</v>
      </c>
      <c r="G66" s="116">
        <f>SUM(G63:G65)</f>
        <v>0</v>
      </c>
      <c r="H66" s="116">
        <f>SUM(H63:H65)</f>
        <v>0</v>
      </c>
    </row>
    <row r="67" s="73" customFormat="1" ht="18.75" spans="1:8">
      <c r="A67" s="117" t="s">
        <v>67</v>
      </c>
      <c r="B67" s="118"/>
      <c r="C67" s="119"/>
      <c r="D67" s="120">
        <f>D61+D66</f>
        <v>0</v>
      </c>
      <c r="E67" s="120">
        <f>E61+E66</f>
        <v>0</v>
      </c>
      <c r="F67" s="120">
        <f>F61+F66</f>
        <v>0</v>
      </c>
      <c r="G67" s="120">
        <f>G61+G66</f>
        <v>0</v>
      </c>
      <c r="H67" s="120">
        <f>H61+H66</f>
        <v>0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</v>
      </c>
      <c r="E69" s="128">
        <f>ROUND(E67*1.9%,5)</f>
        <v>0</v>
      </c>
      <c r="F69" s="128"/>
      <c r="G69" s="128"/>
      <c r="H69" s="129">
        <f t="shared" ref="H69" si="1">SUM(D69:G69)</f>
        <v>0</v>
      </c>
      <c r="J69" s="134" t="s">
        <v>71</v>
      </c>
      <c r="K69" s="135">
        <f>ROUND((D31+E31)*1000*1.019+(H70+H71+H72+H73+H74)*1000,2)</f>
        <v>0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 t="s">
        <v>76</v>
      </c>
      <c r="K70" s="135">
        <f>F31*1000</f>
        <v>0</v>
      </c>
    </row>
    <row r="71" s="73" customFormat="1" ht="24.95" customHeight="1" spans="1:11">
      <c r="A71" s="101">
        <v>4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 t="s">
        <v>76</v>
      </c>
      <c r="K71" s="135">
        <f>F30*1000</f>
        <v>0</v>
      </c>
    </row>
    <row r="72" s="73" customFormat="1" ht="24.95" hidden="1" customHeight="1" spans="1:8">
      <c r="A72" s="130">
        <v>10</v>
      </c>
      <c r="B72" s="109" t="s">
        <v>122</v>
      </c>
      <c r="C72" s="110" t="s">
        <v>73</v>
      </c>
      <c r="D72" s="115"/>
      <c r="E72" s="115"/>
      <c r="F72" s="115"/>
      <c r="G72" s="111"/>
      <c r="H72" s="114">
        <f>G72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</v>
      </c>
      <c r="E75" s="116">
        <f>SUM(E69:E74)</f>
        <v>0</v>
      </c>
      <c r="F75" s="116">
        <f>SUM(F69:F74)</f>
        <v>0</v>
      </c>
      <c r="G75" s="116">
        <f>SUM(G69:G74)</f>
        <v>0</v>
      </c>
      <c r="H75" s="116">
        <f>SUM(H69:H74)</f>
        <v>0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0</v>
      </c>
      <c r="E76" s="120">
        <f>E67+E75</f>
        <v>0</v>
      </c>
      <c r="F76" s="120">
        <f>F67+F75</f>
        <v>0</v>
      </c>
      <c r="G76" s="120">
        <f>G67+G75</f>
        <v>0</v>
      </c>
      <c r="H76" s="141">
        <f>H67+H75</f>
        <v>0</v>
      </c>
      <c r="I76" s="166">
        <f>K69+K70</f>
        <v>0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0</v>
      </c>
      <c r="H78" s="114">
        <f>SUM(D78:G78)</f>
        <v>0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0</v>
      </c>
      <c r="H79" s="114">
        <f>SUM(D79:G79)</f>
        <v>0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0</v>
      </c>
      <c r="H81" s="116">
        <f>SUM(D81:G81)</f>
        <v>0</v>
      </c>
    </row>
    <row r="82" s="73" customFormat="1" ht="18.75" spans="1:8">
      <c r="A82" s="117" t="s">
        <v>89</v>
      </c>
      <c r="B82" s="118"/>
      <c r="C82" s="119"/>
      <c r="D82" s="120">
        <f>D76+D81</f>
        <v>0</v>
      </c>
      <c r="E82" s="120">
        <f>E76+E81</f>
        <v>0</v>
      </c>
      <c r="F82" s="120">
        <f>F76+F81</f>
        <v>0</v>
      </c>
      <c r="G82" s="120">
        <f>G76+G81</f>
        <v>0</v>
      </c>
      <c r="H82" s="120">
        <f>H76+H81</f>
        <v>0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0</v>
      </c>
      <c r="E88" s="124">
        <f>E82+E87</f>
        <v>0</v>
      </c>
      <c r="F88" s="124">
        <f>F82+F87</f>
        <v>0</v>
      </c>
      <c r="G88" s="124">
        <f>G82+G87</f>
        <v>0</v>
      </c>
      <c r="H88" s="124">
        <f>H82+H87</f>
        <v>0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21" spans="1:10">
      <c r="A90" s="101">
        <v>7</v>
      </c>
      <c r="B90" s="143">
        <f>D14</f>
        <v>0</v>
      </c>
      <c r="C90" s="144" t="s">
        <v>93</v>
      </c>
      <c r="D90" s="115"/>
      <c r="E90" s="115"/>
      <c r="F90" s="115"/>
      <c r="G90" s="111"/>
      <c r="H90" s="114">
        <f>SUM(D90:G90)</f>
        <v>0</v>
      </c>
      <c r="I90" s="158">
        <v>145865.7</v>
      </c>
      <c r="J90" s="168"/>
    </row>
    <row r="91" s="73" customFormat="1" ht="18.75" hidden="1" spans="1:8">
      <c r="A91" s="130">
        <v>14</v>
      </c>
      <c r="B91" s="101" t="s">
        <v>123</v>
      </c>
      <c r="C91" s="145" t="s">
        <v>95</v>
      </c>
      <c r="D91" s="115"/>
      <c r="E91" s="115"/>
      <c r="F91" s="115"/>
      <c r="G91" s="115">
        <v>0</v>
      </c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0</v>
      </c>
      <c r="H93" s="116">
        <f>SUM(H90:H92)</f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0</v>
      </c>
      <c r="E94" s="120">
        <f>E88+E93</f>
        <v>0</v>
      </c>
      <c r="F94" s="120">
        <f>F88+F93</f>
        <v>0</v>
      </c>
      <c r="G94" s="120">
        <f>G88+G93</f>
        <v>0</v>
      </c>
      <c r="H94" s="120">
        <f>H93+H88</f>
        <v>0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I76/1000+G90</f>
        <v>0</v>
      </c>
      <c r="K95" s="173">
        <f>J95*1.2</f>
        <v>0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</v>
      </c>
      <c r="E96" s="115">
        <f t="shared" ref="E96:G96" si="2">ROUND(E94*0.03,5)</f>
        <v>0</v>
      </c>
      <c r="F96" s="115">
        <f t="shared" si="2"/>
        <v>0</v>
      </c>
      <c r="G96" s="115">
        <f t="shared" si="2"/>
        <v>0</v>
      </c>
      <c r="H96" s="114">
        <f>SUM(D96:G96)</f>
        <v>0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</v>
      </c>
      <c r="E99" s="149">
        <f>SUM(E96:E98)</f>
        <v>0</v>
      </c>
      <c r="F99" s="149">
        <f>SUM(F96:F98)</f>
        <v>0</v>
      </c>
      <c r="G99" s="149">
        <f>SUM(G96:G98)</f>
        <v>0</v>
      </c>
      <c r="H99" s="149">
        <f>SUM(H96:H98)</f>
        <v>0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0</v>
      </c>
      <c r="E100" s="151">
        <f>E94+E99</f>
        <v>0</v>
      </c>
      <c r="F100" s="151">
        <f>F94+F99</f>
        <v>0</v>
      </c>
      <c r="G100" s="151">
        <f>G94+G99</f>
        <v>0</v>
      </c>
      <c r="H100" s="151">
        <f>H94+H99</f>
        <v>0</v>
      </c>
      <c r="I100" s="177"/>
      <c r="J100" s="178">
        <v>550.56917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124</v>
      </c>
      <c r="D102" s="115">
        <f>ROUND(D100*0.2,5)</f>
        <v>0</v>
      </c>
      <c r="E102" s="115">
        <f t="shared" ref="E102:G102" si="3">ROUND(E100*0.2,5)</f>
        <v>0</v>
      </c>
      <c r="F102" s="115">
        <f t="shared" si="3"/>
        <v>0</v>
      </c>
      <c r="G102" s="115">
        <f t="shared" si="3"/>
        <v>0</v>
      </c>
      <c r="H102" s="120">
        <f>SUM(D102:G102)</f>
        <v>0</v>
      </c>
      <c r="I102" s="168"/>
      <c r="J102" s="179">
        <v>613.95234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0</v>
      </c>
      <c r="E105" s="120">
        <f>SUM(E102:E104)</f>
        <v>0</v>
      </c>
      <c r="F105" s="120">
        <f>SUM(F102:F104)</f>
        <v>0</v>
      </c>
      <c r="G105" s="120">
        <f>SUM(G102:G104)</f>
        <v>0</v>
      </c>
      <c r="H105" s="120">
        <f>SUM(H102:H104)</f>
        <v>0</v>
      </c>
      <c r="I105" s="180" t="s">
        <v>113</v>
      </c>
      <c r="J105" s="181">
        <f>(J102/1.03/1.0568-H90)/1.0214</f>
        <v>552.215733390334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0</v>
      </c>
      <c r="E106" s="120">
        <f>E100+E105</f>
        <v>0</v>
      </c>
      <c r="F106" s="120">
        <f>F100+F105</f>
        <v>0</v>
      </c>
      <c r="G106" s="120">
        <f>G100+G105</f>
        <v>0</v>
      </c>
      <c r="H106" s="115">
        <f>H100+H105</f>
        <v>0</v>
      </c>
      <c r="I106" s="180" t="s">
        <v>115</v>
      </c>
      <c r="J106" s="183">
        <f>J100-H90</f>
        <v>550.56917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125</v>
      </c>
      <c r="D111" s="162"/>
      <c r="E111" s="162"/>
      <c r="F111" s="163" t="s">
        <v>126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G69" sqref="G69:S69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2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3" t="s">
        <v>127</v>
      </c>
      <c r="M1" s="64"/>
      <c r="N1" s="64"/>
      <c r="O1" s="64"/>
      <c r="P1" s="64"/>
      <c r="Q1" s="64"/>
    </row>
    <row r="2" ht="45" spans="1:17">
      <c r="A2" s="53" t="s">
        <v>128</v>
      </c>
      <c r="B2" s="54" t="s">
        <v>129</v>
      </c>
      <c r="C2" s="53" t="s">
        <v>130</v>
      </c>
      <c r="D2" s="55" t="s">
        <v>131</v>
      </c>
      <c r="E2" s="53" t="s">
        <v>132</v>
      </c>
      <c r="F2" s="56" t="s">
        <v>133</v>
      </c>
      <c r="G2" s="57" t="s">
        <v>134</v>
      </c>
      <c r="H2" s="57" t="s">
        <v>135</v>
      </c>
      <c r="I2" s="57" t="s">
        <v>136</v>
      </c>
      <c r="J2" s="57" t="s">
        <v>137</v>
      </c>
      <c r="K2" s="65"/>
      <c r="L2" s="66" t="s">
        <v>138</v>
      </c>
      <c r="M2" s="66" t="s">
        <v>139</v>
      </c>
      <c r="N2" s="66" t="s">
        <v>140</v>
      </c>
      <c r="O2" s="66" t="s">
        <v>141</v>
      </c>
      <c r="P2" s="66" t="s">
        <v>142</v>
      </c>
      <c r="Q2" s="66" t="s">
        <v>143</v>
      </c>
    </row>
    <row r="3" ht="18.75" spans="1:17">
      <c r="A3" s="58" t="str">
        <f>'ССР Т'!H15</f>
        <v>I-357881</v>
      </c>
      <c r="B3" s="59"/>
      <c r="C3" s="59" t="s">
        <v>144</v>
      </c>
      <c r="D3" s="60" t="s">
        <v>145</v>
      </c>
      <c r="E3" s="61"/>
      <c r="F3" s="58"/>
      <c r="G3" s="62" t="s">
        <v>146</v>
      </c>
      <c r="H3" s="59"/>
      <c r="I3" s="67">
        <v>2026</v>
      </c>
      <c r="J3" s="67">
        <v>3</v>
      </c>
      <c r="K3" s="59"/>
      <c r="L3" s="68"/>
      <c r="M3" s="68"/>
      <c r="N3" s="68"/>
      <c r="O3" s="68">
        <f>SUM('ССР позиции'!Y3:Y18)</f>
        <v>357150.1</v>
      </c>
      <c r="P3" s="68">
        <f>'ССР позиции'!Y19</f>
        <v>78573.02</v>
      </c>
      <c r="Q3" s="68">
        <f>SUM('ССР позиции'!Y3:Y19)</f>
        <v>435723.12</v>
      </c>
    </row>
    <row r="4" spans="12:17">
      <c r="L4" s="69"/>
      <c r="M4" s="69"/>
      <c r="N4" s="69"/>
      <c r="O4" s="69">
        <f>'ССР Т'!H100*1000</f>
        <v>357150.1</v>
      </c>
      <c r="P4" s="69">
        <f>'ССР Т'!H102*1000</f>
        <v>78573.02</v>
      </c>
      <c r="Q4" s="69">
        <f>'ССР Т'!H106*1000</f>
        <v>435723.12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G69" sqref="G69:S69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46.1666666666667" style="6" customWidth="1"/>
    <col min="7" max="7" width="16" style="6" hidden="1" customWidth="1"/>
    <col min="8" max="8" width="13.3333333333333" style="6" hidden="1" customWidth="1"/>
    <col min="9" max="9" width="14" style="6" hidden="1" customWidth="1"/>
    <col min="10" max="10" width="12.8333333333333" style="6" hidden="1" customWidth="1"/>
    <col min="11" max="11" width="13" style="6" hidden="1" customWidth="1"/>
    <col min="12" max="12" width="12.5" style="6" hidden="1" customWidth="1"/>
    <col min="13" max="13" width="12.3333333333333" style="6" hidden="1" customWidth="1"/>
    <col min="14" max="14" width="15.3333333333333" style="6" hidden="1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147</v>
      </c>
      <c r="H1" s="8"/>
      <c r="I1" s="8"/>
      <c r="J1" s="8"/>
      <c r="K1" s="8"/>
      <c r="L1" s="8"/>
      <c r="M1" s="8"/>
      <c r="N1" s="8"/>
      <c r="O1" s="22" t="s">
        <v>148</v>
      </c>
      <c r="P1" s="22"/>
      <c r="Q1" s="22"/>
      <c r="R1" s="22"/>
      <c r="S1" s="22"/>
      <c r="T1" s="22"/>
      <c r="U1" s="22"/>
      <c r="V1" s="22"/>
      <c r="X1" s="38" t="s">
        <v>127</v>
      </c>
      <c r="Y1" s="49"/>
    </row>
    <row r="2" ht="60" spans="1:25">
      <c r="A2" s="9" t="s">
        <v>128</v>
      </c>
      <c r="B2" s="10" t="s">
        <v>129</v>
      </c>
      <c r="C2" s="11" t="s">
        <v>149</v>
      </c>
      <c r="D2" s="11" t="s">
        <v>150</v>
      </c>
      <c r="E2" s="11" t="s">
        <v>27</v>
      </c>
      <c r="F2" s="11" t="s">
        <v>28</v>
      </c>
      <c r="G2" s="12" t="s">
        <v>151</v>
      </c>
      <c r="H2" s="12" t="s">
        <v>152</v>
      </c>
      <c r="I2" s="12" t="s">
        <v>153</v>
      </c>
      <c r="J2" s="23" t="s">
        <v>154</v>
      </c>
      <c r="K2" s="23" t="s">
        <v>155</v>
      </c>
      <c r="L2" s="23" t="s">
        <v>156</v>
      </c>
      <c r="M2" s="23" t="s">
        <v>157</v>
      </c>
      <c r="N2" s="23" t="s">
        <v>158</v>
      </c>
      <c r="O2" s="24" t="s">
        <v>151</v>
      </c>
      <c r="P2" s="25" t="s">
        <v>152</v>
      </c>
      <c r="Q2" s="25" t="s">
        <v>153</v>
      </c>
      <c r="R2" s="24" t="s">
        <v>154</v>
      </c>
      <c r="S2" s="24" t="s">
        <v>155</v>
      </c>
      <c r="T2" s="24" t="s">
        <v>156</v>
      </c>
      <c r="U2" s="24" t="s">
        <v>157</v>
      </c>
      <c r="V2" s="24" t="s">
        <v>158</v>
      </c>
      <c r="X2" s="39" t="s">
        <v>159</v>
      </c>
      <c r="Y2" s="50" t="s">
        <v>160</v>
      </c>
    </row>
    <row r="3" s="5" customFormat="1" hidden="1" spans="1:25">
      <c r="A3" s="13" t="str">
        <f>'ССР Т'!H15</f>
        <v>I-357881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Реконструкция ТП</v>
      </c>
      <c r="G3" s="17"/>
      <c r="H3" s="17"/>
      <c r="I3" s="17"/>
      <c r="J3" s="26"/>
      <c r="K3" s="26"/>
      <c r="L3" s="26"/>
      <c r="M3" s="26"/>
      <c r="N3" s="27"/>
      <c r="O3" s="28">
        <f>'ССР Т'!D25*1000</f>
        <v>0</v>
      </c>
      <c r="P3" s="28">
        <f>'ССР Т'!E25*1000</f>
        <v>0</v>
      </c>
      <c r="Q3" s="28">
        <f>'ССР Т'!F25*1000</f>
        <v>0</v>
      </c>
      <c r="R3" s="40">
        <v>0</v>
      </c>
      <c r="S3" s="40">
        <v>0</v>
      </c>
      <c r="T3" s="40">
        <v>0</v>
      </c>
      <c r="U3" s="40">
        <v>0</v>
      </c>
      <c r="V3" s="41">
        <v>0</v>
      </c>
      <c r="W3" s="42"/>
      <c r="X3" s="43"/>
      <c r="Y3" s="51">
        <f t="shared" ref="Y3:Y19" si="0">SUM(O3:V3)</f>
        <v>0</v>
      </c>
    </row>
    <row r="4" s="5" customFormat="1" hidden="1" spans="1:25">
      <c r="A4" s="13" t="str">
        <f>A3</f>
        <v>I-357881</v>
      </c>
      <c r="B4" s="13"/>
      <c r="C4" s="14">
        <v>2</v>
      </c>
      <c r="D4" s="14">
        <v>1</v>
      </c>
      <c r="E4" s="15" t="str">
        <f>'ССР Т'!B26</f>
        <v>02-01-01</v>
      </c>
      <c r="F4" s="16" t="str">
        <f>'ССР Т'!C26</f>
        <v>Строительство ВЛИ</v>
      </c>
      <c r="G4" s="17"/>
      <c r="H4" s="17"/>
      <c r="I4" s="17"/>
      <c r="J4" s="29"/>
      <c r="K4" s="29"/>
      <c r="L4" s="29"/>
      <c r="M4" s="29"/>
      <c r="N4" s="30"/>
      <c r="O4" s="28">
        <f>'ССР Т'!D26*1000</f>
        <v>0</v>
      </c>
      <c r="P4" s="28">
        <f>'ССР Т'!E26*1000</f>
        <v>0</v>
      </c>
      <c r="Q4" s="28">
        <f>'ССР Т'!F26*1000</f>
        <v>0</v>
      </c>
      <c r="R4" s="44"/>
      <c r="S4" s="44"/>
      <c r="T4" s="44"/>
      <c r="U4" s="44"/>
      <c r="V4" s="45"/>
      <c r="X4" s="43"/>
      <c r="Y4" s="51">
        <f t="shared" si="0"/>
        <v>0</v>
      </c>
    </row>
    <row r="5" s="5" customFormat="1" ht="17.25" customHeight="1" spans="1:25">
      <c r="A5" s="13" t="str">
        <f>A4</f>
        <v>I-357881</v>
      </c>
      <c r="B5" s="13"/>
      <c r="C5" s="14">
        <v>2</v>
      </c>
      <c r="D5" s="14">
        <v>1</v>
      </c>
      <c r="E5" s="15" t="str">
        <f>'ССР Т'!B27</f>
        <v>02-01-01</v>
      </c>
      <c r="F5" s="16" t="str">
        <f>'ССР Т'!C27</f>
        <v>Установка РЩ</v>
      </c>
      <c r="G5" s="17"/>
      <c r="H5" s="17"/>
      <c r="I5" s="17"/>
      <c r="J5" s="29"/>
      <c r="K5" s="29"/>
      <c r="L5" s="29"/>
      <c r="M5" s="29"/>
      <c r="N5" s="30"/>
      <c r="O5" s="28">
        <f>'ССР Т'!D27*1000</f>
        <v>15616.29</v>
      </c>
      <c r="P5" s="28">
        <f>'ССР Т'!E27*1000</f>
        <v>93913.18</v>
      </c>
      <c r="Q5" s="28">
        <f>'ССР Т'!F27*1000</f>
        <v>157720.53</v>
      </c>
      <c r="R5" s="44"/>
      <c r="S5" s="44"/>
      <c r="T5" s="44"/>
      <c r="U5" s="44"/>
      <c r="V5" s="45"/>
      <c r="X5" s="43"/>
      <c r="Y5" s="51">
        <f t="shared" ref="Y5" si="1">SUM(O5:V5)</f>
        <v>267250</v>
      </c>
    </row>
    <row r="6" s="5" customFormat="1" hidden="1" spans="1:25">
      <c r="A6" s="13" t="str">
        <f>A3</f>
        <v>I-357881</v>
      </c>
      <c r="B6" s="13"/>
      <c r="C6" s="14">
        <v>2</v>
      </c>
      <c r="D6" s="14">
        <f t="shared" ref="D5:D19" si="2">IF(A6=A5,D5+1,1)</f>
        <v>2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29"/>
      <c r="K6" s="29"/>
      <c r="L6" s="29"/>
      <c r="M6" s="29"/>
      <c r="N6" s="30"/>
      <c r="O6" s="28">
        <f>'ССР Т'!D28*1000</f>
        <v>0</v>
      </c>
      <c r="P6" s="28">
        <f>'ССР Т'!E28*1000</f>
        <v>0</v>
      </c>
      <c r="Q6" s="28">
        <f>'ССР Т'!F28*1000</f>
        <v>0</v>
      </c>
      <c r="R6" s="44"/>
      <c r="S6" s="44"/>
      <c r="T6" s="44"/>
      <c r="U6" s="44"/>
      <c r="V6" s="45"/>
      <c r="X6" s="43"/>
      <c r="Y6" s="51">
        <f t="shared" si="0"/>
        <v>0</v>
      </c>
    </row>
    <row r="7" s="5" customFormat="1" hidden="1" spans="1:25">
      <c r="A7" s="13" t="str">
        <f>A4</f>
        <v>I-357881</v>
      </c>
      <c r="B7" s="13"/>
      <c r="C7" s="14">
        <v>2</v>
      </c>
      <c r="D7" s="14">
        <f t="shared" si="2"/>
        <v>3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29"/>
      <c r="K7" s="29"/>
      <c r="L7" s="29"/>
      <c r="M7" s="29"/>
      <c r="N7" s="30"/>
      <c r="O7" s="28">
        <f>'ССР Т'!D29*1000</f>
        <v>0</v>
      </c>
      <c r="P7" s="28">
        <f>'ССР Т'!E29*1000</f>
        <v>0</v>
      </c>
      <c r="Q7" s="28">
        <f>'ССР Т'!F29*1000</f>
        <v>0</v>
      </c>
      <c r="R7" s="44"/>
      <c r="S7" s="44"/>
      <c r="T7" s="44"/>
      <c r="U7" s="44"/>
      <c r="V7" s="45"/>
      <c r="X7" s="43"/>
      <c r="Y7" s="51">
        <f t="shared" ref="Y7" si="3">SUM(O7:V7)</f>
        <v>0</v>
      </c>
    </row>
    <row r="8" s="5" customFormat="1" ht="30" spans="1:25">
      <c r="A8" s="13" t="str">
        <f>A3</f>
        <v>I-357881</v>
      </c>
      <c r="B8" s="13"/>
      <c r="C8" s="14">
        <v>8</v>
      </c>
      <c r="D8" s="14">
        <v>2</v>
      </c>
      <c r="E8" s="18" t="s">
        <v>64</v>
      </c>
      <c r="F8" s="16" t="s">
        <v>65</v>
      </c>
      <c r="G8" s="17"/>
      <c r="H8" s="17"/>
      <c r="I8" s="17"/>
      <c r="J8" s="17"/>
      <c r="K8" s="17"/>
      <c r="L8" s="17"/>
      <c r="M8" s="17"/>
      <c r="N8" s="31"/>
      <c r="O8" s="28">
        <f>'ССР Т'!D63*1000</f>
        <v>390.41</v>
      </c>
      <c r="P8" s="28">
        <f>'ССР Т'!E63*1000</f>
        <v>2347.83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46">
        <v>0</v>
      </c>
      <c r="X8" s="43"/>
      <c r="Y8" s="51">
        <f t="shared" si="0"/>
        <v>2738.24</v>
      </c>
    </row>
    <row r="9" s="5" customFormat="1" ht="30" spans="1:25">
      <c r="A9" s="13" t="str">
        <f>A8</f>
        <v>I-357881</v>
      </c>
      <c r="B9" s="13"/>
      <c r="C9" s="14">
        <v>9</v>
      </c>
      <c r="D9" s="14">
        <f t="shared" si="2"/>
        <v>3</v>
      </c>
      <c r="E9" s="18" t="s">
        <v>69</v>
      </c>
      <c r="F9" s="16" t="s">
        <v>161</v>
      </c>
      <c r="G9" s="19"/>
      <c r="H9" s="17"/>
      <c r="I9" s="17"/>
      <c r="J9" s="17"/>
      <c r="K9" s="17"/>
      <c r="L9" s="17"/>
      <c r="M9" s="17"/>
      <c r="N9" s="32"/>
      <c r="O9" s="33">
        <f>'ССР Т'!D69*1000</f>
        <v>304.13</v>
      </c>
      <c r="P9" s="28">
        <f>'ССР Т'!E69*1000</f>
        <v>1828.96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46">
        <v>0</v>
      </c>
      <c r="X9" s="43"/>
      <c r="Y9" s="51">
        <f t="shared" si="0"/>
        <v>2133.09</v>
      </c>
    </row>
    <row r="10" s="5" customFormat="1" hidden="1" spans="1:25">
      <c r="A10" s="13" t="str">
        <f t="shared" ref="A10:A19" si="4">A9</f>
        <v>I-357881</v>
      </c>
      <c r="B10" s="13"/>
      <c r="C10" s="14">
        <v>9</v>
      </c>
      <c r="D10" s="14">
        <f t="shared" si="2"/>
        <v>4</v>
      </c>
      <c r="E10" s="15" t="str">
        <f>'ССР Т'!B70</f>
        <v>09-01-01</v>
      </c>
      <c r="F10" s="16" t="str">
        <f>'ССР Т'!C70</f>
        <v>ПНР ТП</v>
      </c>
      <c r="G10" s="19"/>
      <c r="H10" s="17"/>
      <c r="I10" s="17"/>
      <c r="J10" s="17"/>
      <c r="K10" s="17"/>
      <c r="L10" s="17"/>
      <c r="M10" s="17"/>
      <c r="N10" s="32"/>
      <c r="O10" s="33">
        <v>0</v>
      </c>
      <c r="P10" s="28">
        <v>0</v>
      </c>
      <c r="Q10" s="28">
        <v>0</v>
      </c>
      <c r="R10" s="28">
        <v>0</v>
      </c>
      <c r="S10" s="28">
        <f>'ССР Т'!G70*1000</f>
        <v>0</v>
      </c>
      <c r="T10" s="28">
        <v>0</v>
      </c>
      <c r="U10" s="28">
        <v>0</v>
      </c>
      <c r="V10" s="46">
        <v>0</v>
      </c>
      <c r="X10" s="43"/>
      <c r="Y10" s="51">
        <f t="shared" si="0"/>
        <v>0</v>
      </c>
    </row>
    <row r="11" s="5" customFormat="1" hidden="1" spans="1:25">
      <c r="A11" s="13" t="str">
        <f>A3</f>
        <v>I-357881</v>
      </c>
      <c r="B11" s="13"/>
      <c r="C11" s="14">
        <v>9</v>
      </c>
      <c r="D11" s="14">
        <v>5</v>
      </c>
      <c r="E11" s="15" t="str">
        <f>'ССР Т'!B71</f>
        <v>09-01-01</v>
      </c>
      <c r="F11" s="16" t="str">
        <f>'ССР Т'!C71</f>
        <v>ПНР ВЛИ</v>
      </c>
      <c r="G11" s="19"/>
      <c r="H11" s="17"/>
      <c r="I11" s="17"/>
      <c r="J11" s="17"/>
      <c r="K11" s="17"/>
      <c r="L11" s="17"/>
      <c r="M11" s="17"/>
      <c r="N11" s="32"/>
      <c r="O11" s="33"/>
      <c r="P11" s="28"/>
      <c r="Q11" s="28"/>
      <c r="R11" s="28"/>
      <c r="S11" s="28">
        <f>'ССР Т'!G71*1000</f>
        <v>0</v>
      </c>
      <c r="T11" s="28"/>
      <c r="U11" s="28"/>
      <c r="V11" s="46"/>
      <c r="X11" s="43"/>
      <c r="Y11" s="51">
        <f t="shared" si="0"/>
        <v>0</v>
      </c>
    </row>
    <row r="12" s="5" customFormat="1" spans="1:25">
      <c r="A12" s="13" t="str">
        <f>A3</f>
        <v>I-357881</v>
      </c>
      <c r="B12" s="13"/>
      <c r="C12" s="14">
        <v>9</v>
      </c>
      <c r="D12" s="14">
        <v>4</v>
      </c>
      <c r="E12" s="15" t="str">
        <f>'ССР Т'!B72</f>
        <v>09-01-01</v>
      </c>
      <c r="F12" s="16" t="str">
        <f>'ССР Т'!C72</f>
        <v>ПНР РЩ</v>
      </c>
      <c r="G12" s="19"/>
      <c r="H12" s="17"/>
      <c r="I12" s="17"/>
      <c r="J12" s="17"/>
      <c r="K12" s="17"/>
      <c r="L12" s="17"/>
      <c r="M12" s="17"/>
      <c r="N12" s="32"/>
      <c r="O12" s="33"/>
      <c r="P12" s="28"/>
      <c r="Q12" s="28"/>
      <c r="R12" s="28"/>
      <c r="S12" s="28">
        <f>'ССР Т'!G72*1000</f>
        <v>46473.45</v>
      </c>
      <c r="T12" s="28"/>
      <c r="U12" s="28"/>
      <c r="V12" s="46"/>
      <c r="X12" s="43"/>
      <c r="Y12" s="51">
        <f t="shared" si="0"/>
        <v>46473.45</v>
      </c>
    </row>
    <row r="13" s="5" customFormat="1" hidden="1" spans="1:25">
      <c r="A13" s="13" t="str">
        <f>A3</f>
        <v>I-357881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2"/>
      <c r="O13" s="33"/>
      <c r="P13" s="28"/>
      <c r="Q13" s="28"/>
      <c r="R13" s="28"/>
      <c r="S13" s="28">
        <f>'ССР Т'!G73*1000</f>
        <v>0</v>
      </c>
      <c r="T13" s="28"/>
      <c r="U13" s="28"/>
      <c r="V13" s="46"/>
      <c r="X13" s="43"/>
      <c r="Y13" s="51">
        <f t="shared" si="0"/>
        <v>0</v>
      </c>
    </row>
    <row r="14" s="5" customFormat="1" hidden="1" spans="1:25">
      <c r="A14" s="13" t="str">
        <f>A4</f>
        <v>I-357881</v>
      </c>
      <c r="B14" s="13"/>
      <c r="C14" s="14">
        <v>9</v>
      </c>
      <c r="D14" s="14">
        <f>IF(A14=A12,D12+1,1)</f>
        <v>5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2"/>
      <c r="O14" s="33"/>
      <c r="P14" s="28"/>
      <c r="Q14" s="28"/>
      <c r="R14" s="28"/>
      <c r="S14" s="28">
        <f>'ССР Т'!G74*1000</f>
        <v>0</v>
      </c>
      <c r="T14" s="28"/>
      <c r="U14" s="28"/>
      <c r="V14" s="46"/>
      <c r="X14" s="43"/>
      <c r="Y14" s="51">
        <f t="shared" ref="Y14" si="5">SUM(O14:V14)</f>
        <v>0</v>
      </c>
    </row>
    <row r="15" s="5" customFormat="1" ht="45" spans="1:25">
      <c r="A15" s="13" t="str">
        <f>A10</f>
        <v>I-357881</v>
      </c>
      <c r="B15" s="13"/>
      <c r="C15" s="14">
        <v>10</v>
      </c>
      <c r="D15" s="14">
        <v>5</v>
      </c>
      <c r="E15" s="18" t="s">
        <v>162</v>
      </c>
      <c r="F15" s="16" t="s">
        <v>163</v>
      </c>
      <c r="G15" s="19"/>
      <c r="H15" s="17"/>
      <c r="I15" s="17"/>
      <c r="J15" s="17"/>
      <c r="K15" s="17"/>
      <c r="L15" s="17"/>
      <c r="M15" s="17"/>
      <c r="N15" s="32"/>
      <c r="O15" s="33">
        <v>0</v>
      </c>
      <c r="P15" s="28">
        <v>0</v>
      </c>
      <c r="Q15" s="28">
        <v>0</v>
      </c>
      <c r="R15" s="28">
        <v>0</v>
      </c>
      <c r="S15" s="28">
        <v>0</v>
      </c>
      <c r="T15" s="28">
        <f>'ССР Т'!H78*1000</f>
        <v>6817.93</v>
      </c>
      <c r="U15" s="28">
        <v>0</v>
      </c>
      <c r="V15" s="46">
        <v>0</v>
      </c>
      <c r="X15" s="43"/>
      <c r="Y15" s="51">
        <f t="shared" si="0"/>
        <v>6817.93</v>
      </c>
    </row>
    <row r="16" s="5" customFormat="1" ht="44.25" customHeight="1" spans="1:25">
      <c r="A16" s="13" t="str">
        <f t="shared" si="4"/>
        <v>I-357881</v>
      </c>
      <c r="B16" s="13"/>
      <c r="C16" s="14">
        <v>10</v>
      </c>
      <c r="D16" s="14">
        <f t="shared" si="2"/>
        <v>6</v>
      </c>
      <c r="E16" s="18" t="str">
        <f>'ССР Т'!B79</f>
        <v>Приказ ПАО "Россети Московский регион" № 612 от 01.07.2025г.</v>
      </c>
      <c r="F16" s="16" t="str">
        <f>'ССР Т'!C79</f>
        <v>Содержание службы заказчика-застройщика  строительства 3,93% (итого гл.1-9, 12)</v>
      </c>
      <c r="G16" s="19"/>
      <c r="H16" s="17"/>
      <c r="I16" s="17"/>
      <c r="J16" s="17"/>
      <c r="K16" s="17"/>
      <c r="L16" s="17"/>
      <c r="M16" s="17"/>
      <c r="N16" s="32"/>
      <c r="O16" s="34">
        <v>0</v>
      </c>
      <c r="P16" s="35">
        <v>0</v>
      </c>
      <c r="Q16" s="35">
        <v>0</v>
      </c>
      <c r="R16" s="35">
        <v>0</v>
      </c>
      <c r="S16" s="35">
        <v>0</v>
      </c>
      <c r="T16" s="35">
        <f>'ССР Т'!G79*1000</f>
        <v>12854.07</v>
      </c>
      <c r="U16" s="35">
        <v>0</v>
      </c>
      <c r="V16" s="46">
        <v>0</v>
      </c>
      <c r="X16" s="43"/>
      <c r="Y16" s="51">
        <f t="shared" si="0"/>
        <v>12854.07</v>
      </c>
    </row>
    <row r="17" s="5" customFormat="1" spans="1:25">
      <c r="A17" s="13" t="str">
        <f t="shared" si="4"/>
        <v>I-357881</v>
      </c>
      <c r="B17" s="13"/>
      <c r="C17" s="14">
        <v>12</v>
      </c>
      <c r="D17" s="14">
        <f t="shared" si="2"/>
        <v>7</v>
      </c>
      <c r="E17" s="18" t="str">
        <f>'ССР Т'!B90</f>
        <v>Договор № 40-26-Ф-Ст от 10.03.2026</v>
      </c>
      <c r="F17" s="16" t="s">
        <v>164</v>
      </c>
      <c r="G17" s="19"/>
      <c r="H17" s="17"/>
      <c r="I17" s="17"/>
      <c r="J17" s="17"/>
      <c r="K17" s="17"/>
      <c r="L17" s="17"/>
      <c r="M17" s="17"/>
      <c r="N17" s="32"/>
      <c r="O17" s="34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>'ССР Т'!G90*1000</f>
        <v>8480.89</v>
      </c>
      <c r="V17" s="46">
        <v>0</v>
      </c>
      <c r="X17" s="43"/>
      <c r="Y17" s="51">
        <f t="shared" si="0"/>
        <v>8480.89</v>
      </c>
    </row>
    <row r="18" s="5" customFormat="1" ht="30" spans="1:25">
      <c r="A18" s="13" t="str">
        <f t="shared" si="4"/>
        <v>I-357881</v>
      </c>
      <c r="B18" s="13"/>
      <c r="C18" s="14">
        <v>13</v>
      </c>
      <c r="D18" s="14">
        <f t="shared" si="2"/>
        <v>8</v>
      </c>
      <c r="E18" s="18" t="s">
        <v>165</v>
      </c>
      <c r="F18" s="16" t="str">
        <f>'ССР Т'!C96</f>
        <v>Непредвиденные затраты 3%</v>
      </c>
      <c r="G18" s="20"/>
      <c r="H18" s="20"/>
      <c r="I18" s="20"/>
      <c r="J18" s="20"/>
      <c r="K18" s="20"/>
      <c r="L18" s="20"/>
      <c r="M18" s="20"/>
      <c r="N18" s="20"/>
      <c r="O18" s="34">
        <f>ROUND(SUM(O3:O17)*0.03,2)*0</f>
        <v>0</v>
      </c>
      <c r="P18" s="34">
        <f t="shared" ref="P18:V18" si="6">ROUND(SUM(P3:P17)*0.03,2)*0</f>
        <v>0</v>
      </c>
      <c r="Q18" s="34">
        <f t="shared" si="6"/>
        <v>0</v>
      </c>
      <c r="R18" s="34">
        <f>'ССР Т'!H96*1000</f>
        <v>10402.43</v>
      </c>
      <c r="S18" s="34">
        <f t="shared" si="6"/>
        <v>0</v>
      </c>
      <c r="T18" s="34">
        <f t="shared" si="6"/>
        <v>0</v>
      </c>
      <c r="U18" s="34">
        <f t="shared" si="6"/>
        <v>0</v>
      </c>
      <c r="V18" s="34">
        <f t="shared" si="6"/>
        <v>0</v>
      </c>
      <c r="X18" s="43"/>
      <c r="Y18" s="51">
        <f t="shared" si="0"/>
        <v>10402.43</v>
      </c>
    </row>
    <row r="19" s="5" customFormat="1" ht="15.75" spans="1:25">
      <c r="A19" s="13" t="str">
        <f t="shared" si="4"/>
        <v>I-357881</v>
      </c>
      <c r="B19" s="13"/>
      <c r="C19" s="14">
        <v>14</v>
      </c>
      <c r="D19" s="14">
        <f t="shared" si="2"/>
        <v>9</v>
      </c>
      <c r="E19" s="18" t="s">
        <v>166</v>
      </c>
      <c r="F19" s="16" t="s">
        <v>166</v>
      </c>
      <c r="G19" s="21"/>
      <c r="H19" s="21"/>
      <c r="I19" s="21"/>
      <c r="J19" s="21"/>
      <c r="K19" s="21"/>
      <c r="L19" s="21"/>
      <c r="M19" s="21"/>
      <c r="N19" s="21"/>
      <c r="O19" s="36">
        <f>ROUND(SUMIFS(O$3:O$296915,$A$3:$A$296915,$A19,$C$3:$C$296915,"&lt;&gt;14")*0.22,2)</f>
        <v>3588.38</v>
      </c>
      <c r="P19" s="36">
        <f>ROUND(SUMIFS(P$3:P$296915,$A$3:$A$296915,$A19,$C$3:$C$296915,"&lt;&gt;14")*0.22,2)</f>
        <v>21579.79</v>
      </c>
      <c r="Q19" s="36">
        <f>ROUND(SUMIFS(Q$3:Q$296915,$A$3:$A$296915,$A19,$C$3:$C$296915,"&lt;&gt;14")*0.22,2)</f>
        <v>34698.52</v>
      </c>
      <c r="R19" s="36">
        <f>ROUND(SUMIFS(R$3:R$296915,$A$3:$A$296915,$A19,$C$3:$C$296915,"&lt;&gt;14")*0.22,2)</f>
        <v>2288.53</v>
      </c>
      <c r="S19" s="36">
        <f>ROUND(SUMIFS(S$3:S$296915,$A$3:$A$296915,$A19,$C$3:$C$296915,"&lt;&gt;14")*0.22,2)</f>
        <v>10224.16</v>
      </c>
      <c r="T19" s="36">
        <f>ROUND(SUMIFS(T$3:T$296915,$A$3:$A$296915,$A19,$C$3:$C$296915,"&lt;&gt;14")*0.22,2)</f>
        <v>4327.84</v>
      </c>
      <c r="U19" s="36">
        <f>ROUND(SUMIFS(U$3:U$296915,$A$3:$A$296915,$A19,$C$3:$C$296915,"&lt;&gt;14")*0.22,2)</f>
        <v>1865.8</v>
      </c>
      <c r="V19" s="47">
        <f>ROUND(SUMIFS(V$3:V$296915,$A$3:$A$296915,$A19,$C$3:$C$296915,"&lt;&gt;14")*0.22,2)</f>
        <v>0</v>
      </c>
      <c r="X19" s="43"/>
      <c r="Y19" s="51">
        <f t="shared" si="0"/>
        <v>78573.02</v>
      </c>
    </row>
    <row r="20" spans="15:25">
      <c r="O20" s="37"/>
      <c r="P20" s="37"/>
      <c r="Q20" s="37"/>
      <c r="R20" s="37"/>
      <c r="S20" s="37"/>
      <c r="T20" s="37"/>
      <c r="U20" s="37"/>
      <c r="X20" s="48"/>
      <c r="Y20" s="48">
        <f>'ССР Т'!H105*1000</f>
        <v>78573.02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G69" sqref="G69:S69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167</v>
      </c>
      <c r="D1" s="4" t="s">
        <v>168</v>
      </c>
      <c r="E1" s="1" t="s">
        <v>169</v>
      </c>
    </row>
    <row r="2" spans="1:5">
      <c r="A2" s="2" t="s">
        <v>170</v>
      </c>
      <c r="B2" s="2" t="s">
        <v>171</v>
      </c>
      <c r="D2" s="3">
        <v>1</v>
      </c>
      <c r="E2" s="2" t="s">
        <v>35</v>
      </c>
    </row>
    <row r="3" spans="1:5">
      <c r="A3" s="2" t="s">
        <v>144</v>
      </c>
      <c r="B3" s="2" t="s">
        <v>172</v>
      </c>
      <c r="D3" s="3">
        <v>2</v>
      </c>
      <c r="E3" s="2" t="s">
        <v>37</v>
      </c>
    </row>
    <row r="4" spans="4:5">
      <c r="D4" s="3">
        <v>3</v>
      </c>
      <c r="E4" s="2" t="s">
        <v>48</v>
      </c>
    </row>
    <row r="5" spans="4:5">
      <c r="D5" s="3">
        <v>4</v>
      </c>
      <c r="E5" s="2" t="s">
        <v>51</v>
      </c>
    </row>
    <row r="6" spans="4:5">
      <c r="D6" s="3">
        <v>5</v>
      </c>
      <c r="E6" s="2" t="s">
        <v>54</v>
      </c>
    </row>
    <row r="7" spans="4:5">
      <c r="D7" s="3">
        <v>6</v>
      </c>
      <c r="E7" s="2" t="s">
        <v>57</v>
      </c>
    </row>
    <row r="8" spans="4:5">
      <c r="D8" s="3">
        <v>7</v>
      </c>
      <c r="E8" s="2" t="s">
        <v>60</v>
      </c>
    </row>
    <row r="9" spans="4:5">
      <c r="D9" s="3">
        <v>8</v>
      </c>
      <c r="E9" s="2" t="s">
        <v>63</v>
      </c>
    </row>
    <row r="10" spans="4:5">
      <c r="D10" s="3">
        <v>9</v>
      </c>
      <c r="E10" s="2" t="s">
        <v>68</v>
      </c>
    </row>
    <row r="11" spans="4:5">
      <c r="D11" s="3">
        <v>10</v>
      </c>
      <c r="E11" s="2" t="s">
        <v>83</v>
      </c>
    </row>
    <row r="12" spans="4:5">
      <c r="D12" s="3">
        <v>11</v>
      </c>
      <c r="E12" s="2" t="s">
        <v>90</v>
      </c>
    </row>
    <row r="13" spans="4:5">
      <c r="D13" s="3">
        <v>12</v>
      </c>
      <c r="E13" s="2" t="s">
        <v>92</v>
      </c>
    </row>
    <row r="14" spans="4:5">
      <c r="D14" s="3">
        <v>13</v>
      </c>
      <c r="E14" s="2" t="s">
        <v>100</v>
      </c>
    </row>
    <row r="15" spans="4:5">
      <c r="D15" s="3">
        <v>14</v>
      </c>
      <c r="E15" s="2" t="s">
        <v>107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2024-07-11T12:45:00Z</cp:lastPrinted>
  <dcterms:modified xsi:type="dcterms:W3CDTF">2026-04-02T12:36:31Z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F939E2C75B6E4D979228990EB5333C67_12</vt:lpwstr>
  </property>
  <property fmtid="{D5CDD505-2E9C-101B-9397-08002B2CF9AE}" pid="3" name="KSOProductBuildVer">
    <vt:lpwstr>1049-12.2.0.23196</vt:lpwstr>
  </property>
</Properties>
</file>