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rsk-010\Gidroremont-VKK\Филиалы\Жигулевский_филиал\ОСРППР\2. ГОП\4 поставка\11. ДОГОВОРЫ ПОСТАВКИ 2026\.ГКПЗ 2026\ЭТО\2027\"/>
    </mc:Choice>
  </mc:AlternateContent>
  <bookViews>
    <workbookView xWindow="0" yWindow="0" windowWidth="16380" windowHeight="8190" tabRatio="500" firstSheet="5" activeTab="5"/>
  </bookViews>
  <sheets>
    <sheet name="не брать" sheetId="1" state="hidden" r:id="rId1"/>
    <sheet name="общий расчет1 " sheetId="2" state="hidden" r:id="rId2"/>
    <sheet name="общий расчет(до РГС)" sheetId="3" state="hidden" r:id="rId3"/>
    <sheet name="общий расчет (после РГС)..." sheetId="4" state="hidden" r:id="rId4"/>
    <sheet name="Материалы Подряд.+Давальч.мат" sheetId="5" state="hidden" r:id="rId5"/>
    <sheet name="Матер. и Оборуд" sheetId="6" r:id="rId6"/>
    <sheet name="Оборудование" sheetId="7" state="hidden" r:id="rId7"/>
  </sheets>
  <definedNames>
    <definedName name="_FilterDatabase" localSheetId="5">'Матер. и Оборуд'!$B$9:$E$326</definedName>
    <definedName name="_FilterDatabase" localSheetId="4">'Материалы Подряд.+Давальч.мат'!$B$9:$Q$371</definedName>
    <definedName name="_FilterDatabase" localSheetId="0">'не брать'!$B$9:$Q$333</definedName>
    <definedName name="_FilterDatabase" localSheetId="6">Оборудование!$B$9:$R$63</definedName>
    <definedName name="_FilterDatabase" localSheetId="3">'общий расчет (после РГС)...'!$B$9:$P$335</definedName>
    <definedName name="_FilterDatabase" localSheetId="2">'общий расчет(до РГС)'!$B$9:$P$335</definedName>
    <definedName name="_FilterDatabase" localSheetId="1">'общий расчет1 '!$B$9:$Q$335</definedName>
    <definedName name="_ftn1" localSheetId="5">'Матер. и Оборуд'!#REF!</definedName>
    <definedName name="_ftn1" localSheetId="4">'Материалы Подряд.+Давальч.мат'!#REF!</definedName>
    <definedName name="_ftn1" localSheetId="0">'не брать'!#REF!</definedName>
    <definedName name="_ftn1" localSheetId="6">Оборудование!#REF!</definedName>
    <definedName name="_ftn1" localSheetId="3">'общий расчет (после РГС)...'!#REF!</definedName>
    <definedName name="_ftn1" localSheetId="2">'общий расчет(до РГС)'!#REF!</definedName>
    <definedName name="_ftn1" localSheetId="1">'общий расчет1 '!#REF!</definedName>
    <definedName name="_ftnref1" localSheetId="5">'Матер. и Оборуд'!#REF!</definedName>
    <definedName name="_ftnref1" localSheetId="4">'Материалы Подряд.+Давальч.мат'!#REF!</definedName>
    <definedName name="_ftnref1" localSheetId="0">'не брать'!$B$337</definedName>
    <definedName name="_ftnref1" localSheetId="6">Оборудование!#REF!</definedName>
    <definedName name="_ftnref1" localSheetId="3">'общий расчет (после РГС)...'!$B$339</definedName>
    <definedName name="_ftnref1" localSheetId="2">'общий расчет(до РГС)'!$B$339</definedName>
    <definedName name="_ftnref1" localSheetId="1">'общий расчет1 '!$B$339</definedName>
    <definedName name="_xlnm._FilterDatabase" localSheetId="5" hidden="1">'Матер. и Оборуд'!$A$10:$E$326</definedName>
    <definedName name="_xlnm._FilterDatabase" localSheetId="4" hidden="1">'Материалы Подряд.+Давальч.мат'!$A$10:$S$370</definedName>
    <definedName name="_xlnm._FilterDatabase" localSheetId="0" hidden="1">'не брать'!$A$10:$S$332</definedName>
    <definedName name="_xlnm._FilterDatabase" localSheetId="6" hidden="1">Оборудование!$A$10:$T$62</definedName>
    <definedName name="_xlnm._FilterDatabase" localSheetId="3" hidden="1">'общий расчет (после РГС)...'!$A$10:$R$334</definedName>
    <definedName name="_xlnm._FilterDatabase" localSheetId="2" hidden="1">'общий расчет(до РГС)'!$A$10:$R$334</definedName>
    <definedName name="_xlnm._FilterDatabase" localSheetId="1" hidden="1">'общий расчет1 '!$A$10:$S$334</definedName>
    <definedName name="Print_Area" localSheetId="5">'Матер. и Оборуд'!$A$1:$E$326</definedName>
    <definedName name="Print_Area" localSheetId="4">'Материалы Подряд.+Давальч.мат'!$A$1:$Q$371</definedName>
    <definedName name="Print_Area" localSheetId="0">'не брать'!$A$1:$Q$333</definedName>
    <definedName name="Print_Area" localSheetId="6">Оборудование!$A$1:$R$63</definedName>
    <definedName name="Print_Area" localSheetId="3">'общий расчет (после РГС)...'!$A$1:$P$335</definedName>
    <definedName name="Print_Area" localSheetId="2">'общий расчет(до РГС)'!$A$1:$P$335</definedName>
    <definedName name="Print_Area" localSheetId="1">'общий расчет1 '!$A$1:$Q$335</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S62" i="7" l="1"/>
  <c r="Q62" i="7"/>
  <c r="W62" i="7" s="1"/>
  <c r="P62" i="7"/>
  <c r="M62" i="7"/>
  <c r="J62" i="7"/>
  <c r="S61" i="7"/>
  <c r="Q61" i="7"/>
  <c r="P61" i="7"/>
  <c r="M61" i="7"/>
  <c r="J61" i="7"/>
  <c r="S60" i="7"/>
  <c r="Q60" i="7"/>
  <c r="R60" i="7" s="1"/>
  <c r="P60" i="7"/>
  <c r="M60" i="7"/>
  <c r="J60" i="7"/>
  <c r="X59" i="7"/>
  <c r="S59" i="7"/>
  <c r="R59" i="7"/>
  <c r="Q59" i="7"/>
  <c r="W59" i="7" s="1"/>
  <c r="P59" i="7"/>
  <c r="M59" i="7"/>
  <c r="J59" i="7"/>
  <c r="S58" i="7"/>
  <c r="Q58" i="7"/>
  <c r="P58" i="7"/>
  <c r="M58" i="7"/>
  <c r="J58" i="7"/>
  <c r="S57" i="7"/>
  <c r="Q57" i="7"/>
  <c r="W57" i="7" s="1"/>
  <c r="P57" i="7"/>
  <c r="M57" i="7"/>
  <c r="J57" i="7"/>
  <c r="W56" i="7"/>
  <c r="S56" i="7"/>
  <c r="Q56" i="7"/>
  <c r="V56" i="7" s="1"/>
  <c r="P56" i="7"/>
  <c r="M56" i="7"/>
  <c r="J56" i="7"/>
  <c r="S55" i="7"/>
  <c r="R55" i="7"/>
  <c r="Q55" i="7"/>
  <c r="W55" i="7" s="1"/>
  <c r="P55" i="7"/>
  <c r="M55" i="7"/>
  <c r="J55" i="7"/>
  <c r="S54" i="7"/>
  <c r="R54" i="7"/>
  <c r="Q54" i="7"/>
  <c r="W54" i="7" s="1"/>
  <c r="P54" i="7"/>
  <c r="M54" i="7"/>
  <c r="J54" i="7"/>
  <c r="S53" i="7"/>
  <c r="Q53" i="7"/>
  <c r="P53" i="7"/>
  <c r="M53" i="7"/>
  <c r="J53" i="7"/>
  <c r="S52" i="7"/>
  <c r="Q52" i="7"/>
  <c r="P52" i="7"/>
  <c r="M52" i="7"/>
  <c r="J52" i="7"/>
  <c r="S51" i="7"/>
  <c r="R51" i="7"/>
  <c r="Q51" i="7"/>
  <c r="W51" i="7" s="1"/>
  <c r="P51" i="7"/>
  <c r="M51" i="7"/>
  <c r="J51" i="7"/>
  <c r="S50" i="7"/>
  <c r="R50" i="7"/>
  <c r="Q50" i="7"/>
  <c r="W50" i="7" s="1"/>
  <c r="P50" i="7"/>
  <c r="M50" i="7"/>
  <c r="J50" i="7"/>
  <c r="S49" i="7"/>
  <c r="Q49" i="7"/>
  <c r="W49" i="7" s="1"/>
  <c r="P49" i="7"/>
  <c r="M49" i="7"/>
  <c r="J49" i="7"/>
  <c r="W48" i="7"/>
  <c r="S48" i="7"/>
  <c r="Q48" i="7"/>
  <c r="V48" i="7" s="1"/>
  <c r="P48" i="7"/>
  <c r="M48" i="7"/>
  <c r="J48" i="7"/>
  <c r="S47" i="7"/>
  <c r="Q47" i="7"/>
  <c r="P47" i="7"/>
  <c r="M47" i="7"/>
  <c r="J47" i="7"/>
  <c r="S46" i="7"/>
  <c r="Q46" i="7"/>
  <c r="P46" i="7"/>
  <c r="M46" i="7"/>
  <c r="J46" i="7"/>
  <c r="S45" i="7"/>
  <c r="Q45" i="7"/>
  <c r="P45" i="7"/>
  <c r="M45" i="7"/>
  <c r="J45" i="7"/>
  <c r="S44" i="7"/>
  <c r="Q44" i="7"/>
  <c r="X44" i="7" s="1"/>
  <c r="P44" i="7"/>
  <c r="M44" i="7"/>
  <c r="J44" i="7"/>
  <c r="S43" i="7"/>
  <c r="Q43" i="7"/>
  <c r="W43" i="7" s="1"/>
  <c r="P43" i="7"/>
  <c r="M43" i="7"/>
  <c r="J43" i="7"/>
  <c r="S42" i="7"/>
  <c r="Q42" i="7"/>
  <c r="W42" i="7" s="1"/>
  <c r="P42" i="7"/>
  <c r="M42" i="7"/>
  <c r="J42" i="7"/>
  <c r="W41" i="7"/>
  <c r="V41" i="7"/>
  <c r="S41" i="7"/>
  <c r="Q41" i="7"/>
  <c r="P41" i="7"/>
  <c r="M41" i="7"/>
  <c r="J41" i="7"/>
  <c r="S40" i="7"/>
  <c r="Q40" i="7"/>
  <c r="V40" i="7" s="1"/>
  <c r="P40" i="7"/>
  <c r="M40" i="7"/>
  <c r="J40" i="7"/>
  <c r="S39" i="7"/>
  <c r="Q39" i="7"/>
  <c r="W39" i="7" s="1"/>
  <c r="P39" i="7"/>
  <c r="M39" i="7"/>
  <c r="J39" i="7"/>
  <c r="S38" i="7"/>
  <c r="Q38" i="7"/>
  <c r="W38" i="7" s="1"/>
  <c r="P38" i="7"/>
  <c r="M38" i="7"/>
  <c r="J38" i="7"/>
  <c r="S37" i="7"/>
  <c r="Q37" i="7"/>
  <c r="P37" i="7"/>
  <c r="M37" i="7"/>
  <c r="J37" i="7"/>
  <c r="S36" i="7"/>
  <c r="R36" i="7"/>
  <c r="Q36" i="7"/>
  <c r="W36" i="7" s="1"/>
  <c r="P36" i="7"/>
  <c r="M36" i="7"/>
  <c r="J36" i="7"/>
  <c r="S35" i="7"/>
  <c r="Q35" i="7"/>
  <c r="V35" i="7" s="1"/>
  <c r="P35" i="7"/>
  <c r="M35" i="7"/>
  <c r="J35" i="7"/>
  <c r="S34" i="7"/>
  <c r="Q34" i="7"/>
  <c r="W34" i="7" s="1"/>
  <c r="P34" i="7"/>
  <c r="M34" i="7"/>
  <c r="J34" i="7"/>
  <c r="S33" i="7"/>
  <c r="Q33" i="7"/>
  <c r="P33" i="7"/>
  <c r="M33" i="7"/>
  <c r="J33" i="7"/>
  <c r="S32" i="7"/>
  <c r="Q32" i="7"/>
  <c r="P32" i="7"/>
  <c r="M32" i="7"/>
  <c r="J32" i="7"/>
  <c r="S31" i="7"/>
  <c r="Q31" i="7"/>
  <c r="V31" i="7" s="1"/>
  <c r="P31" i="7"/>
  <c r="M31" i="7"/>
  <c r="J31" i="7"/>
  <c r="S30" i="7"/>
  <c r="Q30" i="7"/>
  <c r="W30" i="7" s="1"/>
  <c r="P30" i="7"/>
  <c r="M30" i="7"/>
  <c r="J30" i="7"/>
  <c r="S29" i="7"/>
  <c r="Q29" i="7"/>
  <c r="P29" i="7"/>
  <c r="M29" i="7"/>
  <c r="J29" i="7"/>
  <c r="S28" i="7"/>
  <c r="R28" i="7"/>
  <c r="Q28" i="7"/>
  <c r="W28" i="7" s="1"/>
  <c r="P28" i="7"/>
  <c r="M28" i="7"/>
  <c r="J28" i="7"/>
  <c r="S27" i="7"/>
  <c r="Q27" i="7"/>
  <c r="V27" i="7" s="1"/>
  <c r="P27" i="7"/>
  <c r="M27" i="7"/>
  <c r="J27" i="7"/>
  <c r="S26" i="7"/>
  <c r="Q26" i="7"/>
  <c r="W26" i="7" s="1"/>
  <c r="P26" i="7"/>
  <c r="M26" i="7"/>
  <c r="J26" i="7"/>
  <c r="S25" i="7"/>
  <c r="Q25" i="7"/>
  <c r="P25" i="7"/>
  <c r="M25" i="7"/>
  <c r="J25" i="7"/>
  <c r="S24" i="7"/>
  <c r="Q24" i="7"/>
  <c r="P24" i="7"/>
  <c r="M24" i="7"/>
  <c r="J24" i="7"/>
  <c r="S23" i="7"/>
  <c r="Q23" i="7"/>
  <c r="V23" i="7" s="1"/>
  <c r="P23" i="7"/>
  <c r="M23" i="7"/>
  <c r="J23" i="7"/>
  <c r="S22" i="7"/>
  <c r="Q22" i="7"/>
  <c r="W22" i="7" s="1"/>
  <c r="P22" i="7"/>
  <c r="M22" i="7"/>
  <c r="J22" i="7"/>
  <c r="S21" i="7"/>
  <c r="Q21" i="7"/>
  <c r="P21" i="7"/>
  <c r="M21" i="7"/>
  <c r="J21" i="7"/>
  <c r="S20" i="7"/>
  <c r="Q20" i="7"/>
  <c r="W20" i="7" s="1"/>
  <c r="P20" i="7"/>
  <c r="M20" i="7"/>
  <c r="J20" i="7"/>
  <c r="S19" i="7"/>
  <c r="Q19" i="7"/>
  <c r="P19" i="7"/>
  <c r="M19" i="7"/>
  <c r="J19" i="7"/>
  <c r="S18" i="7"/>
  <c r="Q18" i="7"/>
  <c r="P18" i="7"/>
  <c r="M18" i="7"/>
  <c r="J18" i="7"/>
  <c r="S17" i="7"/>
  <c r="Q17" i="7"/>
  <c r="P17" i="7"/>
  <c r="M17" i="7"/>
  <c r="J17" i="7"/>
  <c r="S16" i="7"/>
  <c r="R16" i="7"/>
  <c r="Q16" i="7"/>
  <c r="W16" i="7" s="1"/>
  <c r="P16" i="7"/>
  <c r="M16" i="7"/>
  <c r="J16" i="7"/>
  <c r="S15" i="7"/>
  <c r="Q15" i="7"/>
  <c r="V15" i="7" s="1"/>
  <c r="P15" i="7"/>
  <c r="M15" i="7"/>
  <c r="J15" i="7"/>
  <c r="S14" i="7"/>
  <c r="Q14" i="7"/>
  <c r="W14" i="7" s="1"/>
  <c r="P14" i="7"/>
  <c r="M14" i="7"/>
  <c r="J14" i="7"/>
  <c r="S13" i="7"/>
  <c r="Q13" i="7"/>
  <c r="P13" i="7"/>
  <c r="M13" i="7"/>
  <c r="J13" i="7"/>
  <c r="S12" i="7"/>
  <c r="Q12" i="7"/>
  <c r="W12" i="7" s="1"/>
  <c r="P12" i="7"/>
  <c r="M12" i="7"/>
  <c r="J12" i="7"/>
  <c r="E93" i="6"/>
  <c r="E66" i="6"/>
  <c r="E42" i="6"/>
  <c r="G370" i="5"/>
  <c r="H370" i="5" s="1"/>
  <c r="G369" i="5"/>
  <c r="H369" i="5" s="1"/>
  <c r="G368" i="5"/>
  <c r="H368" i="5" s="1"/>
  <c r="G367" i="5"/>
  <c r="H367" i="5" s="1"/>
  <c r="G366" i="5"/>
  <c r="H366" i="5" s="1"/>
  <c r="G365" i="5"/>
  <c r="H365" i="5" s="1"/>
  <c r="G364" i="5"/>
  <c r="H364" i="5" s="1"/>
  <c r="G363" i="5"/>
  <c r="H363" i="5" s="1"/>
  <c r="G362" i="5"/>
  <c r="H362" i="5" s="1"/>
  <c r="G361" i="5"/>
  <c r="H361" i="5" s="1"/>
  <c r="G360" i="5"/>
  <c r="H360" i="5" s="1"/>
  <c r="G359" i="5"/>
  <c r="H359" i="5" s="1"/>
  <c r="G358" i="5"/>
  <c r="H358" i="5" s="1"/>
  <c r="G357" i="5"/>
  <c r="H357" i="5" s="1"/>
  <c r="G356" i="5"/>
  <c r="H356" i="5" s="1"/>
  <c r="G355" i="5"/>
  <c r="H355" i="5" s="1"/>
  <c r="G354" i="5"/>
  <c r="H354" i="5" s="1"/>
  <c r="G353" i="5"/>
  <c r="H353" i="5" s="1"/>
  <c r="G352" i="5"/>
  <c r="H352" i="5" s="1"/>
  <c r="G351" i="5"/>
  <c r="H351" i="5" s="1"/>
  <c r="G350" i="5"/>
  <c r="H350" i="5" s="1"/>
  <c r="G349" i="5"/>
  <c r="H349" i="5" s="1"/>
  <c r="G348" i="5"/>
  <c r="H348" i="5" s="1"/>
  <c r="G347" i="5"/>
  <c r="H347" i="5" s="1"/>
  <c r="G346" i="5"/>
  <c r="H346" i="5" s="1"/>
  <c r="G345" i="5"/>
  <c r="H345" i="5" s="1"/>
  <c r="G344" i="5"/>
  <c r="H344" i="5" s="1"/>
  <c r="G343" i="5"/>
  <c r="H343" i="5" s="1"/>
  <c r="G342" i="5"/>
  <c r="H342" i="5" s="1"/>
  <c r="G341" i="5"/>
  <c r="H341" i="5" s="1"/>
  <c r="G340" i="5"/>
  <c r="H340" i="5" s="1"/>
  <c r="G339" i="5"/>
  <c r="H339" i="5" s="1"/>
  <c r="G338" i="5"/>
  <c r="H338" i="5" s="1"/>
  <c r="G337" i="5"/>
  <c r="H337" i="5" s="1"/>
  <c r="G336" i="5"/>
  <c r="H336" i="5" s="1"/>
  <c r="G335" i="5"/>
  <c r="H335" i="5" s="1"/>
  <c r="G334" i="5"/>
  <c r="H334" i="5" s="1"/>
  <c r="G333" i="5"/>
  <c r="H333" i="5" s="1"/>
  <c r="G332" i="5"/>
  <c r="H332" i="5" s="1"/>
  <c r="G331" i="5"/>
  <c r="H331" i="5" s="1"/>
  <c r="G330" i="5"/>
  <c r="H330" i="5" s="1"/>
  <c r="G329" i="5"/>
  <c r="H329" i="5" s="1"/>
  <c r="G328" i="5"/>
  <c r="H328" i="5" s="1"/>
  <c r="G327" i="5"/>
  <c r="H327" i="5" s="1"/>
  <c r="G326" i="5"/>
  <c r="H326" i="5" s="1"/>
  <c r="G325" i="5"/>
  <c r="H325" i="5" s="1"/>
  <c r="G324" i="5"/>
  <c r="H324" i="5" s="1"/>
  <c r="G323" i="5"/>
  <c r="H323" i="5" s="1"/>
  <c r="G322" i="5"/>
  <c r="H322" i="5" s="1"/>
  <c r="G321" i="5"/>
  <c r="H321" i="5" s="1"/>
  <c r="G320" i="5"/>
  <c r="H320" i="5" s="1"/>
  <c r="G319" i="5"/>
  <c r="H319" i="5" s="1"/>
  <c r="G318" i="5"/>
  <c r="H318" i="5" s="1"/>
  <c r="G317" i="5"/>
  <c r="H317" i="5" s="1"/>
  <c r="G316" i="5"/>
  <c r="H316" i="5" s="1"/>
  <c r="G315" i="5"/>
  <c r="H315" i="5" s="1"/>
  <c r="G314" i="5"/>
  <c r="H314" i="5" s="1"/>
  <c r="G313" i="5"/>
  <c r="H313" i="5" s="1"/>
  <c r="G312" i="5"/>
  <c r="H312" i="5" s="1"/>
  <c r="G311" i="5"/>
  <c r="H311" i="5" s="1"/>
  <c r="G310" i="5"/>
  <c r="H310" i="5" s="1"/>
  <c r="G309" i="5"/>
  <c r="H309" i="5" s="1"/>
  <c r="G308" i="5"/>
  <c r="H308" i="5" s="1"/>
  <c r="G307" i="5"/>
  <c r="H307" i="5" s="1"/>
  <c r="G306" i="5"/>
  <c r="H306" i="5" s="1"/>
  <c r="G305" i="5"/>
  <c r="H305" i="5" s="1"/>
  <c r="G304" i="5"/>
  <c r="H304" i="5" s="1"/>
  <c r="G303" i="5"/>
  <c r="H303" i="5" s="1"/>
  <c r="G302" i="5"/>
  <c r="H302" i="5" s="1"/>
  <c r="G301" i="5"/>
  <c r="H301" i="5" s="1"/>
  <c r="G300" i="5"/>
  <c r="H300" i="5" s="1"/>
  <c r="G299" i="5"/>
  <c r="H299" i="5" s="1"/>
  <c r="G298" i="5"/>
  <c r="H298" i="5" s="1"/>
  <c r="W296" i="5"/>
  <c r="V296" i="5"/>
  <c r="U296" i="5"/>
  <c r="R295" i="5"/>
  <c r="P295" i="5"/>
  <c r="O295" i="5"/>
  <c r="L295" i="5"/>
  <c r="I295" i="5"/>
  <c r="R294" i="5"/>
  <c r="P294" i="5"/>
  <c r="O294" i="5"/>
  <c r="L294" i="5"/>
  <c r="I294" i="5"/>
  <c r="R293" i="5"/>
  <c r="P293" i="5"/>
  <c r="O293" i="5"/>
  <c r="L293" i="5"/>
  <c r="I293" i="5"/>
  <c r="R292" i="5"/>
  <c r="P292" i="5"/>
  <c r="U292" i="5" s="1"/>
  <c r="O292" i="5"/>
  <c r="L292" i="5"/>
  <c r="I292" i="5"/>
  <c r="R291" i="5"/>
  <c r="P291" i="5"/>
  <c r="V291" i="5" s="1"/>
  <c r="O291" i="5"/>
  <c r="L291" i="5"/>
  <c r="I291" i="5"/>
  <c r="R290" i="5"/>
  <c r="P290" i="5"/>
  <c r="O290" i="5"/>
  <c r="L290" i="5"/>
  <c r="I290" i="5"/>
  <c r="W289" i="5"/>
  <c r="R289" i="5"/>
  <c r="P289" i="5"/>
  <c r="V289" i="5" s="1"/>
  <c r="O289" i="5"/>
  <c r="L289" i="5"/>
  <c r="I289" i="5"/>
  <c r="R288" i="5"/>
  <c r="P288" i="5"/>
  <c r="U288" i="5" s="1"/>
  <c r="O288" i="5"/>
  <c r="L288" i="5"/>
  <c r="I288" i="5"/>
  <c r="R287" i="5"/>
  <c r="P287" i="5"/>
  <c r="V287" i="5" s="1"/>
  <c r="O287" i="5"/>
  <c r="L287" i="5"/>
  <c r="I287" i="5"/>
  <c r="U286" i="5"/>
  <c r="R286" i="5"/>
  <c r="P286" i="5"/>
  <c r="V286" i="5" s="1"/>
  <c r="O286" i="5"/>
  <c r="L286" i="5"/>
  <c r="I286" i="5"/>
  <c r="R285" i="5"/>
  <c r="P285" i="5"/>
  <c r="O285" i="5"/>
  <c r="L285" i="5"/>
  <c r="I285" i="5"/>
  <c r="R284" i="5"/>
  <c r="P284" i="5"/>
  <c r="O284" i="5"/>
  <c r="L284" i="5"/>
  <c r="I284" i="5"/>
  <c r="R283" i="5"/>
  <c r="P283" i="5"/>
  <c r="Q283" i="5" s="1"/>
  <c r="O283" i="5"/>
  <c r="L283" i="5"/>
  <c r="I283" i="5"/>
  <c r="R282" i="5"/>
  <c r="P282" i="5"/>
  <c r="O282" i="5"/>
  <c r="L282" i="5"/>
  <c r="I282" i="5"/>
  <c r="R281" i="5"/>
  <c r="P281" i="5"/>
  <c r="O281" i="5"/>
  <c r="L281" i="5"/>
  <c r="I281" i="5"/>
  <c r="R280" i="5"/>
  <c r="P280" i="5"/>
  <c r="V280" i="5" s="1"/>
  <c r="O280" i="5"/>
  <c r="L280" i="5"/>
  <c r="I280" i="5"/>
  <c r="W279" i="5"/>
  <c r="R279" i="5"/>
  <c r="P279" i="5"/>
  <c r="O279" i="5"/>
  <c r="L279" i="5"/>
  <c r="I279" i="5"/>
  <c r="R278" i="5"/>
  <c r="P278" i="5"/>
  <c r="W278" i="5" s="1"/>
  <c r="O278" i="5"/>
  <c r="L278" i="5"/>
  <c r="I278" i="5"/>
  <c r="U277" i="5"/>
  <c r="R277" i="5"/>
  <c r="P277" i="5"/>
  <c r="W277" i="5" s="1"/>
  <c r="O277" i="5"/>
  <c r="L277" i="5"/>
  <c r="I277" i="5"/>
  <c r="R276" i="5"/>
  <c r="P276" i="5"/>
  <c r="V276" i="5" s="1"/>
  <c r="O276" i="5"/>
  <c r="L276" i="5"/>
  <c r="I276" i="5"/>
  <c r="R275" i="5"/>
  <c r="P275" i="5"/>
  <c r="V275" i="5" s="1"/>
  <c r="O275" i="5"/>
  <c r="L275" i="5"/>
  <c r="I275" i="5"/>
  <c r="R274" i="5"/>
  <c r="P274" i="5"/>
  <c r="V274" i="5" s="1"/>
  <c r="O274" i="5"/>
  <c r="L274" i="5"/>
  <c r="I274" i="5"/>
  <c r="R273" i="5"/>
  <c r="P273" i="5"/>
  <c r="O273" i="5"/>
  <c r="L273" i="5"/>
  <c r="I273" i="5"/>
  <c r="R272" i="5"/>
  <c r="P272" i="5"/>
  <c r="V272" i="5" s="1"/>
  <c r="O272" i="5"/>
  <c r="L272" i="5"/>
  <c r="I272" i="5"/>
  <c r="R271" i="5"/>
  <c r="P271" i="5"/>
  <c r="O271" i="5"/>
  <c r="L271" i="5"/>
  <c r="I271" i="5"/>
  <c r="R270" i="5"/>
  <c r="P270" i="5"/>
  <c r="W270" i="5" s="1"/>
  <c r="O270" i="5"/>
  <c r="L270" i="5"/>
  <c r="I270" i="5"/>
  <c r="U269" i="5"/>
  <c r="R269" i="5"/>
  <c r="P269" i="5"/>
  <c r="W269" i="5" s="1"/>
  <c r="O269" i="5"/>
  <c r="L269" i="5"/>
  <c r="I269" i="5"/>
  <c r="R267" i="5"/>
  <c r="P267" i="5"/>
  <c r="O267" i="5"/>
  <c r="L267" i="5"/>
  <c r="I267" i="5"/>
  <c r="R266" i="5"/>
  <c r="P266" i="5"/>
  <c r="O266" i="5"/>
  <c r="L266" i="5"/>
  <c r="I266" i="5"/>
  <c r="U265" i="5"/>
  <c r="R265" i="5"/>
  <c r="P265" i="5"/>
  <c r="V265" i="5" s="1"/>
  <c r="O265" i="5"/>
  <c r="L265" i="5"/>
  <c r="I265" i="5"/>
  <c r="R264" i="5"/>
  <c r="P264" i="5"/>
  <c r="O264" i="5"/>
  <c r="L264" i="5"/>
  <c r="I264" i="5"/>
  <c r="V263" i="5"/>
  <c r="R263" i="5"/>
  <c r="P263" i="5"/>
  <c r="O263" i="5"/>
  <c r="L263" i="5"/>
  <c r="I263" i="5"/>
  <c r="R262" i="5"/>
  <c r="P262" i="5"/>
  <c r="O262" i="5"/>
  <c r="L262" i="5"/>
  <c r="I262" i="5"/>
  <c r="U261" i="5"/>
  <c r="R261" i="5"/>
  <c r="Q261" i="5"/>
  <c r="P261" i="5"/>
  <c r="V261" i="5" s="1"/>
  <c r="O261" i="5"/>
  <c r="L261" i="5"/>
  <c r="I261" i="5"/>
  <c r="R260" i="5"/>
  <c r="P260" i="5"/>
  <c r="O260" i="5"/>
  <c r="L260" i="5"/>
  <c r="I260" i="5"/>
  <c r="R259" i="5"/>
  <c r="P259" i="5"/>
  <c r="V259" i="5" s="1"/>
  <c r="O259" i="5"/>
  <c r="L259" i="5"/>
  <c r="I259" i="5"/>
  <c r="R258" i="5"/>
  <c r="P258" i="5"/>
  <c r="O258" i="5"/>
  <c r="L258" i="5"/>
  <c r="I258" i="5"/>
  <c r="W257" i="5"/>
  <c r="R257" i="5"/>
  <c r="P257" i="5"/>
  <c r="O257" i="5"/>
  <c r="L257" i="5"/>
  <c r="I257" i="5"/>
  <c r="R256" i="5"/>
  <c r="P256" i="5"/>
  <c r="W256" i="5" s="1"/>
  <c r="O256" i="5"/>
  <c r="L256" i="5"/>
  <c r="I256" i="5"/>
  <c r="R255" i="5"/>
  <c r="P255" i="5"/>
  <c r="V255" i="5" s="1"/>
  <c r="O255" i="5"/>
  <c r="L255" i="5"/>
  <c r="I255" i="5"/>
  <c r="W254" i="5"/>
  <c r="R254" i="5"/>
  <c r="P254" i="5"/>
  <c r="V254" i="5" s="1"/>
  <c r="O254" i="5"/>
  <c r="L254" i="5"/>
  <c r="I254" i="5"/>
  <c r="R253" i="5"/>
  <c r="P253" i="5"/>
  <c r="V253" i="5" s="1"/>
  <c r="O253" i="5"/>
  <c r="L253" i="5"/>
  <c r="I253" i="5"/>
  <c r="R252" i="5"/>
  <c r="P252" i="5"/>
  <c r="O252" i="5"/>
  <c r="L252" i="5"/>
  <c r="I252" i="5"/>
  <c r="R251" i="5"/>
  <c r="P251" i="5"/>
  <c r="O251" i="5"/>
  <c r="L251" i="5"/>
  <c r="I251" i="5"/>
  <c r="R250" i="5"/>
  <c r="P250" i="5"/>
  <c r="Q250" i="5" s="1"/>
  <c r="O250" i="5"/>
  <c r="L250" i="5"/>
  <c r="I250" i="5"/>
  <c r="R249" i="5"/>
  <c r="P249" i="5"/>
  <c r="O249" i="5"/>
  <c r="L249" i="5"/>
  <c r="I249" i="5"/>
  <c r="R248" i="5"/>
  <c r="P248" i="5"/>
  <c r="W248" i="5" s="1"/>
  <c r="O248" i="5"/>
  <c r="L248" i="5"/>
  <c r="I248" i="5"/>
  <c r="R247" i="5"/>
  <c r="P247" i="5"/>
  <c r="V247" i="5" s="1"/>
  <c r="O247" i="5"/>
  <c r="L247" i="5"/>
  <c r="I247" i="5"/>
  <c r="R246" i="5"/>
  <c r="P246" i="5"/>
  <c r="W246" i="5" s="1"/>
  <c r="O246" i="5"/>
  <c r="L246" i="5"/>
  <c r="I246" i="5"/>
  <c r="U245" i="5"/>
  <c r="R245" i="5"/>
  <c r="P245" i="5"/>
  <c r="W245" i="5" s="1"/>
  <c r="O245" i="5"/>
  <c r="L245" i="5"/>
  <c r="I245" i="5"/>
  <c r="R244" i="5"/>
  <c r="P244" i="5"/>
  <c r="W244" i="5" s="1"/>
  <c r="O244" i="5"/>
  <c r="L244" i="5"/>
  <c r="I244" i="5"/>
  <c r="R243" i="5"/>
  <c r="P243" i="5"/>
  <c r="V243" i="5" s="1"/>
  <c r="O243" i="5"/>
  <c r="L243" i="5"/>
  <c r="I243" i="5"/>
  <c r="W242" i="5"/>
  <c r="R242" i="5"/>
  <c r="P242" i="5"/>
  <c r="V242" i="5" s="1"/>
  <c r="O242" i="5"/>
  <c r="L242" i="5"/>
  <c r="I242" i="5"/>
  <c r="R241" i="5"/>
  <c r="P241" i="5"/>
  <c r="V241" i="5" s="1"/>
  <c r="O241" i="5"/>
  <c r="L241" i="5"/>
  <c r="I241" i="5"/>
  <c r="R240" i="5"/>
  <c r="P240" i="5"/>
  <c r="O240" i="5"/>
  <c r="L240" i="5"/>
  <c r="I240" i="5"/>
  <c r="R239" i="5"/>
  <c r="P239" i="5"/>
  <c r="V239" i="5" s="1"/>
  <c r="O239" i="5"/>
  <c r="L239" i="5"/>
  <c r="I239" i="5"/>
  <c r="R238" i="5"/>
  <c r="P238" i="5"/>
  <c r="O238" i="5"/>
  <c r="L238" i="5"/>
  <c r="I238" i="5"/>
  <c r="W237" i="5"/>
  <c r="R237" i="5"/>
  <c r="P237" i="5"/>
  <c r="O237" i="5"/>
  <c r="L237" i="5"/>
  <c r="I237" i="5"/>
  <c r="R236" i="5"/>
  <c r="P236" i="5"/>
  <c r="W236" i="5" s="1"/>
  <c r="O236" i="5"/>
  <c r="L236" i="5"/>
  <c r="I236" i="5"/>
  <c r="R235" i="5"/>
  <c r="P235" i="5"/>
  <c r="V235" i="5" s="1"/>
  <c r="O235" i="5"/>
  <c r="L235" i="5"/>
  <c r="I235" i="5"/>
  <c r="W234" i="5"/>
  <c r="R234" i="5"/>
  <c r="P234" i="5"/>
  <c r="V234" i="5" s="1"/>
  <c r="O234" i="5"/>
  <c r="L234" i="5"/>
  <c r="I234" i="5"/>
  <c r="W233" i="5"/>
  <c r="R233" i="5"/>
  <c r="Q233" i="5"/>
  <c r="P233" i="5"/>
  <c r="V233" i="5" s="1"/>
  <c r="O233" i="5"/>
  <c r="L233" i="5"/>
  <c r="I233" i="5"/>
  <c r="R232" i="5"/>
  <c r="P232" i="5"/>
  <c r="O232" i="5"/>
  <c r="L232" i="5"/>
  <c r="I232" i="5"/>
  <c r="R231" i="5"/>
  <c r="P231" i="5"/>
  <c r="V231" i="5" s="1"/>
  <c r="O231" i="5"/>
  <c r="L231" i="5"/>
  <c r="I231" i="5"/>
  <c r="W230" i="5"/>
  <c r="R230" i="5"/>
  <c r="P230" i="5"/>
  <c r="O230" i="5"/>
  <c r="L230" i="5"/>
  <c r="I230" i="5"/>
  <c r="R229" i="5"/>
  <c r="P229" i="5"/>
  <c r="V229" i="5" s="1"/>
  <c r="O229" i="5"/>
  <c r="L229" i="5"/>
  <c r="I229" i="5"/>
  <c r="R228" i="5"/>
  <c r="P228" i="5"/>
  <c r="O228" i="5"/>
  <c r="L228" i="5"/>
  <c r="I228" i="5"/>
  <c r="R227" i="5"/>
  <c r="P227" i="5"/>
  <c r="V227" i="5" s="1"/>
  <c r="O227" i="5"/>
  <c r="L227" i="5"/>
  <c r="I227" i="5"/>
  <c r="W226" i="5"/>
  <c r="R226" i="5"/>
  <c r="Q226" i="5"/>
  <c r="P226" i="5"/>
  <c r="V226" i="5" s="1"/>
  <c r="O226" i="5"/>
  <c r="L226" i="5"/>
  <c r="I226" i="5"/>
  <c r="R225" i="5"/>
  <c r="P225" i="5"/>
  <c r="O225" i="5"/>
  <c r="L225" i="5"/>
  <c r="I225" i="5"/>
  <c r="R224" i="5"/>
  <c r="P224" i="5"/>
  <c r="W224" i="5" s="1"/>
  <c r="O224" i="5"/>
  <c r="L224" i="5"/>
  <c r="I224" i="5"/>
  <c r="R223" i="5"/>
  <c r="P223" i="5"/>
  <c r="V223" i="5" s="1"/>
  <c r="O223" i="5"/>
  <c r="L223" i="5"/>
  <c r="I223" i="5"/>
  <c r="R222" i="5"/>
  <c r="P222" i="5"/>
  <c r="V222" i="5" s="1"/>
  <c r="O222" i="5"/>
  <c r="L222" i="5"/>
  <c r="I222" i="5"/>
  <c r="R221" i="5"/>
  <c r="P221" i="5"/>
  <c r="O221" i="5"/>
  <c r="L221" i="5"/>
  <c r="I221" i="5"/>
  <c r="R220" i="5"/>
  <c r="P220" i="5"/>
  <c r="O220" i="5"/>
  <c r="L220" i="5"/>
  <c r="I220" i="5"/>
  <c r="V219" i="5"/>
  <c r="R219" i="5"/>
  <c r="P219" i="5"/>
  <c r="O219" i="5"/>
  <c r="L219" i="5"/>
  <c r="I219" i="5"/>
  <c r="R218" i="5"/>
  <c r="Q218" i="5"/>
  <c r="P218" i="5"/>
  <c r="O218" i="5"/>
  <c r="L218" i="5"/>
  <c r="I218" i="5"/>
  <c r="R217" i="5"/>
  <c r="P217" i="5"/>
  <c r="O217" i="5"/>
  <c r="L217" i="5"/>
  <c r="I217" i="5"/>
  <c r="W216" i="5"/>
  <c r="R216" i="5"/>
  <c r="P216" i="5"/>
  <c r="U216" i="5" s="1"/>
  <c r="O216" i="5"/>
  <c r="L216" i="5"/>
  <c r="I216" i="5"/>
  <c r="V215" i="5"/>
  <c r="R215" i="5"/>
  <c r="P215" i="5"/>
  <c r="O215" i="5"/>
  <c r="L215" i="5"/>
  <c r="I215" i="5"/>
  <c r="R214" i="5"/>
  <c r="Q214" i="5"/>
  <c r="P214" i="5"/>
  <c r="O214" i="5"/>
  <c r="L214" i="5"/>
  <c r="I214" i="5"/>
  <c r="R213" i="5"/>
  <c r="P213" i="5"/>
  <c r="O213" i="5"/>
  <c r="L213" i="5"/>
  <c r="I213" i="5"/>
  <c r="R212" i="5"/>
  <c r="P212" i="5"/>
  <c r="W212" i="5" s="1"/>
  <c r="O212" i="5"/>
  <c r="L212" i="5"/>
  <c r="I212" i="5"/>
  <c r="R211" i="5"/>
  <c r="P211" i="5"/>
  <c r="V211" i="5" s="1"/>
  <c r="O211" i="5"/>
  <c r="L211" i="5"/>
  <c r="I211" i="5"/>
  <c r="R210" i="5"/>
  <c r="P210" i="5"/>
  <c r="O210" i="5"/>
  <c r="L210" i="5"/>
  <c r="I210" i="5"/>
  <c r="R209" i="5"/>
  <c r="P209" i="5"/>
  <c r="W209" i="5" s="1"/>
  <c r="O209" i="5"/>
  <c r="L209" i="5"/>
  <c r="I209" i="5"/>
  <c r="R208" i="5"/>
  <c r="P208" i="5"/>
  <c r="O208" i="5"/>
  <c r="L208" i="5"/>
  <c r="I208" i="5"/>
  <c r="R207" i="5"/>
  <c r="P207" i="5"/>
  <c r="V207" i="5" s="1"/>
  <c r="O207" i="5"/>
  <c r="L207" i="5"/>
  <c r="I207" i="5"/>
  <c r="R206" i="5"/>
  <c r="P206" i="5"/>
  <c r="O206" i="5"/>
  <c r="L206" i="5"/>
  <c r="I206" i="5"/>
  <c r="W205" i="5"/>
  <c r="R205" i="5"/>
  <c r="P205" i="5"/>
  <c r="O205" i="5"/>
  <c r="L205" i="5"/>
  <c r="I205" i="5"/>
  <c r="R204" i="5"/>
  <c r="P204" i="5"/>
  <c r="W204" i="5" s="1"/>
  <c r="O204" i="5"/>
  <c r="L204" i="5"/>
  <c r="I204" i="5"/>
  <c r="R203" i="5"/>
  <c r="P203" i="5"/>
  <c r="O203" i="5"/>
  <c r="L203" i="5"/>
  <c r="I203" i="5"/>
  <c r="R202" i="5"/>
  <c r="P202" i="5"/>
  <c r="O202" i="5"/>
  <c r="L202" i="5"/>
  <c r="I202" i="5"/>
  <c r="R201" i="5"/>
  <c r="Q201" i="5"/>
  <c r="P201" i="5"/>
  <c r="O201" i="5"/>
  <c r="L201" i="5"/>
  <c r="I201" i="5"/>
  <c r="R200" i="5"/>
  <c r="P200" i="5"/>
  <c r="O200" i="5"/>
  <c r="L200" i="5"/>
  <c r="I200" i="5"/>
  <c r="R199" i="5"/>
  <c r="P199" i="5"/>
  <c r="U199" i="5" s="1"/>
  <c r="O199" i="5"/>
  <c r="L199" i="5"/>
  <c r="I199" i="5"/>
  <c r="V198" i="5"/>
  <c r="R198" i="5"/>
  <c r="P198" i="5"/>
  <c r="U198" i="5" s="1"/>
  <c r="O198" i="5"/>
  <c r="L198" i="5"/>
  <c r="I198" i="5"/>
  <c r="W197" i="5"/>
  <c r="R197" i="5"/>
  <c r="Q197" i="5"/>
  <c r="P197" i="5"/>
  <c r="V197" i="5" s="1"/>
  <c r="O197" i="5"/>
  <c r="L197" i="5"/>
  <c r="I197" i="5"/>
  <c r="R196" i="5"/>
  <c r="P196" i="5"/>
  <c r="O196" i="5"/>
  <c r="L196" i="5"/>
  <c r="I196" i="5"/>
  <c r="R195" i="5"/>
  <c r="P195" i="5"/>
  <c r="O195" i="5"/>
  <c r="L195" i="5"/>
  <c r="I195" i="5"/>
  <c r="R194" i="5"/>
  <c r="P194" i="5"/>
  <c r="W194" i="5" s="1"/>
  <c r="O194" i="5"/>
  <c r="L194" i="5"/>
  <c r="I194" i="5"/>
  <c r="W193" i="5"/>
  <c r="R193" i="5"/>
  <c r="P193" i="5"/>
  <c r="O193" i="5"/>
  <c r="L193" i="5"/>
  <c r="I193" i="5"/>
  <c r="R192" i="5"/>
  <c r="P192" i="5"/>
  <c r="W192" i="5" s="1"/>
  <c r="O192" i="5"/>
  <c r="L192" i="5"/>
  <c r="I192" i="5"/>
  <c r="V191" i="5"/>
  <c r="R191" i="5"/>
  <c r="P191" i="5"/>
  <c r="U191" i="5" s="1"/>
  <c r="O191" i="5"/>
  <c r="L191" i="5"/>
  <c r="I191" i="5"/>
  <c r="R190" i="5"/>
  <c r="P190" i="5"/>
  <c r="O190" i="5"/>
  <c r="L190" i="5"/>
  <c r="I190" i="5"/>
  <c r="R189" i="5"/>
  <c r="P189" i="5"/>
  <c r="Q189" i="5" s="1"/>
  <c r="O189" i="5"/>
  <c r="L189" i="5"/>
  <c r="I189" i="5"/>
  <c r="R188" i="5"/>
  <c r="P188" i="5"/>
  <c r="O188" i="5"/>
  <c r="L188" i="5"/>
  <c r="I188" i="5"/>
  <c r="R187" i="5"/>
  <c r="P187" i="5"/>
  <c r="O187" i="5"/>
  <c r="L187" i="5"/>
  <c r="I187" i="5"/>
  <c r="R186" i="5"/>
  <c r="P186" i="5"/>
  <c r="W186" i="5" s="1"/>
  <c r="O186" i="5"/>
  <c r="L186" i="5"/>
  <c r="I186" i="5"/>
  <c r="W185" i="5"/>
  <c r="R185" i="5"/>
  <c r="P185" i="5"/>
  <c r="V185" i="5" s="1"/>
  <c r="O185" i="5"/>
  <c r="L185" i="5"/>
  <c r="I185" i="5"/>
  <c r="R184" i="5"/>
  <c r="P184" i="5"/>
  <c r="V184" i="5" s="1"/>
  <c r="O184" i="5"/>
  <c r="L184" i="5"/>
  <c r="I184" i="5"/>
  <c r="R183" i="5"/>
  <c r="P183" i="5"/>
  <c r="V183" i="5" s="1"/>
  <c r="O183" i="5"/>
  <c r="L183" i="5"/>
  <c r="I183" i="5"/>
  <c r="R182" i="5"/>
  <c r="P182" i="5"/>
  <c r="O182" i="5"/>
  <c r="L182" i="5"/>
  <c r="I182" i="5"/>
  <c r="W181" i="5"/>
  <c r="R181" i="5"/>
  <c r="P181" i="5"/>
  <c r="O181" i="5"/>
  <c r="L181" i="5"/>
  <c r="I181" i="5"/>
  <c r="R180" i="5"/>
  <c r="P180" i="5"/>
  <c r="O180" i="5"/>
  <c r="L180" i="5"/>
  <c r="I180" i="5"/>
  <c r="R179" i="5"/>
  <c r="P179" i="5"/>
  <c r="O179" i="5"/>
  <c r="L179" i="5"/>
  <c r="I179" i="5"/>
  <c r="R178" i="5"/>
  <c r="P178" i="5"/>
  <c r="O178" i="5"/>
  <c r="L178" i="5"/>
  <c r="I178" i="5"/>
  <c r="R177" i="5"/>
  <c r="P177" i="5"/>
  <c r="O177" i="5"/>
  <c r="L177" i="5"/>
  <c r="I177" i="5"/>
  <c r="R176" i="5"/>
  <c r="P176" i="5"/>
  <c r="W176" i="5" s="1"/>
  <c r="O176" i="5"/>
  <c r="L176" i="5"/>
  <c r="I176" i="5"/>
  <c r="V175" i="5"/>
  <c r="R175" i="5"/>
  <c r="P175" i="5"/>
  <c r="U175" i="5" s="1"/>
  <c r="O175" i="5"/>
  <c r="L175" i="5"/>
  <c r="I175" i="5"/>
  <c r="R174" i="5"/>
  <c r="P174" i="5"/>
  <c r="U174" i="5" s="1"/>
  <c r="O174" i="5"/>
  <c r="L174" i="5"/>
  <c r="I174" i="5"/>
  <c r="R173" i="5"/>
  <c r="P173" i="5"/>
  <c r="O173" i="5"/>
  <c r="L173" i="5"/>
  <c r="I173" i="5"/>
  <c r="U172" i="5"/>
  <c r="R172" i="5"/>
  <c r="Q172" i="5"/>
  <c r="P172" i="5"/>
  <c r="V172" i="5" s="1"/>
  <c r="O172" i="5"/>
  <c r="L172" i="5"/>
  <c r="I172" i="5"/>
  <c r="R171" i="5"/>
  <c r="P171" i="5"/>
  <c r="O171" i="5"/>
  <c r="L171" i="5"/>
  <c r="I171" i="5"/>
  <c r="R170" i="5"/>
  <c r="P170" i="5"/>
  <c r="O170" i="5"/>
  <c r="L170" i="5"/>
  <c r="I170" i="5"/>
  <c r="W169" i="5"/>
  <c r="R169" i="5"/>
  <c r="P169" i="5"/>
  <c r="V169" i="5" s="1"/>
  <c r="O169" i="5"/>
  <c r="L169" i="5"/>
  <c r="I169" i="5"/>
  <c r="R168" i="5"/>
  <c r="P168" i="5"/>
  <c r="V168" i="5" s="1"/>
  <c r="O168" i="5"/>
  <c r="L168" i="5"/>
  <c r="I168" i="5"/>
  <c r="U167" i="5"/>
  <c r="R167" i="5"/>
  <c r="P167" i="5"/>
  <c r="V167" i="5" s="1"/>
  <c r="O167" i="5"/>
  <c r="L167" i="5"/>
  <c r="I167" i="5"/>
  <c r="R166" i="5"/>
  <c r="P166" i="5"/>
  <c r="O166" i="5"/>
  <c r="L166" i="5"/>
  <c r="I166" i="5"/>
  <c r="W165" i="5"/>
  <c r="R165" i="5"/>
  <c r="P165" i="5"/>
  <c r="O165" i="5"/>
  <c r="L165" i="5"/>
  <c r="I165" i="5"/>
  <c r="R164" i="5"/>
  <c r="P164" i="5"/>
  <c r="W164" i="5" s="1"/>
  <c r="O164" i="5"/>
  <c r="L164" i="5"/>
  <c r="I164" i="5"/>
  <c r="R163" i="5"/>
  <c r="P163" i="5"/>
  <c r="O163" i="5"/>
  <c r="L163" i="5"/>
  <c r="I163" i="5"/>
  <c r="R162" i="5"/>
  <c r="P162" i="5"/>
  <c r="W162" i="5" s="1"/>
  <c r="O162" i="5"/>
  <c r="L162" i="5"/>
  <c r="I162" i="5"/>
  <c r="W161" i="5"/>
  <c r="R161" i="5"/>
  <c r="Q161" i="5"/>
  <c r="P161" i="5"/>
  <c r="V161" i="5" s="1"/>
  <c r="O161" i="5"/>
  <c r="L161" i="5"/>
  <c r="I161" i="5"/>
  <c r="R160" i="5"/>
  <c r="P160" i="5"/>
  <c r="O160" i="5"/>
  <c r="L160" i="5"/>
  <c r="I160" i="5"/>
  <c r="R159" i="5"/>
  <c r="P159" i="5"/>
  <c r="O159" i="5"/>
  <c r="L159" i="5"/>
  <c r="I159" i="5"/>
  <c r="R158" i="5"/>
  <c r="P158" i="5"/>
  <c r="V158" i="5" s="1"/>
  <c r="O158" i="5"/>
  <c r="L158" i="5"/>
  <c r="I158" i="5"/>
  <c r="W157" i="5"/>
  <c r="R157" i="5"/>
  <c r="P157" i="5"/>
  <c r="V157" i="5" s="1"/>
  <c r="O157" i="5"/>
  <c r="L157" i="5"/>
  <c r="I157" i="5"/>
  <c r="R156" i="5"/>
  <c r="P156" i="5"/>
  <c r="V156" i="5" s="1"/>
  <c r="O156" i="5"/>
  <c r="L156" i="5"/>
  <c r="I156" i="5"/>
  <c r="R155" i="5"/>
  <c r="P155" i="5"/>
  <c r="O155" i="5"/>
  <c r="L155" i="5"/>
  <c r="I155" i="5"/>
  <c r="R154" i="5"/>
  <c r="P154" i="5"/>
  <c r="W154" i="5" s="1"/>
  <c r="O154" i="5"/>
  <c r="L154" i="5"/>
  <c r="I154" i="5"/>
  <c r="R153" i="5"/>
  <c r="P153" i="5"/>
  <c r="Q153" i="5" s="1"/>
  <c r="O153" i="5"/>
  <c r="L153" i="5"/>
  <c r="I153" i="5"/>
  <c r="R152" i="5"/>
  <c r="P152" i="5"/>
  <c r="O152" i="5"/>
  <c r="L152" i="5"/>
  <c r="I152" i="5"/>
  <c r="R151" i="5"/>
  <c r="P151" i="5"/>
  <c r="U151" i="5" s="1"/>
  <c r="O151" i="5"/>
  <c r="L151" i="5"/>
  <c r="I151" i="5"/>
  <c r="V150" i="5"/>
  <c r="R150" i="5"/>
  <c r="P150" i="5"/>
  <c r="U150" i="5" s="1"/>
  <c r="O150" i="5"/>
  <c r="L150" i="5"/>
  <c r="I150" i="5"/>
  <c r="R149" i="5"/>
  <c r="P149" i="5"/>
  <c r="O149" i="5"/>
  <c r="L149" i="5"/>
  <c r="I149" i="5"/>
  <c r="U148" i="5"/>
  <c r="R148" i="5"/>
  <c r="Q148" i="5"/>
  <c r="P148" i="5"/>
  <c r="V148" i="5" s="1"/>
  <c r="O148" i="5"/>
  <c r="L148" i="5"/>
  <c r="I148" i="5"/>
  <c r="R147" i="5"/>
  <c r="P147" i="5"/>
  <c r="O147" i="5"/>
  <c r="L147" i="5"/>
  <c r="I147" i="5"/>
  <c r="R146" i="5"/>
  <c r="P146" i="5"/>
  <c r="O146" i="5"/>
  <c r="L146" i="5"/>
  <c r="I146" i="5"/>
  <c r="R145" i="5"/>
  <c r="P145" i="5"/>
  <c r="V145" i="5" s="1"/>
  <c r="O145" i="5"/>
  <c r="L145" i="5"/>
  <c r="I145" i="5"/>
  <c r="U144" i="5"/>
  <c r="R144" i="5"/>
  <c r="P144" i="5"/>
  <c r="V144" i="5" s="1"/>
  <c r="O144" i="5"/>
  <c r="L144" i="5"/>
  <c r="I144" i="5"/>
  <c r="R143" i="5"/>
  <c r="P143" i="5"/>
  <c r="O143" i="5"/>
  <c r="L143" i="5"/>
  <c r="I143" i="5"/>
  <c r="R142" i="5"/>
  <c r="P142" i="5"/>
  <c r="Q142" i="5" s="1"/>
  <c r="O142" i="5"/>
  <c r="L142" i="5"/>
  <c r="I142" i="5"/>
  <c r="R141" i="5"/>
  <c r="P141" i="5"/>
  <c r="O141" i="5"/>
  <c r="L141" i="5"/>
  <c r="I141" i="5"/>
  <c r="W140" i="5"/>
  <c r="R140" i="5"/>
  <c r="P140" i="5"/>
  <c r="O140" i="5"/>
  <c r="L140" i="5"/>
  <c r="I140" i="5"/>
  <c r="R139" i="5"/>
  <c r="P139" i="5"/>
  <c r="O139" i="5"/>
  <c r="L139" i="5"/>
  <c r="I139" i="5"/>
  <c r="R138" i="5"/>
  <c r="P138" i="5"/>
  <c r="O138" i="5"/>
  <c r="L138" i="5"/>
  <c r="I138" i="5"/>
  <c r="R137" i="5"/>
  <c r="P137" i="5"/>
  <c r="O137" i="5"/>
  <c r="L137" i="5"/>
  <c r="I137" i="5"/>
  <c r="W136" i="5"/>
  <c r="R136" i="5"/>
  <c r="Q136" i="5"/>
  <c r="P136" i="5"/>
  <c r="O136" i="5"/>
  <c r="L136" i="5"/>
  <c r="I136" i="5"/>
  <c r="R135" i="5"/>
  <c r="P135" i="5"/>
  <c r="U135" i="5" s="1"/>
  <c r="O135" i="5"/>
  <c r="L135" i="5"/>
  <c r="I135" i="5"/>
  <c r="U134" i="5"/>
  <c r="R134" i="5"/>
  <c r="P134" i="5"/>
  <c r="W134" i="5" s="1"/>
  <c r="O134" i="5"/>
  <c r="L134" i="5"/>
  <c r="I134" i="5"/>
  <c r="R133" i="5"/>
  <c r="P133" i="5"/>
  <c r="O133" i="5"/>
  <c r="L133" i="5"/>
  <c r="I133" i="5"/>
  <c r="R132" i="5"/>
  <c r="P132" i="5"/>
  <c r="O132" i="5"/>
  <c r="L132" i="5"/>
  <c r="I132" i="5"/>
  <c r="V131" i="5"/>
  <c r="U131" i="5"/>
  <c r="R131" i="5"/>
  <c r="P131" i="5"/>
  <c r="O131" i="5"/>
  <c r="L131" i="5"/>
  <c r="I131" i="5"/>
  <c r="R130" i="5"/>
  <c r="P130" i="5"/>
  <c r="O130" i="5"/>
  <c r="L130" i="5"/>
  <c r="I130" i="5"/>
  <c r="V129" i="5"/>
  <c r="R129" i="5"/>
  <c r="P129" i="5"/>
  <c r="U129" i="5" s="1"/>
  <c r="O129" i="5"/>
  <c r="L129" i="5"/>
  <c r="I129" i="5"/>
  <c r="R128" i="5"/>
  <c r="P128" i="5"/>
  <c r="O128" i="5"/>
  <c r="L128" i="5"/>
  <c r="I128" i="5"/>
  <c r="V127" i="5"/>
  <c r="U127" i="5"/>
  <c r="R127" i="5"/>
  <c r="P127" i="5"/>
  <c r="O127" i="5"/>
  <c r="L127" i="5"/>
  <c r="I127" i="5"/>
  <c r="R126" i="5"/>
  <c r="P126" i="5"/>
  <c r="O126" i="5"/>
  <c r="L126" i="5"/>
  <c r="I126" i="5"/>
  <c r="V125" i="5"/>
  <c r="R125" i="5"/>
  <c r="P125" i="5"/>
  <c r="U125" i="5" s="1"/>
  <c r="O125" i="5"/>
  <c r="L125" i="5"/>
  <c r="I125" i="5"/>
  <c r="U124" i="5"/>
  <c r="R124" i="5"/>
  <c r="Q124" i="5"/>
  <c r="P124" i="5"/>
  <c r="V124" i="5" s="1"/>
  <c r="O124" i="5"/>
  <c r="L124" i="5"/>
  <c r="I124" i="5"/>
  <c r="R123" i="5"/>
  <c r="P123" i="5"/>
  <c r="O123" i="5"/>
  <c r="L123" i="5"/>
  <c r="I123" i="5"/>
  <c r="R122" i="5"/>
  <c r="P122" i="5"/>
  <c r="O122" i="5"/>
  <c r="L122" i="5"/>
  <c r="I122" i="5"/>
  <c r="R121" i="5"/>
  <c r="P121" i="5"/>
  <c r="O121" i="5"/>
  <c r="L121" i="5"/>
  <c r="I121" i="5"/>
  <c r="R120" i="5"/>
  <c r="P120" i="5"/>
  <c r="O120" i="5"/>
  <c r="L120" i="5"/>
  <c r="I120" i="5"/>
  <c r="R119" i="5"/>
  <c r="P119" i="5"/>
  <c r="U119" i="5" s="1"/>
  <c r="O119" i="5"/>
  <c r="L119" i="5"/>
  <c r="I119" i="5"/>
  <c r="U118" i="5"/>
  <c r="R118" i="5"/>
  <c r="P118" i="5"/>
  <c r="W118" i="5" s="1"/>
  <c r="O118" i="5"/>
  <c r="L118" i="5"/>
  <c r="I118" i="5"/>
  <c r="R117" i="5"/>
  <c r="P117" i="5"/>
  <c r="O117" i="5"/>
  <c r="L117" i="5"/>
  <c r="I117" i="5"/>
  <c r="R116" i="5"/>
  <c r="P116" i="5"/>
  <c r="O116" i="5"/>
  <c r="L116" i="5"/>
  <c r="I116" i="5"/>
  <c r="W115" i="5"/>
  <c r="R115" i="5"/>
  <c r="P115" i="5"/>
  <c r="O115" i="5"/>
  <c r="L115" i="5"/>
  <c r="I115" i="5"/>
  <c r="R114" i="5"/>
  <c r="P114" i="5"/>
  <c r="W114" i="5" s="1"/>
  <c r="O114" i="5"/>
  <c r="L114" i="5"/>
  <c r="I114" i="5"/>
  <c r="U113" i="5"/>
  <c r="R113" i="5"/>
  <c r="P113" i="5"/>
  <c r="W113" i="5" s="1"/>
  <c r="O113" i="5"/>
  <c r="L113" i="5"/>
  <c r="I113" i="5"/>
  <c r="R112" i="5"/>
  <c r="P112" i="5"/>
  <c r="V112" i="5" s="1"/>
  <c r="O112" i="5"/>
  <c r="L112" i="5"/>
  <c r="I112" i="5"/>
  <c r="W111" i="5"/>
  <c r="R111" i="5"/>
  <c r="Q111" i="5"/>
  <c r="P111" i="5"/>
  <c r="V111" i="5" s="1"/>
  <c r="O111" i="5"/>
  <c r="L111" i="5"/>
  <c r="I111" i="5"/>
  <c r="R110" i="5"/>
  <c r="P110" i="5"/>
  <c r="V110" i="5" s="1"/>
  <c r="O110" i="5"/>
  <c r="L110" i="5"/>
  <c r="I110" i="5"/>
  <c r="R109" i="5"/>
  <c r="P109" i="5"/>
  <c r="O109" i="5"/>
  <c r="L109" i="5"/>
  <c r="I109" i="5"/>
  <c r="R108" i="5"/>
  <c r="P108" i="5"/>
  <c r="V108" i="5" s="1"/>
  <c r="O108" i="5"/>
  <c r="L108" i="5"/>
  <c r="I108" i="5"/>
  <c r="R107" i="5"/>
  <c r="P107" i="5"/>
  <c r="O107" i="5"/>
  <c r="L107" i="5"/>
  <c r="I107" i="5"/>
  <c r="R106" i="5"/>
  <c r="P106" i="5"/>
  <c r="O106" i="5"/>
  <c r="L106" i="5"/>
  <c r="I106" i="5"/>
  <c r="R105" i="5"/>
  <c r="P105" i="5"/>
  <c r="O105" i="5"/>
  <c r="L105" i="5"/>
  <c r="I105" i="5"/>
  <c r="R104" i="5"/>
  <c r="P104" i="5"/>
  <c r="L104" i="5"/>
  <c r="I104" i="5"/>
  <c r="V103" i="5"/>
  <c r="R103" i="5"/>
  <c r="P103" i="5"/>
  <c r="O103" i="5"/>
  <c r="L103" i="5"/>
  <c r="I103" i="5"/>
  <c r="R102" i="5"/>
  <c r="Q102" i="5"/>
  <c r="P102" i="5"/>
  <c r="O102" i="5"/>
  <c r="L102" i="5"/>
  <c r="I102" i="5"/>
  <c r="R101" i="5"/>
  <c r="P101" i="5"/>
  <c r="O101" i="5"/>
  <c r="L101" i="5"/>
  <c r="I101" i="5"/>
  <c r="U100" i="5"/>
  <c r="R100" i="5"/>
  <c r="P100" i="5"/>
  <c r="W100" i="5" s="1"/>
  <c r="O100" i="5"/>
  <c r="L100" i="5"/>
  <c r="I100" i="5"/>
  <c r="R99" i="5"/>
  <c r="P99" i="5"/>
  <c r="O99" i="5"/>
  <c r="L99" i="5"/>
  <c r="I99" i="5"/>
  <c r="R98" i="5"/>
  <c r="P98" i="5"/>
  <c r="O98" i="5"/>
  <c r="L98" i="5"/>
  <c r="I98" i="5"/>
  <c r="U97" i="5"/>
  <c r="R97" i="5"/>
  <c r="Q97" i="5"/>
  <c r="P97" i="5"/>
  <c r="V97" i="5" s="1"/>
  <c r="O97" i="5"/>
  <c r="L97" i="5"/>
  <c r="I97" i="5"/>
  <c r="R96" i="5"/>
  <c r="P96" i="5"/>
  <c r="W96" i="5" s="1"/>
  <c r="O96" i="5"/>
  <c r="L96" i="5"/>
  <c r="I96" i="5"/>
  <c r="R95" i="5"/>
  <c r="P95" i="5"/>
  <c r="O95" i="5"/>
  <c r="L95" i="5"/>
  <c r="I95" i="5"/>
  <c r="R94" i="5"/>
  <c r="P94" i="5"/>
  <c r="V94" i="5" s="1"/>
  <c r="O94" i="5"/>
  <c r="L94" i="5"/>
  <c r="I94" i="5"/>
  <c r="R93" i="5"/>
  <c r="P93" i="5"/>
  <c r="V93" i="5" s="1"/>
  <c r="O93" i="5"/>
  <c r="L93" i="5"/>
  <c r="I93" i="5"/>
  <c r="R92" i="5"/>
  <c r="P92" i="5"/>
  <c r="W92" i="5" s="1"/>
  <c r="O92" i="5"/>
  <c r="L92" i="5"/>
  <c r="I92" i="5"/>
  <c r="R91" i="5"/>
  <c r="P91" i="5"/>
  <c r="V91" i="5" s="1"/>
  <c r="O91" i="5"/>
  <c r="L91" i="5"/>
  <c r="I91" i="5"/>
  <c r="W90" i="5"/>
  <c r="R90" i="5"/>
  <c r="P90" i="5"/>
  <c r="V90" i="5" s="1"/>
  <c r="O90" i="5"/>
  <c r="L90" i="5"/>
  <c r="I90" i="5"/>
  <c r="R89" i="5"/>
  <c r="P89" i="5"/>
  <c r="V89" i="5" s="1"/>
  <c r="O89" i="5"/>
  <c r="L89" i="5"/>
  <c r="I89" i="5"/>
  <c r="U88" i="5"/>
  <c r="R88" i="5"/>
  <c r="P88" i="5"/>
  <c r="W88" i="5" s="1"/>
  <c r="O88" i="5"/>
  <c r="L88" i="5"/>
  <c r="I88" i="5"/>
  <c r="R87" i="5"/>
  <c r="P87" i="5"/>
  <c r="V87" i="5" s="1"/>
  <c r="O87" i="5"/>
  <c r="L87" i="5"/>
  <c r="I87" i="5"/>
  <c r="R86" i="5"/>
  <c r="P86" i="5"/>
  <c r="O86" i="5"/>
  <c r="L86" i="5"/>
  <c r="I86" i="5"/>
  <c r="U85" i="5"/>
  <c r="R85" i="5"/>
  <c r="P85" i="5"/>
  <c r="V85" i="5" s="1"/>
  <c r="O85" i="5"/>
  <c r="L85" i="5"/>
  <c r="I85" i="5"/>
  <c r="R84" i="5"/>
  <c r="P84" i="5"/>
  <c r="W84" i="5" s="1"/>
  <c r="O84" i="5"/>
  <c r="L84" i="5"/>
  <c r="I84" i="5"/>
  <c r="R83" i="5"/>
  <c r="P83" i="5"/>
  <c r="O83" i="5"/>
  <c r="L83" i="5"/>
  <c r="I83" i="5"/>
  <c r="R82" i="5"/>
  <c r="P82" i="5"/>
  <c r="V82" i="5" s="1"/>
  <c r="O82" i="5"/>
  <c r="L82" i="5"/>
  <c r="I82" i="5"/>
  <c r="R81" i="5"/>
  <c r="P81" i="5"/>
  <c r="V81" i="5" s="1"/>
  <c r="O81" i="5"/>
  <c r="L81" i="5"/>
  <c r="I81" i="5"/>
  <c r="U80" i="5"/>
  <c r="R80" i="5"/>
  <c r="P80" i="5"/>
  <c r="W80" i="5" s="1"/>
  <c r="O80" i="5"/>
  <c r="L80" i="5"/>
  <c r="I80" i="5"/>
  <c r="R79" i="5"/>
  <c r="P79" i="5"/>
  <c r="O79" i="5"/>
  <c r="L79" i="5"/>
  <c r="I79" i="5"/>
  <c r="W78" i="5"/>
  <c r="R78" i="5"/>
  <c r="P78" i="5"/>
  <c r="V78" i="5" s="1"/>
  <c r="O78" i="5"/>
  <c r="L78" i="5"/>
  <c r="I78" i="5"/>
  <c r="R77" i="5"/>
  <c r="P77" i="5"/>
  <c r="V77" i="5" s="1"/>
  <c r="O77" i="5"/>
  <c r="L77" i="5"/>
  <c r="I77" i="5"/>
  <c r="R76" i="5"/>
  <c r="P76" i="5"/>
  <c r="W76" i="5" s="1"/>
  <c r="O76" i="5"/>
  <c r="L76" i="5"/>
  <c r="I76" i="5"/>
  <c r="R75" i="5"/>
  <c r="P75" i="5"/>
  <c r="V75" i="5" s="1"/>
  <c r="O75" i="5"/>
  <c r="L75" i="5"/>
  <c r="I75" i="5"/>
  <c r="W74" i="5"/>
  <c r="R74" i="5"/>
  <c r="Q74" i="5"/>
  <c r="P74" i="5"/>
  <c r="V74" i="5" s="1"/>
  <c r="O74" i="5"/>
  <c r="L74" i="5"/>
  <c r="I74" i="5"/>
  <c r="R73" i="5"/>
  <c r="Q73" i="5"/>
  <c r="P73" i="5"/>
  <c r="V73" i="5" s="1"/>
  <c r="O73" i="5"/>
  <c r="L73" i="5"/>
  <c r="I73" i="5"/>
  <c r="R72" i="5"/>
  <c r="P72" i="5"/>
  <c r="W72" i="5" s="1"/>
  <c r="O72" i="5"/>
  <c r="L72" i="5"/>
  <c r="I72" i="5"/>
  <c r="R71" i="5"/>
  <c r="P71" i="5"/>
  <c r="V71" i="5" s="1"/>
  <c r="O71" i="5"/>
  <c r="L71" i="5"/>
  <c r="I71" i="5"/>
  <c r="R70" i="5"/>
  <c r="P70" i="5"/>
  <c r="V70" i="5" s="1"/>
  <c r="O70" i="5"/>
  <c r="L70" i="5"/>
  <c r="I70" i="5"/>
  <c r="R69" i="5"/>
  <c r="P69" i="5"/>
  <c r="V69" i="5" s="1"/>
  <c r="O69" i="5"/>
  <c r="L69" i="5"/>
  <c r="I69" i="5"/>
  <c r="R68" i="5"/>
  <c r="P68" i="5"/>
  <c r="O68" i="5"/>
  <c r="L68" i="5"/>
  <c r="I68" i="5"/>
  <c r="R67" i="5"/>
  <c r="P67" i="5"/>
  <c r="O67" i="5"/>
  <c r="L67" i="5"/>
  <c r="I67" i="5"/>
  <c r="W66" i="5"/>
  <c r="R66" i="5"/>
  <c r="P66" i="5"/>
  <c r="V66" i="5" s="1"/>
  <c r="O66" i="5"/>
  <c r="L66" i="5"/>
  <c r="I66" i="5"/>
  <c r="R65" i="5"/>
  <c r="P65" i="5"/>
  <c r="V65" i="5" s="1"/>
  <c r="O65" i="5"/>
  <c r="L65" i="5"/>
  <c r="I65" i="5"/>
  <c r="R64" i="5"/>
  <c r="P64" i="5"/>
  <c r="W64" i="5" s="1"/>
  <c r="O64" i="5"/>
  <c r="L64" i="5"/>
  <c r="I64" i="5"/>
  <c r="R63" i="5"/>
  <c r="P63" i="5"/>
  <c r="O63" i="5"/>
  <c r="L63" i="5"/>
  <c r="I63" i="5"/>
  <c r="R62" i="5"/>
  <c r="P62" i="5"/>
  <c r="V62" i="5" s="1"/>
  <c r="O62" i="5"/>
  <c r="L62" i="5"/>
  <c r="I62" i="5"/>
  <c r="R61" i="5"/>
  <c r="P61" i="5"/>
  <c r="V61" i="5" s="1"/>
  <c r="O61" i="5"/>
  <c r="L61" i="5"/>
  <c r="I61" i="5"/>
  <c r="U60" i="5"/>
  <c r="R60" i="5"/>
  <c r="P60" i="5"/>
  <c r="W60" i="5" s="1"/>
  <c r="O60" i="5"/>
  <c r="L60" i="5"/>
  <c r="I60" i="5"/>
  <c r="R59" i="5"/>
  <c r="P59" i="5"/>
  <c r="V59" i="5" s="1"/>
  <c r="O59" i="5"/>
  <c r="L59" i="5"/>
  <c r="I59" i="5"/>
  <c r="W58" i="5"/>
  <c r="R58" i="5"/>
  <c r="P58" i="5"/>
  <c r="V58" i="5" s="1"/>
  <c r="O58" i="5"/>
  <c r="L58" i="5"/>
  <c r="I58" i="5"/>
  <c r="R57" i="5"/>
  <c r="P57" i="5"/>
  <c r="V57" i="5" s="1"/>
  <c r="O57" i="5"/>
  <c r="L57" i="5"/>
  <c r="I57" i="5"/>
  <c r="U56" i="5"/>
  <c r="R56" i="5"/>
  <c r="P56" i="5"/>
  <c r="W56" i="5" s="1"/>
  <c r="O56" i="5"/>
  <c r="L56" i="5"/>
  <c r="I56" i="5"/>
  <c r="R55" i="5"/>
  <c r="P55" i="5"/>
  <c r="V55" i="5" s="1"/>
  <c r="O55" i="5"/>
  <c r="L55" i="5"/>
  <c r="I55" i="5"/>
  <c r="R54" i="5"/>
  <c r="P54" i="5"/>
  <c r="V54" i="5" s="1"/>
  <c r="O54" i="5"/>
  <c r="L54" i="5"/>
  <c r="I54" i="5"/>
  <c r="U53" i="5"/>
  <c r="R53" i="5"/>
  <c r="P53" i="5"/>
  <c r="V53" i="5" s="1"/>
  <c r="O53" i="5"/>
  <c r="L53" i="5"/>
  <c r="I53" i="5"/>
  <c r="R52" i="5"/>
  <c r="P52" i="5"/>
  <c r="W52" i="5" s="1"/>
  <c r="O52" i="5"/>
  <c r="L52" i="5"/>
  <c r="I52" i="5"/>
  <c r="R51" i="5"/>
  <c r="P51" i="5"/>
  <c r="O51" i="5"/>
  <c r="L51" i="5"/>
  <c r="I51" i="5"/>
  <c r="R50" i="5"/>
  <c r="P50" i="5"/>
  <c r="V50" i="5" s="1"/>
  <c r="O50" i="5"/>
  <c r="L50" i="5"/>
  <c r="I50" i="5"/>
  <c r="R49" i="5"/>
  <c r="P49" i="5"/>
  <c r="V49" i="5" s="1"/>
  <c r="O49" i="5"/>
  <c r="L49" i="5"/>
  <c r="I49" i="5"/>
  <c r="R48" i="5"/>
  <c r="P48" i="5"/>
  <c r="W48" i="5" s="1"/>
  <c r="O48" i="5"/>
  <c r="L48" i="5"/>
  <c r="I48" i="5"/>
  <c r="R47" i="5"/>
  <c r="P47" i="5"/>
  <c r="O47" i="5"/>
  <c r="L47" i="5"/>
  <c r="I47" i="5"/>
  <c r="W46" i="5"/>
  <c r="R46" i="5"/>
  <c r="P46" i="5"/>
  <c r="V46" i="5" s="1"/>
  <c r="O46" i="5"/>
  <c r="L46" i="5"/>
  <c r="I46" i="5"/>
  <c r="R45" i="5"/>
  <c r="P45" i="5"/>
  <c r="V45" i="5" s="1"/>
  <c r="O45" i="5"/>
  <c r="L45" i="5"/>
  <c r="I45" i="5"/>
  <c r="R44" i="5"/>
  <c r="P44" i="5"/>
  <c r="W44" i="5" s="1"/>
  <c r="O44" i="5"/>
  <c r="L44" i="5"/>
  <c r="I44" i="5"/>
  <c r="R43" i="5"/>
  <c r="P43" i="5"/>
  <c r="V43" i="5" s="1"/>
  <c r="O43" i="5"/>
  <c r="L43" i="5"/>
  <c r="I43" i="5"/>
  <c r="R42" i="5"/>
  <c r="P42" i="5"/>
  <c r="O42" i="5"/>
  <c r="L42" i="5"/>
  <c r="I42" i="5"/>
  <c r="U41" i="5"/>
  <c r="R41" i="5"/>
  <c r="Q41" i="5"/>
  <c r="P41" i="5"/>
  <c r="V41" i="5" s="1"/>
  <c r="O41" i="5"/>
  <c r="L41" i="5"/>
  <c r="I41" i="5"/>
  <c r="R40" i="5"/>
  <c r="P40" i="5"/>
  <c r="W40" i="5" s="1"/>
  <c r="O40" i="5"/>
  <c r="L40" i="5"/>
  <c r="I40" i="5"/>
  <c r="R39" i="5"/>
  <c r="P39" i="5"/>
  <c r="V39" i="5" s="1"/>
  <c r="O39" i="5"/>
  <c r="L39" i="5"/>
  <c r="I39" i="5"/>
  <c r="R38" i="5"/>
  <c r="P38" i="5"/>
  <c r="V38" i="5" s="1"/>
  <c r="O38" i="5"/>
  <c r="L38" i="5"/>
  <c r="I38" i="5"/>
  <c r="R37" i="5"/>
  <c r="P37" i="5"/>
  <c r="V37" i="5" s="1"/>
  <c r="O37" i="5"/>
  <c r="L37" i="5"/>
  <c r="I37" i="5"/>
  <c r="R36" i="5"/>
  <c r="P36" i="5"/>
  <c r="O36" i="5"/>
  <c r="L36" i="5"/>
  <c r="I36" i="5"/>
  <c r="R35" i="5"/>
  <c r="P35" i="5"/>
  <c r="O35" i="5"/>
  <c r="L35" i="5"/>
  <c r="I35" i="5"/>
  <c r="R34" i="5"/>
  <c r="P34" i="5"/>
  <c r="V34" i="5" s="1"/>
  <c r="O34" i="5"/>
  <c r="L34" i="5"/>
  <c r="I34" i="5"/>
  <c r="U33" i="5"/>
  <c r="R33" i="5"/>
  <c r="P33" i="5"/>
  <c r="V33" i="5" s="1"/>
  <c r="O33" i="5"/>
  <c r="L33" i="5"/>
  <c r="I33" i="5"/>
  <c r="R32" i="5"/>
  <c r="P32" i="5"/>
  <c r="W32" i="5" s="1"/>
  <c r="O32" i="5"/>
  <c r="L32" i="5"/>
  <c r="I32" i="5"/>
  <c r="R31" i="5"/>
  <c r="P31" i="5"/>
  <c r="O31" i="5"/>
  <c r="L31" i="5"/>
  <c r="I31" i="5"/>
  <c r="R30" i="5"/>
  <c r="P30" i="5"/>
  <c r="V30" i="5" s="1"/>
  <c r="O30" i="5"/>
  <c r="L30" i="5"/>
  <c r="I30" i="5"/>
  <c r="R29" i="5"/>
  <c r="P29" i="5"/>
  <c r="V29" i="5" s="1"/>
  <c r="O29" i="5"/>
  <c r="L29" i="5"/>
  <c r="I29" i="5"/>
  <c r="R28" i="5"/>
  <c r="P28" i="5"/>
  <c r="W28" i="5" s="1"/>
  <c r="O28" i="5"/>
  <c r="L28" i="5"/>
  <c r="I28" i="5"/>
  <c r="R27" i="5"/>
  <c r="P27" i="5"/>
  <c r="V27" i="5" s="1"/>
  <c r="O27" i="5"/>
  <c r="L27" i="5"/>
  <c r="I27" i="5"/>
  <c r="R26" i="5"/>
  <c r="P26" i="5"/>
  <c r="O26" i="5"/>
  <c r="L26" i="5"/>
  <c r="I26" i="5"/>
  <c r="U25" i="5"/>
  <c r="R25" i="5"/>
  <c r="P25" i="5"/>
  <c r="V25" i="5" s="1"/>
  <c r="O25" i="5"/>
  <c r="L25" i="5"/>
  <c r="I25" i="5"/>
  <c r="R24" i="5"/>
  <c r="P24" i="5"/>
  <c r="O24" i="5"/>
  <c r="L24" i="5"/>
  <c r="I24" i="5"/>
  <c r="R23" i="5"/>
  <c r="P23" i="5"/>
  <c r="V23" i="5" s="1"/>
  <c r="O23" i="5"/>
  <c r="L23" i="5"/>
  <c r="I23" i="5"/>
  <c r="W22" i="5"/>
  <c r="R22" i="5"/>
  <c r="P22" i="5"/>
  <c r="V22" i="5" s="1"/>
  <c r="O22" i="5"/>
  <c r="L22" i="5"/>
  <c r="I22" i="5"/>
  <c r="R21" i="5"/>
  <c r="P21" i="5"/>
  <c r="V21" i="5" s="1"/>
  <c r="O21" i="5"/>
  <c r="L21" i="5"/>
  <c r="I21" i="5"/>
  <c r="R20" i="5"/>
  <c r="P20" i="5"/>
  <c r="W20" i="5" s="1"/>
  <c r="O20" i="5"/>
  <c r="L20" i="5"/>
  <c r="I20" i="5"/>
  <c r="R19" i="5"/>
  <c r="P19" i="5"/>
  <c r="O19" i="5"/>
  <c r="L19" i="5"/>
  <c r="I19" i="5"/>
  <c r="R18" i="5"/>
  <c r="P18" i="5"/>
  <c r="V18" i="5" s="1"/>
  <c r="O18" i="5"/>
  <c r="L18" i="5"/>
  <c r="I18" i="5"/>
  <c r="R17" i="5"/>
  <c r="P17" i="5"/>
  <c r="V17" i="5" s="1"/>
  <c r="O17" i="5"/>
  <c r="L17" i="5"/>
  <c r="I17" i="5"/>
  <c r="U16" i="5"/>
  <c r="R16" i="5"/>
  <c r="P16" i="5"/>
  <c r="W16" i="5" s="1"/>
  <c r="O16" i="5"/>
  <c r="L16" i="5"/>
  <c r="I16" i="5"/>
  <c r="R15" i="5"/>
  <c r="P15" i="5"/>
  <c r="O15" i="5"/>
  <c r="L15" i="5"/>
  <c r="I15" i="5"/>
  <c r="R14" i="5"/>
  <c r="P14" i="5"/>
  <c r="V14" i="5" s="1"/>
  <c r="O14" i="5"/>
  <c r="L14" i="5"/>
  <c r="I14" i="5"/>
  <c r="U13" i="5"/>
  <c r="R13" i="5"/>
  <c r="P13" i="5"/>
  <c r="V13" i="5" s="1"/>
  <c r="O13" i="5"/>
  <c r="L13" i="5"/>
  <c r="I13" i="5"/>
  <c r="R12" i="5"/>
  <c r="P12" i="5"/>
  <c r="W12" i="5" s="1"/>
  <c r="O12" i="5"/>
  <c r="L12" i="5"/>
  <c r="I12" i="5"/>
  <c r="Q333" i="4"/>
  <c r="M333" i="4"/>
  <c r="K333" i="4"/>
  <c r="H333" i="4"/>
  <c r="Q331" i="4"/>
  <c r="N331" i="4"/>
  <c r="K331" i="4"/>
  <c r="G331" i="4"/>
  <c r="O331" i="4" s="1"/>
  <c r="Q330" i="4"/>
  <c r="O330" i="4"/>
  <c r="U330" i="4" s="1"/>
  <c r="N330" i="4"/>
  <c r="K330" i="4"/>
  <c r="H330" i="4"/>
  <c r="T329" i="4"/>
  <c r="Q329" i="4"/>
  <c r="O329" i="4"/>
  <c r="V329" i="4" s="1"/>
  <c r="N329" i="4"/>
  <c r="K329" i="4"/>
  <c r="H329" i="4"/>
  <c r="Q328" i="4"/>
  <c r="N328" i="4"/>
  <c r="K328" i="4"/>
  <c r="G328" i="4"/>
  <c r="O328" i="4" s="1"/>
  <c r="Q327" i="4"/>
  <c r="N327" i="4"/>
  <c r="K327" i="4"/>
  <c r="G327" i="4"/>
  <c r="Q326" i="4"/>
  <c r="N326" i="4"/>
  <c r="K326" i="4"/>
  <c r="G326" i="4"/>
  <c r="O326" i="4" s="1"/>
  <c r="U326" i="4" s="1"/>
  <c r="Q325" i="4"/>
  <c r="N325" i="4"/>
  <c r="K325" i="4"/>
  <c r="G325" i="4"/>
  <c r="Q324" i="4"/>
  <c r="M324" i="4"/>
  <c r="K324" i="4"/>
  <c r="H324" i="4"/>
  <c r="Q323" i="4"/>
  <c r="M323" i="4"/>
  <c r="K323" i="4"/>
  <c r="H323" i="4"/>
  <c r="Q322" i="4"/>
  <c r="O322" i="4"/>
  <c r="M322" i="4"/>
  <c r="N322" i="4" s="1"/>
  <c r="K322" i="4"/>
  <c r="H322" i="4"/>
  <c r="Q321" i="4"/>
  <c r="M321" i="4"/>
  <c r="K321" i="4"/>
  <c r="H321" i="4"/>
  <c r="Q320" i="4"/>
  <c r="M320" i="4"/>
  <c r="K320" i="4"/>
  <c r="H320" i="4"/>
  <c r="Q319" i="4"/>
  <c r="M319" i="4"/>
  <c r="K319" i="4"/>
  <c r="H319" i="4"/>
  <c r="Q318" i="4"/>
  <c r="M318" i="4"/>
  <c r="O318" i="4" s="1"/>
  <c r="U318" i="4" s="1"/>
  <c r="K318" i="4"/>
  <c r="H318" i="4"/>
  <c r="Q317" i="4"/>
  <c r="N317" i="4"/>
  <c r="K317" i="4"/>
  <c r="G317" i="4"/>
  <c r="O317" i="4" s="1"/>
  <c r="U316" i="4"/>
  <c r="Q316" i="4"/>
  <c r="O316" i="4"/>
  <c r="N316" i="4"/>
  <c r="K316" i="4"/>
  <c r="H316" i="4"/>
  <c r="Q315" i="4"/>
  <c r="N315" i="4"/>
  <c r="K315" i="4"/>
  <c r="G315" i="4"/>
  <c r="Q314" i="4"/>
  <c r="M314" i="4"/>
  <c r="N314" i="4" s="1"/>
  <c r="J314" i="4"/>
  <c r="K314" i="4" s="1"/>
  <c r="H314" i="4"/>
  <c r="T313" i="4"/>
  <c r="Q313" i="4"/>
  <c r="O313" i="4"/>
  <c r="U313" i="4" s="1"/>
  <c r="N313" i="4"/>
  <c r="K313" i="4"/>
  <c r="H313" i="4"/>
  <c r="Q312" i="4"/>
  <c r="O312" i="4"/>
  <c r="V312" i="4" s="1"/>
  <c r="N312" i="4"/>
  <c r="K312" i="4"/>
  <c r="H312" i="4"/>
  <c r="Q311" i="4"/>
  <c r="N311" i="4"/>
  <c r="K311" i="4"/>
  <c r="G311" i="4"/>
  <c r="O311" i="4" s="1"/>
  <c r="Q310" i="4"/>
  <c r="P310" i="4"/>
  <c r="O310" i="4"/>
  <c r="U310" i="4" s="1"/>
  <c r="N310" i="4"/>
  <c r="K310" i="4"/>
  <c r="H310" i="4"/>
  <c r="Q309" i="4"/>
  <c r="O309" i="4"/>
  <c r="V309" i="4" s="1"/>
  <c r="N309" i="4"/>
  <c r="K309" i="4"/>
  <c r="H309" i="4"/>
  <c r="Q308" i="4"/>
  <c r="O308" i="4"/>
  <c r="N308" i="4"/>
  <c r="K308" i="4"/>
  <c r="H308" i="4"/>
  <c r="V307" i="4"/>
  <c r="Q307" i="4"/>
  <c r="O307" i="4"/>
  <c r="U307" i="4" s="1"/>
  <c r="N307" i="4"/>
  <c r="K307" i="4"/>
  <c r="H307" i="4"/>
  <c r="Q306" i="4"/>
  <c r="O306" i="4"/>
  <c r="U306" i="4" s="1"/>
  <c r="N306" i="4"/>
  <c r="K306" i="4"/>
  <c r="H306" i="4"/>
  <c r="T305" i="4"/>
  <c r="Q305" i="4"/>
  <c r="O305" i="4"/>
  <c r="V305" i="4" s="1"/>
  <c r="N305" i="4"/>
  <c r="K305" i="4"/>
  <c r="H305" i="4"/>
  <c r="Q304" i="4"/>
  <c r="O304" i="4"/>
  <c r="U304" i="4" s="1"/>
  <c r="N304" i="4"/>
  <c r="K304" i="4"/>
  <c r="H304" i="4"/>
  <c r="V303" i="4"/>
  <c r="Q303" i="4"/>
  <c r="P303" i="4"/>
  <c r="O303" i="4"/>
  <c r="U303" i="4" s="1"/>
  <c r="N303" i="4"/>
  <c r="K303" i="4"/>
  <c r="H303" i="4"/>
  <c r="Q302" i="4"/>
  <c r="O302" i="4"/>
  <c r="N302" i="4"/>
  <c r="K302" i="4"/>
  <c r="H302" i="4"/>
  <c r="Q301" i="4"/>
  <c r="O301" i="4"/>
  <c r="N301" i="4"/>
  <c r="K301" i="4"/>
  <c r="H301" i="4"/>
  <c r="Q300" i="4"/>
  <c r="O300" i="4"/>
  <c r="U300" i="4" s="1"/>
  <c r="N300" i="4"/>
  <c r="K300" i="4"/>
  <c r="H300" i="4"/>
  <c r="Q299" i="4"/>
  <c r="P299" i="4"/>
  <c r="O299" i="4"/>
  <c r="U299" i="4" s="1"/>
  <c r="N299" i="4"/>
  <c r="K299" i="4"/>
  <c r="H299" i="4"/>
  <c r="Q298" i="4"/>
  <c r="N298" i="4"/>
  <c r="K298" i="4"/>
  <c r="H298" i="4"/>
  <c r="G298" i="4"/>
  <c r="O298" i="4" s="1"/>
  <c r="Q297" i="4"/>
  <c r="N297" i="4"/>
  <c r="K297" i="4"/>
  <c r="G297" i="4"/>
  <c r="O297" i="4" s="1"/>
  <c r="Q296" i="4"/>
  <c r="N296" i="4"/>
  <c r="K296" i="4"/>
  <c r="G296" i="4"/>
  <c r="Q295" i="4"/>
  <c r="N295" i="4"/>
  <c r="K295" i="4"/>
  <c r="G295" i="4"/>
  <c r="O295" i="4" s="1"/>
  <c r="U295" i="4" s="1"/>
  <c r="Q294" i="4"/>
  <c r="N294" i="4"/>
  <c r="K294" i="4"/>
  <c r="H294" i="4"/>
  <c r="G294" i="4"/>
  <c r="O294" i="4" s="1"/>
  <c r="Q293" i="4"/>
  <c r="O293" i="4"/>
  <c r="U293" i="4" s="1"/>
  <c r="N293" i="4"/>
  <c r="K293" i="4"/>
  <c r="H293" i="4"/>
  <c r="Q292" i="4"/>
  <c r="N292" i="4"/>
  <c r="K292" i="4"/>
  <c r="G292" i="4"/>
  <c r="Q291" i="4"/>
  <c r="N291" i="4"/>
  <c r="K291" i="4"/>
  <c r="G291" i="4"/>
  <c r="H291" i="4" s="1"/>
  <c r="Q290" i="4"/>
  <c r="N290" i="4"/>
  <c r="K290" i="4"/>
  <c r="H290" i="4"/>
  <c r="G290" i="4"/>
  <c r="O290" i="4" s="1"/>
  <c r="U290" i="4" s="1"/>
  <c r="Q289" i="4"/>
  <c r="N289" i="4"/>
  <c r="K289" i="4"/>
  <c r="G289" i="4"/>
  <c r="H289" i="4" s="1"/>
  <c r="Q288" i="4"/>
  <c r="N288" i="4"/>
  <c r="K288" i="4"/>
  <c r="G288" i="4"/>
  <c r="Q287" i="4"/>
  <c r="N287" i="4"/>
  <c r="K287" i="4"/>
  <c r="G287" i="4"/>
  <c r="H287" i="4" s="1"/>
  <c r="Q286" i="4"/>
  <c r="N286" i="4"/>
  <c r="K286" i="4"/>
  <c r="G286" i="4"/>
  <c r="O286" i="4" s="1"/>
  <c r="U286" i="4" s="1"/>
  <c r="Q285" i="4"/>
  <c r="N285" i="4"/>
  <c r="K285" i="4"/>
  <c r="G285" i="4"/>
  <c r="H285" i="4" s="1"/>
  <c r="Q284" i="4"/>
  <c r="N284" i="4"/>
  <c r="K284" i="4"/>
  <c r="G284" i="4"/>
  <c r="Q283" i="4"/>
  <c r="N283" i="4"/>
  <c r="K283" i="4"/>
  <c r="G283" i="4"/>
  <c r="H283" i="4" s="1"/>
  <c r="Q282" i="4"/>
  <c r="N282" i="4"/>
  <c r="K282" i="4"/>
  <c r="H282" i="4"/>
  <c r="G282" i="4"/>
  <c r="O282" i="4" s="1"/>
  <c r="U282" i="4" s="1"/>
  <c r="Q281" i="4"/>
  <c r="N281" i="4"/>
  <c r="K281" i="4"/>
  <c r="G281" i="4"/>
  <c r="H281" i="4" s="1"/>
  <c r="Q280" i="4"/>
  <c r="N280" i="4"/>
  <c r="K280" i="4"/>
  <c r="G280" i="4"/>
  <c r="Q279" i="4"/>
  <c r="O279" i="4"/>
  <c r="V279" i="4" s="1"/>
  <c r="N279" i="4"/>
  <c r="K279" i="4"/>
  <c r="H279" i="4"/>
  <c r="Q278" i="4"/>
  <c r="N278" i="4"/>
  <c r="K278" i="4"/>
  <c r="G278" i="4"/>
  <c r="O278" i="4" s="1"/>
  <c r="Q277" i="4"/>
  <c r="N277" i="4"/>
  <c r="K277" i="4"/>
  <c r="H277" i="4"/>
  <c r="G277" i="4"/>
  <c r="O277" i="4" s="1"/>
  <c r="Q276" i="4"/>
  <c r="O276" i="4"/>
  <c r="N276" i="4"/>
  <c r="K276" i="4"/>
  <c r="H276" i="4"/>
  <c r="Q275" i="4"/>
  <c r="O275" i="4"/>
  <c r="U275" i="4" s="1"/>
  <c r="N275" i="4"/>
  <c r="K275" i="4"/>
  <c r="H275" i="4"/>
  <c r="T274" i="4"/>
  <c r="Q274" i="4"/>
  <c r="O274" i="4"/>
  <c r="U274" i="4" s="1"/>
  <c r="N274" i="4"/>
  <c r="K274" i="4"/>
  <c r="H274" i="4"/>
  <c r="Q273" i="4"/>
  <c r="N273" i="4"/>
  <c r="K273" i="4"/>
  <c r="G273" i="4"/>
  <c r="H273" i="4" s="1"/>
  <c r="Q272" i="4"/>
  <c r="N272" i="4"/>
  <c r="K272" i="4"/>
  <c r="G272" i="4"/>
  <c r="Q271" i="4"/>
  <c r="N271" i="4"/>
  <c r="K271" i="4"/>
  <c r="G271" i="4"/>
  <c r="H271" i="4" s="1"/>
  <c r="Q270" i="4"/>
  <c r="N270" i="4"/>
  <c r="J270" i="4"/>
  <c r="H270" i="4"/>
  <c r="G270" i="4"/>
  <c r="Q269" i="4"/>
  <c r="M269" i="4"/>
  <c r="N269" i="4" s="1"/>
  <c r="K269" i="4"/>
  <c r="H269" i="4"/>
  <c r="G269" i="4"/>
  <c r="Q268" i="4"/>
  <c r="N268" i="4"/>
  <c r="K268" i="4"/>
  <c r="G268" i="4"/>
  <c r="H268" i="4" s="1"/>
  <c r="Q267" i="4"/>
  <c r="N267" i="4"/>
  <c r="K267" i="4"/>
  <c r="G267" i="4"/>
  <c r="O267" i="4" s="1"/>
  <c r="U267" i="4" s="1"/>
  <c r="Q266" i="4"/>
  <c r="N266" i="4"/>
  <c r="K266" i="4"/>
  <c r="G266" i="4"/>
  <c r="H266" i="4" s="1"/>
  <c r="V265" i="4"/>
  <c r="Q265" i="4"/>
  <c r="N265" i="4"/>
  <c r="K265" i="4"/>
  <c r="H265" i="4"/>
  <c r="G265" i="4"/>
  <c r="O265" i="4" s="1"/>
  <c r="U265" i="4" s="1"/>
  <c r="Q264" i="4"/>
  <c r="N264" i="4"/>
  <c r="K264" i="4"/>
  <c r="G264" i="4"/>
  <c r="H264" i="4" s="1"/>
  <c r="Q263" i="4"/>
  <c r="N263" i="4"/>
  <c r="K263" i="4"/>
  <c r="G263" i="4"/>
  <c r="O263" i="4" s="1"/>
  <c r="U263" i="4" s="1"/>
  <c r="Q262" i="4"/>
  <c r="N262" i="4"/>
  <c r="K262" i="4"/>
  <c r="G262" i="4"/>
  <c r="H262" i="4" s="1"/>
  <c r="V261" i="4"/>
  <c r="Q261" i="4"/>
  <c r="N261" i="4"/>
  <c r="K261" i="4"/>
  <c r="H261" i="4"/>
  <c r="G261" i="4"/>
  <c r="O261" i="4" s="1"/>
  <c r="U261" i="4" s="1"/>
  <c r="Q260" i="4"/>
  <c r="N260" i="4"/>
  <c r="K260" i="4"/>
  <c r="G260" i="4"/>
  <c r="H260" i="4" s="1"/>
  <c r="Q259" i="4"/>
  <c r="N259" i="4"/>
  <c r="K259" i="4"/>
  <c r="G259" i="4"/>
  <c r="O259" i="4" s="1"/>
  <c r="U259" i="4" s="1"/>
  <c r="Q258" i="4"/>
  <c r="N258" i="4"/>
  <c r="K258" i="4"/>
  <c r="G258" i="4"/>
  <c r="H258" i="4" s="1"/>
  <c r="V257" i="4"/>
  <c r="Q257" i="4"/>
  <c r="N257" i="4"/>
  <c r="K257" i="4"/>
  <c r="H257" i="4"/>
  <c r="G257" i="4"/>
  <c r="O257" i="4" s="1"/>
  <c r="U257" i="4" s="1"/>
  <c r="Q256" i="4"/>
  <c r="N256" i="4"/>
  <c r="K256" i="4"/>
  <c r="G256" i="4"/>
  <c r="H256" i="4" s="1"/>
  <c r="Q255" i="4"/>
  <c r="N255" i="4"/>
  <c r="K255" i="4"/>
  <c r="G255" i="4"/>
  <c r="O255" i="4" s="1"/>
  <c r="U255" i="4" s="1"/>
  <c r="Q254" i="4"/>
  <c r="N254" i="4"/>
  <c r="K254" i="4"/>
  <c r="G254" i="4"/>
  <c r="H254" i="4" s="1"/>
  <c r="Q253" i="4"/>
  <c r="O253" i="4"/>
  <c r="N253" i="4"/>
  <c r="K253" i="4"/>
  <c r="H253" i="4"/>
  <c r="Q252" i="4"/>
  <c r="N252" i="4"/>
  <c r="K252" i="4"/>
  <c r="G252" i="4"/>
  <c r="O252" i="4" s="1"/>
  <c r="Q251" i="4"/>
  <c r="N251" i="4"/>
  <c r="K251" i="4"/>
  <c r="G251" i="4"/>
  <c r="Q250" i="4"/>
  <c r="N250" i="4"/>
  <c r="K250" i="4"/>
  <c r="G250" i="4"/>
  <c r="Q249" i="4"/>
  <c r="N249" i="4"/>
  <c r="K249" i="4"/>
  <c r="G249" i="4"/>
  <c r="O249" i="4" s="1"/>
  <c r="Q248" i="4"/>
  <c r="N248" i="4"/>
  <c r="K248" i="4"/>
  <c r="G248" i="4"/>
  <c r="Q247" i="4"/>
  <c r="N247" i="4"/>
  <c r="K247" i="4"/>
  <c r="G247" i="4"/>
  <c r="O247" i="4" s="1"/>
  <c r="Q246" i="4"/>
  <c r="N246" i="4"/>
  <c r="K246" i="4"/>
  <c r="G246" i="4"/>
  <c r="O246" i="4" s="1"/>
  <c r="Q245" i="4"/>
  <c r="N245" i="4"/>
  <c r="K245" i="4"/>
  <c r="G245" i="4"/>
  <c r="O245" i="4" s="1"/>
  <c r="U245" i="4" s="1"/>
  <c r="Q244" i="4"/>
  <c r="N244" i="4"/>
  <c r="K244" i="4"/>
  <c r="H244" i="4"/>
  <c r="G244" i="4"/>
  <c r="O244" i="4" s="1"/>
  <c r="Q243" i="4"/>
  <c r="N243" i="4"/>
  <c r="K243" i="4"/>
  <c r="G243" i="4"/>
  <c r="Q242" i="4"/>
  <c r="N242" i="4"/>
  <c r="K242" i="4"/>
  <c r="G242" i="4"/>
  <c r="O242" i="4" s="1"/>
  <c r="Q241" i="4"/>
  <c r="N241" i="4"/>
  <c r="K241" i="4"/>
  <c r="G241" i="4"/>
  <c r="O241" i="4" s="1"/>
  <c r="Q240" i="4"/>
  <c r="N240" i="4"/>
  <c r="K240" i="4"/>
  <c r="G240" i="4"/>
  <c r="O240" i="4" s="1"/>
  <c r="Q239" i="4"/>
  <c r="O239" i="4"/>
  <c r="N239" i="4"/>
  <c r="K239" i="4"/>
  <c r="H239" i="4"/>
  <c r="Q238" i="4"/>
  <c r="N238" i="4"/>
  <c r="K238" i="4"/>
  <c r="G238" i="4"/>
  <c r="Q237" i="4"/>
  <c r="N237" i="4"/>
  <c r="K237" i="4"/>
  <c r="G237" i="4"/>
  <c r="H237" i="4" s="1"/>
  <c r="V236" i="4"/>
  <c r="Q236" i="4"/>
  <c r="N236" i="4"/>
  <c r="K236" i="4"/>
  <c r="H236" i="4"/>
  <c r="G236" i="4"/>
  <c r="O236" i="4" s="1"/>
  <c r="U236" i="4" s="1"/>
  <c r="Q235" i="4"/>
  <c r="N235" i="4"/>
  <c r="K235" i="4"/>
  <c r="G235" i="4"/>
  <c r="H235" i="4" s="1"/>
  <c r="Q234" i="4"/>
  <c r="N234" i="4"/>
  <c r="K234" i="4"/>
  <c r="G234" i="4"/>
  <c r="Q233" i="4"/>
  <c r="N233" i="4"/>
  <c r="K233" i="4"/>
  <c r="G233" i="4"/>
  <c r="H233" i="4" s="1"/>
  <c r="V232" i="4"/>
  <c r="Q232" i="4"/>
  <c r="N232" i="4"/>
  <c r="K232" i="4"/>
  <c r="H232" i="4"/>
  <c r="G232" i="4"/>
  <c r="O232" i="4" s="1"/>
  <c r="U232" i="4" s="1"/>
  <c r="Q231" i="4"/>
  <c r="N231" i="4"/>
  <c r="K231" i="4"/>
  <c r="G231" i="4"/>
  <c r="H231" i="4" s="1"/>
  <c r="Q230" i="4"/>
  <c r="N230" i="4"/>
  <c r="K230" i="4"/>
  <c r="G230" i="4"/>
  <c r="Q229" i="4"/>
  <c r="N229" i="4"/>
  <c r="K229" i="4"/>
  <c r="G229" i="4"/>
  <c r="H229" i="4" s="1"/>
  <c r="Q228" i="4"/>
  <c r="O228" i="4"/>
  <c r="V228" i="4" s="1"/>
  <c r="N228" i="4"/>
  <c r="K228" i="4"/>
  <c r="H228" i="4"/>
  <c r="Q227" i="4"/>
  <c r="M227" i="4"/>
  <c r="K227" i="4"/>
  <c r="J227" i="4"/>
  <c r="G227" i="4"/>
  <c r="Q226" i="4"/>
  <c r="N226" i="4"/>
  <c r="K226" i="4"/>
  <c r="H226" i="4"/>
  <c r="G226" i="4"/>
  <c r="O226" i="4" s="1"/>
  <c r="Q225" i="4"/>
  <c r="O225" i="4"/>
  <c r="U225" i="4" s="1"/>
  <c r="N225" i="4"/>
  <c r="K225" i="4"/>
  <c r="H225" i="4"/>
  <c r="Q224" i="4"/>
  <c r="M224" i="4"/>
  <c r="N224" i="4" s="1"/>
  <c r="J224" i="4"/>
  <c r="K224" i="4" s="1"/>
  <c r="G224" i="4"/>
  <c r="Q223" i="4"/>
  <c r="N223" i="4"/>
  <c r="K223" i="4"/>
  <c r="G223" i="4"/>
  <c r="O223" i="4" s="1"/>
  <c r="U223" i="4" s="1"/>
  <c r="Q222" i="4"/>
  <c r="N222" i="4"/>
  <c r="K222" i="4"/>
  <c r="G222" i="4"/>
  <c r="H222" i="4" s="1"/>
  <c r="Q221" i="4"/>
  <c r="N221" i="4"/>
  <c r="K221" i="4"/>
  <c r="G221" i="4"/>
  <c r="Q220" i="4"/>
  <c r="N220" i="4"/>
  <c r="K220" i="4"/>
  <c r="G220" i="4"/>
  <c r="H220" i="4" s="1"/>
  <c r="Q219" i="4"/>
  <c r="N219" i="4"/>
  <c r="K219" i="4"/>
  <c r="H219" i="4"/>
  <c r="G219" i="4"/>
  <c r="O219" i="4" s="1"/>
  <c r="U219" i="4" s="1"/>
  <c r="Q218" i="4"/>
  <c r="N218" i="4"/>
  <c r="K218" i="4"/>
  <c r="G218" i="4"/>
  <c r="H218" i="4" s="1"/>
  <c r="Q217" i="4"/>
  <c r="N217" i="4"/>
  <c r="K217" i="4"/>
  <c r="G217" i="4"/>
  <c r="H217" i="4" s="1"/>
  <c r="Q216" i="4"/>
  <c r="N216" i="4"/>
  <c r="K216" i="4"/>
  <c r="G216" i="4"/>
  <c r="H216" i="4" s="1"/>
  <c r="U215" i="4"/>
  <c r="Q215" i="4"/>
  <c r="O215" i="4"/>
  <c r="N215" i="4"/>
  <c r="K215" i="4"/>
  <c r="H215" i="4"/>
  <c r="Q214" i="4"/>
  <c r="O214" i="4"/>
  <c r="N214" i="4"/>
  <c r="K214" i="4"/>
  <c r="H214" i="4"/>
  <c r="Q213" i="4"/>
  <c r="O213" i="4"/>
  <c r="N213" i="4"/>
  <c r="K213" i="4"/>
  <c r="H213" i="4"/>
  <c r="Q212" i="4"/>
  <c r="M212" i="4"/>
  <c r="N212" i="4" s="1"/>
  <c r="K212" i="4"/>
  <c r="H212" i="4"/>
  <c r="Q211" i="4"/>
  <c r="M211" i="4"/>
  <c r="K211" i="4"/>
  <c r="H211" i="4"/>
  <c r="Q210" i="4"/>
  <c r="O210" i="4"/>
  <c r="U210" i="4" s="1"/>
  <c r="N210" i="4"/>
  <c r="K210" i="4"/>
  <c r="H210" i="4"/>
  <c r="Q209" i="4"/>
  <c r="O209" i="4"/>
  <c r="N209" i="4"/>
  <c r="K209" i="4"/>
  <c r="H209" i="4"/>
  <c r="Q208" i="4"/>
  <c r="O208" i="4"/>
  <c r="N208" i="4"/>
  <c r="K208" i="4"/>
  <c r="H208" i="4"/>
  <c r="Q207" i="4"/>
  <c r="O207" i="4"/>
  <c r="N207" i="4"/>
  <c r="K207" i="4"/>
  <c r="H207" i="4"/>
  <c r="Q206" i="4"/>
  <c r="O206" i="4"/>
  <c r="T206" i="4" s="1"/>
  <c r="N206" i="4"/>
  <c r="K206" i="4"/>
  <c r="H206" i="4"/>
  <c r="Q205" i="4"/>
  <c r="O205" i="4"/>
  <c r="N205" i="4"/>
  <c r="K205" i="4"/>
  <c r="H205" i="4"/>
  <c r="V204" i="4"/>
  <c r="Q204" i="4"/>
  <c r="P204" i="4"/>
  <c r="O204" i="4"/>
  <c r="U204" i="4" s="1"/>
  <c r="N204" i="4"/>
  <c r="K204" i="4"/>
  <c r="H204" i="4"/>
  <c r="Q203" i="4"/>
  <c r="O203" i="4"/>
  <c r="N203" i="4"/>
  <c r="K203" i="4"/>
  <c r="H203" i="4"/>
  <c r="Q202" i="4"/>
  <c r="O202" i="4"/>
  <c r="U202" i="4" s="1"/>
  <c r="N202" i="4"/>
  <c r="K202" i="4"/>
  <c r="H202" i="4"/>
  <c r="Q201" i="4"/>
  <c r="O201" i="4"/>
  <c r="N201" i="4"/>
  <c r="K201" i="4"/>
  <c r="H201" i="4"/>
  <c r="V200" i="4"/>
  <c r="Q200" i="4"/>
  <c r="P200" i="4"/>
  <c r="O200" i="4"/>
  <c r="U200" i="4" s="1"/>
  <c r="N200" i="4"/>
  <c r="K200" i="4"/>
  <c r="H200" i="4"/>
  <c r="Q199" i="4"/>
  <c r="N199" i="4"/>
  <c r="K199" i="4"/>
  <c r="G199" i="4"/>
  <c r="Q198" i="4"/>
  <c r="O198" i="4"/>
  <c r="V198" i="4" s="1"/>
  <c r="N198" i="4"/>
  <c r="K198" i="4"/>
  <c r="H198" i="4"/>
  <c r="Q197" i="4"/>
  <c r="N197" i="4"/>
  <c r="K197" i="4"/>
  <c r="G197" i="4"/>
  <c r="Q196" i="4"/>
  <c r="N196" i="4"/>
  <c r="K196" i="4"/>
  <c r="G196" i="4"/>
  <c r="H196" i="4" s="1"/>
  <c r="Q195" i="4"/>
  <c r="N195" i="4"/>
  <c r="K195" i="4"/>
  <c r="G195" i="4"/>
  <c r="Q194" i="4"/>
  <c r="N194" i="4"/>
  <c r="K194" i="4"/>
  <c r="G194" i="4"/>
  <c r="Q193" i="4"/>
  <c r="N193" i="4"/>
  <c r="K193" i="4"/>
  <c r="G193" i="4"/>
  <c r="O193" i="4" s="1"/>
  <c r="U193" i="4" s="1"/>
  <c r="Q192" i="4"/>
  <c r="N192" i="4"/>
  <c r="K192" i="4"/>
  <c r="G192" i="4"/>
  <c r="Q191" i="4"/>
  <c r="N191" i="4"/>
  <c r="K191" i="4"/>
  <c r="H191" i="4"/>
  <c r="G191" i="4"/>
  <c r="O191" i="4" s="1"/>
  <c r="Q190" i="4"/>
  <c r="N190" i="4"/>
  <c r="K190" i="4"/>
  <c r="G190" i="4"/>
  <c r="H190" i="4" s="1"/>
  <c r="Q189" i="4"/>
  <c r="N189" i="4"/>
  <c r="K189" i="4"/>
  <c r="G189" i="4"/>
  <c r="H189" i="4" s="1"/>
  <c r="Q188" i="4"/>
  <c r="M188" i="4"/>
  <c r="N188" i="4" s="1"/>
  <c r="K188" i="4"/>
  <c r="G188" i="4"/>
  <c r="Q187" i="4"/>
  <c r="O187" i="4"/>
  <c r="N187" i="4"/>
  <c r="K187" i="4"/>
  <c r="H187" i="4"/>
  <c r="Q186" i="4"/>
  <c r="O186" i="4"/>
  <c r="N186" i="4"/>
  <c r="K186" i="4"/>
  <c r="H186" i="4"/>
  <c r="Q185" i="4"/>
  <c r="O185" i="4"/>
  <c r="U185" i="4" s="1"/>
  <c r="N185" i="4"/>
  <c r="K185" i="4"/>
  <c r="H185" i="4"/>
  <c r="Q184" i="4"/>
  <c r="N184" i="4"/>
  <c r="J184" i="4"/>
  <c r="K184" i="4" s="1"/>
  <c r="G184" i="4"/>
  <c r="Q183" i="4"/>
  <c r="N183" i="4"/>
  <c r="J183" i="4"/>
  <c r="G183" i="4"/>
  <c r="Q182" i="4"/>
  <c r="N182" i="4"/>
  <c r="J182" i="4"/>
  <c r="K182" i="4" s="1"/>
  <c r="G182" i="4"/>
  <c r="Q181" i="4"/>
  <c r="N181" i="4"/>
  <c r="J181" i="4"/>
  <c r="K181" i="4" s="1"/>
  <c r="G181" i="4"/>
  <c r="Q180" i="4"/>
  <c r="N180" i="4"/>
  <c r="J180" i="4"/>
  <c r="K180" i="4" s="1"/>
  <c r="G180" i="4"/>
  <c r="Q179" i="4"/>
  <c r="N179" i="4"/>
  <c r="K179" i="4"/>
  <c r="H179" i="4"/>
  <c r="G179" i="4"/>
  <c r="O179" i="4" s="1"/>
  <c r="Q178" i="4"/>
  <c r="N178" i="4"/>
  <c r="K178" i="4"/>
  <c r="G178" i="4"/>
  <c r="Q177" i="4"/>
  <c r="N177" i="4"/>
  <c r="J177" i="4"/>
  <c r="H177" i="4"/>
  <c r="Q176" i="4"/>
  <c r="N176" i="4"/>
  <c r="J176" i="4"/>
  <c r="K176" i="4" s="1"/>
  <c r="G176" i="4"/>
  <c r="Q175" i="4"/>
  <c r="M175" i="4"/>
  <c r="J175" i="4"/>
  <c r="K175" i="4" s="1"/>
  <c r="H175" i="4"/>
  <c r="Q174" i="4"/>
  <c r="N174" i="4"/>
  <c r="J174" i="4"/>
  <c r="G174" i="4"/>
  <c r="Q173" i="4"/>
  <c r="N173" i="4"/>
  <c r="J173" i="4"/>
  <c r="K173" i="4" s="1"/>
  <c r="G173" i="4"/>
  <c r="Q172" i="4"/>
  <c r="N172" i="4"/>
  <c r="J172" i="4"/>
  <c r="K172" i="4" s="1"/>
  <c r="G172" i="4"/>
  <c r="Q171" i="4"/>
  <c r="N171" i="4"/>
  <c r="J171" i="4"/>
  <c r="K171" i="4" s="1"/>
  <c r="G171" i="4"/>
  <c r="Q170" i="4"/>
  <c r="N170" i="4"/>
  <c r="J170" i="4"/>
  <c r="G170" i="4"/>
  <c r="Q169" i="4"/>
  <c r="O169" i="4"/>
  <c r="N169" i="4"/>
  <c r="K169" i="4"/>
  <c r="J169" i="4"/>
  <c r="H169" i="4"/>
  <c r="G169" i="4"/>
  <c r="Q168" i="4"/>
  <c r="N168" i="4"/>
  <c r="J168" i="4"/>
  <c r="K168" i="4" s="1"/>
  <c r="G168" i="4"/>
  <c r="Q167" i="4"/>
  <c r="N167" i="4"/>
  <c r="J167" i="4"/>
  <c r="K167" i="4" s="1"/>
  <c r="G167" i="4"/>
  <c r="T166" i="4"/>
  <c r="Q166" i="4"/>
  <c r="P166" i="4"/>
  <c r="O166" i="4"/>
  <c r="U166" i="4" s="1"/>
  <c r="N166" i="4"/>
  <c r="K166" i="4"/>
  <c r="H166" i="4"/>
  <c r="Q165" i="4"/>
  <c r="N165" i="4"/>
  <c r="K165" i="4"/>
  <c r="G165" i="4"/>
  <c r="H165" i="4" s="1"/>
  <c r="Q164" i="4"/>
  <c r="O164" i="4"/>
  <c r="N164" i="4"/>
  <c r="K164" i="4"/>
  <c r="J164" i="4"/>
  <c r="H164" i="4"/>
  <c r="G164" i="4"/>
  <c r="Q163" i="4"/>
  <c r="N163" i="4"/>
  <c r="J163" i="4"/>
  <c r="K163" i="4" s="1"/>
  <c r="G163" i="4"/>
  <c r="Q162" i="4"/>
  <c r="N162" i="4"/>
  <c r="J162" i="4"/>
  <c r="K162" i="4" s="1"/>
  <c r="G162" i="4"/>
  <c r="Q161" i="4"/>
  <c r="N161" i="4"/>
  <c r="J161" i="4"/>
  <c r="G161" i="4"/>
  <c r="Q160" i="4"/>
  <c r="N160" i="4"/>
  <c r="J160" i="4"/>
  <c r="K160" i="4" s="1"/>
  <c r="G160" i="4"/>
  <c r="Q159" i="4"/>
  <c r="N159" i="4"/>
  <c r="J159" i="4"/>
  <c r="K159" i="4" s="1"/>
  <c r="G159" i="4"/>
  <c r="Q158" i="4"/>
  <c r="N158" i="4"/>
  <c r="J158" i="4"/>
  <c r="K158" i="4" s="1"/>
  <c r="G158" i="4"/>
  <c r="Q157" i="4"/>
  <c r="N157" i="4"/>
  <c r="J157" i="4"/>
  <c r="G157" i="4"/>
  <c r="Q156" i="4"/>
  <c r="O156" i="4"/>
  <c r="N156" i="4"/>
  <c r="K156" i="4"/>
  <c r="J156" i="4"/>
  <c r="H156" i="4"/>
  <c r="G156" i="4"/>
  <c r="Q155" i="4"/>
  <c r="N155" i="4"/>
  <c r="J155" i="4"/>
  <c r="K155" i="4" s="1"/>
  <c r="G155" i="4"/>
  <c r="Q154" i="4"/>
  <c r="N154" i="4"/>
  <c r="J154" i="4"/>
  <c r="K154" i="4" s="1"/>
  <c r="G154" i="4"/>
  <c r="Q153" i="4"/>
  <c r="N153" i="4"/>
  <c r="J153" i="4"/>
  <c r="G153" i="4"/>
  <c r="Q152" i="4"/>
  <c r="O152" i="4"/>
  <c r="U152" i="4" s="1"/>
  <c r="N152" i="4"/>
  <c r="K152" i="4"/>
  <c r="J152" i="4"/>
  <c r="H152" i="4"/>
  <c r="G152" i="4"/>
  <c r="Q151" i="4"/>
  <c r="N151" i="4"/>
  <c r="J151" i="4"/>
  <c r="K151" i="4" s="1"/>
  <c r="G151" i="4"/>
  <c r="Q150" i="4"/>
  <c r="N150" i="4"/>
  <c r="J150" i="4"/>
  <c r="K150" i="4" s="1"/>
  <c r="G150" i="4"/>
  <c r="Q149" i="4"/>
  <c r="N149" i="4"/>
  <c r="J149" i="4"/>
  <c r="G149" i="4"/>
  <c r="Q148" i="4"/>
  <c r="N148" i="4"/>
  <c r="J148" i="4"/>
  <c r="K148" i="4" s="1"/>
  <c r="H148" i="4"/>
  <c r="G148" i="4"/>
  <c r="O148" i="4" s="1"/>
  <c r="Q147" i="4"/>
  <c r="N147" i="4"/>
  <c r="J147" i="4"/>
  <c r="K147" i="4" s="1"/>
  <c r="G147" i="4"/>
  <c r="Q146" i="4"/>
  <c r="N146" i="4"/>
  <c r="J146" i="4"/>
  <c r="K146" i="4" s="1"/>
  <c r="G146" i="4"/>
  <c r="Q145" i="4"/>
  <c r="N145" i="4"/>
  <c r="J145" i="4"/>
  <c r="G145" i="4"/>
  <c r="Q144" i="4"/>
  <c r="N144" i="4"/>
  <c r="J144" i="4"/>
  <c r="K144" i="4" s="1"/>
  <c r="G144" i="4"/>
  <c r="Q143" i="4"/>
  <c r="N143" i="4"/>
  <c r="J143" i="4"/>
  <c r="K143" i="4" s="1"/>
  <c r="G143" i="4"/>
  <c r="Q142" i="4"/>
  <c r="N142" i="4"/>
  <c r="J142" i="4"/>
  <c r="K142" i="4" s="1"/>
  <c r="G142" i="4"/>
  <c r="Q141" i="4"/>
  <c r="N141" i="4"/>
  <c r="K141" i="4"/>
  <c r="G141" i="4"/>
  <c r="O141" i="4" s="1"/>
  <c r="V141" i="4" s="1"/>
  <c r="Q140" i="4"/>
  <c r="N140" i="4"/>
  <c r="K140" i="4"/>
  <c r="H140" i="4"/>
  <c r="G140" i="4"/>
  <c r="O140" i="4" s="1"/>
  <c r="Q139" i="4"/>
  <c r="N139" i="4"/>
  <c r="J139" i="4"/>
  <c r="G139" i="4"/>
  <c r="Q138" i="4"/>
  <c r="N138" i="4"/>
  <c r="J138" i="4"/>
  <c r="G138" i="4"/>
  <c r="Q137" i="4"/>
  <c r="N137" i="4"/>
  <c r="J137" i="4"/>
  <c r="K137" i="4" s="1"/>
  <c r="G137" i="4"/>
  <c r="Q136" i="4"/>
  <c r="M136" i="4"/>
  <c r="J136" i="4"/>
  <c r="K136" i="4" s="1"/>
  <c r="G136" i="4"/>
  <c r="Q135" i="4"/>
  <c r="M135" i="4"/>
  <c r="J135" i="4"/>
  <c r="K135" i="4" s="1"/>
  <c r="G135" i="4"/>
  <c r="Q134" i="4"/>
  <c r="M134" i="4"/>
  <c r="J134" i="4"/>
  <c r="K134" i="4" s="1"/>
  <c r="G134" i="4"/>
  <c r="Q133" i="4"/>
  <c r="M133" i="4"/>
  <c r="J133" i="4"/>
  <c r="K133" i="4" s="1"/>
  <c r="G133" i="4"/>
  <c r="Q132" i="4"/>
  <c r="M132" i="4"/>
  <c r="J132" i="4"/>
  <c r="K132" i="4" s="1"/>
  <c r="G132" i="4"/>
  <c r="Q131" i="4"/>
  <c r="M131" i="4"/>
  <c r="J131" i="4"/>
  <c r="K131" i="4" s="1"/>
  <c r="G131" i="4"/>
  <c r="Q130" i="4"/>
  <c r="N130" i="4"/>
  <c r="J130" i="4"/>
  <c r="K130" i="4" s="1"/>
  <c r="G130" i="4"/>
  <c r="Q129" i="4"/>
  <c r="N129" i="4"/>
  <c r="J129" i="4"/>
  <c r="G129" i="4"/>
  <c r="Q128" i="4"/>
  <c r="N128" i="4"/>
  <c r="J128" i="4"/>
  <c r="K128" i="4" s="1"/>
  <c r="G128" i="4"/>
  <c r="Q127" i="4"/>
  <c r="N127" i="4"/>
  <c r="J127" i="4"/>
  <c r="K127" i="4" s="1"/>
  <c r="G127" i="4"/>
  <c r="Q126" i="4"/>
  <c r="M126" i="4"/>
  <c r="J126" i="4"/>
  <c r="K126" i="4" s="1"/>
  <c r="H126" i="4"/>
  <c r="Q125" i="4"/>
  <c r="N125" i="4"/>
  <c r="J125" i="4"/>
  <c r="G125" i="4"/>
  <c r="Q124" i="4"/>
  <c r="N124" i="4"/>
  <c r="J124" i="4"/>
  <c r="G124" i="4"/>
  <c r="Q123" i="4"/>
  <c r="N123" i="4"/>
  <c r="J123" i="4"/>
  <c r="K123" i="4" s="1"/>
  <c r="G123" i="4"/>
  <c r="Q122" i="4"/>
  <c r="N122" i="4"/>
  <c r="J122" i="4"/>
  <c r="K122" i="4" s="1"/>
  <c r="G122" i="4"/>
  <c r="Q121" i="4"/>
  <c r="N121" i="4"/>
  <c r="J121" i="4"/>
  <c r="G121" i="4"/>
  <c r="Q120" i="4"/>
  <c r="O120" i="4"/>
  <c r="N120" i="4"/>
  <c r="K120" i="4"/>
  <c r="J120" i="4"/>
  <c r="H120" i="4"/>
  <c r="G120" i="4"/>
  <c r="Q119" i="4"/>
  <c r="N119" i="4"/>
  <c r="J119" i="4"/>
  <c r="K119" i="4" s="1"/>
  <c r="G119" i="4"/>
  <c r="Q118" i="4"/>
  <c r="N118" i="4"/>
  <c r="K118" i="4"/>
  <c r="G118" i="4"/>
  <c r="H118" i="4" s="1"/>
  <c r="Q117" i="4"/>
  <c r="N117" i="4"/>
  <c r="K117" i="4"/>
  <c r="G117" i="4"/>
  <c r="Q116" i="4"/>
  <c r="N116" i="4"/>
  <c r="J116" i="4"/>
  <c r="K116" i="4" s="1"/>
  <c r="G116" i="4"/>
  <c r="Q115" i="4"/>
  <c r="N115" i="4"/>
  <c r="J115" i="4"/>
  <c r="G115" i="4"/>
  <c r="Q114" i="4"/>
  <c r="O114" i="4"/>
  <c r="N114" i="4"/>
  <c r="K114" i="4"/>
  <c r="H114" i="4"/>
  <c r="Q113" i="4"/>
  <c r="N113" i="4"/>
  <c r="J113" i="4"/>
  <c r="G113" i="4"/>
  <c r="Q112" i="4"/>
  <c r="N112" i="4"/>
  <c r="J112" i="4"/>
  <c r="K112" i="4" s="1"/>
  <c r="G112" i="4"/>
  <c r="Q111" i="4"/>
  <c r="N111" i="4"/>
  <c r="J111" i="4"/>
  <c r="K111" i="4" s="1"/>
  <c r="G111" i="4"/>
  <c r="Q110" i="4"/>
  <c r="N110" i="4"/>
  <c r="K110" i="4"/>
  <c r="G110" i="4"/>
  <c r="H110" i="4" s="1"/>
  <c r="Q109" i="4"/>
  <c r="N109" i="4"/>
  <c r="K109" i="4"/>
  <c r="G109" i="4"/>
  <c r="Q108" i="4"/>
  <c r="N108" i="4"/>
  <c r="K108" i="4"/>
  <c r="G108" i="4"/>
  <c r="H108" i="4" s="1"/>
  <c r="Q107" i="4"/>
  <c r="O107" i="4"/>
  <c r="N107" i="4"/>
  <c r="K107" i="4"/>
  <c r="H107" i="4"/>
  <c r="V106" i="4"/>
  <c r="Q106" i="4"/>
  <c r="N106" i="4"/>
  <c r="K106" i="4"/>
  <c r="H106" i="4"/>
  <c r="G106" i="4"/>
  <c r="O106" i="4" s="1"/>
  <c r="Q105" i="4"/>
  <c r="N105" i="4"/>
  <c r="K105" i="4"/>
  <c r="G105" i="4"/>
  <c r="Q104" i="4"/>
  <c r="N104" i="4"/>
  <c r="K104" i="4"/>
  <c r="G104" i="4"/>
  <c r="O104" i="4" s="1"/>
  <c r="V104" i="4" s="1"/>
  <c r="Q103" i="4"/>
  <c r="N103" i="4"/>
  <c r="K103" i="4"/>
  <c r="G103" i="4"/>
  <c r="O103" i="4" s="1"/>
  <c r="Q102" i="4"/>
  <c r="N102" i="4"/>
  <c r="K102" i="4"/>
  <c r="G102" i="4"/>
  <c r="Q101" i="4"/>
  <c r="O101" i="4"/>
  <c r="U101" i="4" s="1"/>
  <c r="N101" i="4"/>
  <c r="K101" i="4"/>
  <c r="H101" i="4"/>
  <c r="Q100" i="4"/>
  <c r="N100" i="4"/>
  <c r="K100" i="4"/>
  <c r="G100" i="4"/>
  <c r="O100" i="4" s="1"/>
  <c r="U100" i="4" s="1"/>
  <c r="M99" i="4"/>
  <c r="J99" i="4"/>
  <c r="K99" i="4" s="1"/>
  <c r="G99" i="4"/>
  <c r="E99" i="4"/>
  <c r="Q99" i="4" s="1"/>
  <c r="T98" i="4"/>
  <c r="Q98" i="4"/>
  <c r="N98" i="4"/>
  <c r="M98" i="4"/>
  <c r="K98" i="4"/>
  <c r="J98" i="4"/>
  <c r="H98" i="4"/>
  <c r="G98" i="4"/>
  <c r="O98" i="4" s="1"/>
  <c r="T97" i="4"/>
  <c r="Q97" i="4"/>
  <c r="N97" i="4"/>
  <c r="M97" i="4"/>
  <c r="K97" i="4"/>
  <c r="J97" i="4"/>
  <c r="H97" i="4"/>
  <c r="G97" i="4"/>
  <c r="O97" i="4" s="1"/>
  <c r="T96" i="4"/>
  <c r="Q96" i="4"/>
  <c r="N96" i="4"/>
  <c r="M96" i="4"/>
  <c r="K96" i="4"/>
  <c r="J96" i="4"/>
  <c r="H96" i="4"/>
  <c r="G96" i="4"/>
  <c r="O96" i="4" s="1"/>
  <c r="T95" i="4"/>
  <c r="Q95" i="4"/>
  <c r="N95" i="4"/>
  <c r="M95" i="4"/>
  <c r="K95" i="4"/>
  <c r="J95" i="4"/>
  <c r="H95" i="4"/>
  <c r="G95" i="4"/>
  <c r="O95" i="4" s="1"/>
  <c r="Q94" i="4"/>
  <c r="N94" i="4"/>
  <c r="K94" i="4"/>
  <c r="G94" i="4"/>
  <c r="Q93" i="4"/>
  <c r="N93" i="4"/>
  <c r="K93" i="4"/>
  <c r="G93" i="4"/>
  <c r="O93" i="4" s="1"/>
  <c r="Q92" i="4"/>
  <c r="N92" i="4"/>
  <c r="K92" i="4"/>
  <c r="G92" i="4"/>
  <c r="Q91" i="4"/>
  <c r="N91" i="4"/>
  <c r="J91" i="4"/>
  <c r="G91" i="4"/>
  <c r="O91" i="4" s="1"/>
  <c r="Q90" i="4"/>
  <c r="N90" i="4"/>
  <c r="K90" i="4"/>
  <c r="G90" i="4"/>
  <c r="O90" i="4" s="1"/>
  <c r="U90" i="4" s="1"/>
  <c r="Q89" i="4"/>
  <c r="N89" i="4"/>
  <c r="K89" i="4"/>
  <c r="G89" i="4"/>
  <c r="H89" i="4" s="1"/>
  <c r="Q88" i="4"/>
  <c r="O88" i="4"/>
  <c r="N88" i="4"/>
  <c r="K88" i="4"/>
  <c r="J88" i="4"/>
  <c r="H88" i="4"/>
  <c r="G88" i="4"/>
  <c r="Q87" i="4"/>
  <c r="N87" i="4"/>
  <c r="J87" i="4"/>
  <c r="K87" i="4" s="1"/>
  <c r="G87" i="4"/>
  <c r="Q86" i="4"/>
  <c r="N86" i="4"/>
  <c r="J86" i="4"/>
  <c r="K86" i="4" s="1"/>
  <c r="G86" i="4"/>
  <c r="Q85" i="4"/>
  <c r="N85" i="4"/>
  <c r="K85" i="4"/>
  <c r="G85" i="4"/>
  <c r="O85" i="4" s="1"/>
  <c r="P85" i="4" s="1"/>
  <c r="T84" i="4"/>
  <c r="Q84" i="4"/>
  <c r="P84" i="4"/>
  <c r="O84" i="4"/>
  <c r="U84" i="4" s="1"/>
  <c r="N84" i="4"/>
  <c r="K84" i="4"/>
  <c r="H84" i="4"/>
  <c r="Q83" i="4"/>
  <c r="O83" i="4"/>
  <c r="N83" i="4"/>
  <c r="K83" i="4"/>
  <c r="G83" i="4"/>
  <c r="Q82" i="4"/>
  <c r="N82" i="4"/>
  <c r="K82" i="4"/>
  <c r="G82" i="4"/>
  <c r="H82" i="4" s="1"/>
  <c r="U81" i="4"/>
  <c r="Q81" i="4"/>
  <c r="O81" i="4"/>
  <c r="N81" i="4"/>
  <c r="K81" i="4"/>
  <c r="J81" i="4"/>
  <c r="H81" i="4"/>
  <c r="G81" i="4"/>
  <c r="Q80" i="4"/>
  <c r="N80" i="4"/>
  <c r="K80" i="4"/>
  <c r="G80" i="4"/>
  <c r="Q79" i="4"/>
  <c r="N79" i="4"/>
  <c r="K79" i="4"/>
  <c r="G79" i="4"/>
  <c r="Q78" i="4"/>
  <c r="N78" i="4"/>
  <c r="K78" i="4"/>
  <c r="G78" i="4"/>
  <c r="O78" i="4" s="1"/>
  <c r="Q77" i="4"/>
  <c r="N77" i="4"/>
  <c r="K77" i="4"/>
  <c r="G77" i="4"/>
  <c r="Q76" i="4"/>
  <c r="N76" i="4"/>
  <c r="K76" i="4"/>
  <c r="H76" i="4"/>
  <c r="G76" i="4"/>
  <c r="O76" i="4" s="1"/>
  <c r="V75" i="4"/>
  <c r="Q75" i="4"/>
  <c r="N75" i="4"/>
  <c r="K75" i="4"/>
  <c r="H75" i="4"/>
  <c r="G75" i="4"/>
  <c r="O75" i="4" s="1"/>
  <c r="Q74" i="4"/>
  <c r="N74" i="4"/>
  <c r="K74" i="4"/>
  <c r="G74" i="4"/>
  <c r="Q73" i="4"/>
  <c r="N73" i="4"/>
  <c r="K73" i="4"/>
  <c r="G73" i="4"/>
  <c r="O73" i="4" s="1"/>
  <c r="V73" i="4" s="1"/>
  <c r="T72" i="4"/>
  <c r="Q72" i="4"/>
  <c r="P72" i="4"/>
  <c r="O72" i="4"/>
  <c r="U72" i="4" s="1"/>
  <c r="N72" i="4"/>
  <c r="K72" i="4"/>
  <c r="H72" i="4"/>
  <c r="U71" i="4"/>
  <c r="Q71" i="4"/>
  <c r="O71" i="4"/>
  <c r="N71" i="4"/>
  <c r="K71" i="4"/>
  <c r="H71" i="4"/>
  <c r="Q70" i="4"/>
  <c r="O70" i="4"/>
  <c r="U70" i="4" s="1"/>
  <c r="N70" i="4"/>
  <c r="K70" i="4"/>
  <c r="H70" i="4"/>
  <c r="Q69" i="4"/>
  <c r="O69" i="4"/>
  <c r="V69" i="4" s="1"/>
  <c r="N69" i="4"/>
  <c r="K69" i="4"/>
  <c r="H69" i="4"/>
  <c r="Q68" i="4"/>
  <c r="O68" i="4"/>
  <c r="U68" i="4" s="1"/>
  <c r="N68" i="4"/>
  <c r="K68" i="4"/>
  <c r="H68" i="4"/>
  <c r="Q67" i="4"/>
  <c r="O67" i="4"/>
  <c r="N67" i="4"/>
  <c r="K67" i="4"/>
  <c r="H67" i="4"/>
  <c r="Q66" i="4"/>
  <c r="O66" i="4"/>
  <c r="N66" i="4"/>
  <c r="K66" i="4"/>
  <c r="H66" i="4"/>
  <c r="U65" i="4"/>
  <c r="Q65" i="4"/>
  <c r="O65" i="4"/>
  <c r="N65" i="4"/>
  <c r="K65" i="4"/>
  <c r="H65" i="4"/>
  <c r="T64" i="4"/>
  <c r="Q64" i="4"/>
  <c r="P64" i="4"/>
  <c r="O64" i="4"/>
  <c r="U64" i="4" s="1"/>
  <c r="N64" i="4"/>
  <c r="K64" i="4"/>
  <c r="H64" i="4"/>
  <c r="Q63" i="4"/>
  <c r="M63" i="4"/>
  <c r="J63" i="4"/>
  <c r="G63" i="4"/>
  <c r="Q62" i="4"/>
  <c r="O62" i="4"/>
  <c r="U62" i="4" s="1"/>
  <c r="N62" i="4"/>
  <c r="K62" i="4"/>
  <c r="G62" i="4"/>
  <c r="Q61" i="4"/>
  <c r="N61" i="4"/>
  <c r="K61" i="4"/>
  <c r="G61" i="4"/>
  <c r="O61" i="4" s="1"/>
  <c r="Q60" i="4"/>
  <c r="N60" i="4"/>
  <c r="K60" i="4"/>
  <c r="G60" i="4"/>
  <c r="O60" i="4" s="1"/>
  <c r="U60" i="4" s="1"/>
  <c r="Q59" i="4"/>
  <c r="N59" i="4"/>
  <c r="K59" i="4"/>
  <c r="G59" i="4"/>
  <c r="O59" i="4" s="1"/>
  <c r="Q58" i="4"/>
  <c r="N58" i="4"/>
  <c r="K58" i="4"/>
  <c r="G58" i="4"/>
  <c r="O58" i="4" s="1"/>
  <c r="U58" i="4" s="1"/>
  <c r="Q57" i="4"/>
  <c r="N57" i="4"/>
  <c r="K57" i="4"/>
  <c r="G57" i="4"/>
  <c r="O57" i="4" s="1"/>
  <c r="Q56" i="4"/>
  <c r="N56" i="4"/>
  <c r="K56" i="4"/>
  <c r="G56" i="4"/>
  <c r="O56" i="4" s="1"/>
  <c r="U56" i="4" s="1"/>
  <c r="Q55" i="4"/>
  <c r="O55" i="4"/>
  <c r="N55" i="4"/>
  <c r="K55" i="4"/>
  <c r="G55" i="4"/>
  <c r="Q54" i="4"/>
  <c r="N54" i="4"/>
  <c r="K54" i="4"/>
  <c r="G54" i="4"/>
  <c r="O54" i="4" s="1"/>
  <c r="U54" i="4" s="1"/>
  <c r="Q53" i="4"/>
  <c r="N53" i="4"/>
  <c r="K53" i="4"/>
  <c r="G53" i="4"/>
  <c r="O53" i="4" s="1"/>
  <c r="Q52" i="4"/>
  <c r="N52" i="4"/>
  <c r="K52" i="4"/>
  <c r="G52" i="4"/>
  <c r="O52" i="4" s="1"/>
  <c r="U52" i="4" s="1"/>
  <c r="Q51" i="4"/>
  <c r="O51" i="4"/>
  <c r="N51" i="4"/>
  <c r="K51" i="4"/>
  <c r="G51" i="4"/>
  <c r="U50" i="4"/>
  <c r="Q50" i="4"/>
  <c r="O50" i="4"/>
  <c r="N50" i="4"/>
  <c r="K50" i="4"/>
  <c r="G50" i="4"/>
  <c r="Q49" i="4"/>
  <c r="O49" i="4"/>
  <c r="N49" i="4"/>
  <c r="K49" i="4"/>
  <c r="H49" i="4"/>
  <c r="Q48" i="4"/>
  <c r="N48" i="4"/>
  <c r="K48" i="4"/>
  <c r="G48" i="4"/>
  <c r="Q47" i="4"/>
  <c r="N47" i="4"/>
  <c r="J47" i="4"/>
  <c r="G47" i="4"/>
  <c r="Q46" i="4"/>
  <c r="N46" i="4"/>
  <c r="K46" i="4"/>
  <c r="G46" i="4"/>
  <c r="Q45" i="4"/>
  <c r="O45" i="4"/>
  <c r="N45" i="4"/>
  <c r="K45" i="4"/>
  <c r="J45" i="4"/>
  <c r="H45" i="4"/>
  <c r="G45" i="4"/>
  <c r="Q44" i="4"/>
  <c r="O44" i="4"/>
  <c r="N44" i="4"/>
  <c r="K44" i="4"/>
  <c r="H44" i="4"/>
  <c r="Q43" i="4"/>
  <c r="O43" i="4"/>
  <c r="N43" i="4"/>
  <c r="K43" i="4"/>
  <c r="H43" i="4"/>
  <c r="T42" i="4"/>
  <c r="Q42" i="4"/>
  <c r="P42" i="4"/>
  <c r="O42" i="4"/>
  <c r="U42" i="4" s="1"/>
  <c r="N42" i="4"/>
  <c r="K42" i="4"/>
  <c r="H42" i="4"/>
  <c r="U41" i="4"/>
  <c r="Q41" i="4"/>
  <c r="O41" i="4"/>
  <c r="N41" i="4"/>
  <c r="K41" i="4"/>
  <c r="H41" i="4"/>
  <c r="Q40" i="4"/>
  <c r="O40" i="4"/>
  <c r="N40" i="4"/>
  <c r="K40" i="4"/>
  <c r="H40" i="4"/>
  <c r="Q39" i="4"/>
  <c r="O39" i="4"/>
  <c r="N39" i="4"/>
  <c r="K39" i="4"/>
  <c r="H39" i="4"/>
  <c r="Q38" i="4"/>
  <c r="O38" i="4"/>
  <c r="N38" i="4"/>
  <c r="K38" i="4"/>
  <c r="H38" i="4"/>
  <c r="Q37" i="4"/>
  <c r="O37" i="4"/>
  <c r="U37" i="4" s="1"/>
  <c r="N37" i="4"/>
  <c r="K37" i="4"/>
  <c r="H37" i="4"/>
  <c r="Q36" i="4"/>
  <c r="O36" i="4"/>
  <c r="U36" i="4" s="1"/>
  <c r="N36" i="4"/>
  <c r="K36" i="4"/>
  <c r="H36" i="4"/>
  <c r="Q35" i="4"/>
  <c r="O35" i="4"/>
  <c r="N35" i="4"/>
  <c r="K35" i="4"/>
  <c r="H35" i="4"/>
  <c r="T34" i="4"/>
  <c r="Q34" i="4"/>
  <c r="P34" i="4"/>
  <c r="O34" i="4"/>
  <c r="U34" i="4" s="1"/>
  <c r="N34" i="4"/>
  <c r="K34" i="4"/>
  <c r="H34" i="4"/>
  <c r="Q33" i="4"/>
  <c r="M33" i="4"/>
  <c r="J33" i="4"/>
  <c r="K33" i="4" s="1"/>
  <c r="G33" i="4"/>
  <c r="Q32" i="4"/>
  <c r="O32" i="4"/>
  <c r="N32" i="4"/>
  <c r="K32" i="4"/>
  <c r="J32" i="4"/>
  <c r="H32" i="4"/>
  <c r="G32" i="4"/>
  <c r="Q31" i="4"/>
  <c r="N31" i="4"/>
  <c r="J31" i="4"/>
  <c r="G31" i="4"/>
  <c r="Q30" i="4"/>
  <c r="O30" i="4"/>
  <c r="U30" i="4" s="1"/>
  <c r="N30" i="4"/>
  <c r="K30" i="4"/>
  <c r="H30" i="4"/>
  <c r="Q29" i="4"/>
  <c r="N29" i="4"/>
  <c r="K29" i="4"/>
  <c r="G29" i="4"/>
  <c r="O29" i="4" s="1"/>
  <c r="U29" i="4" s="1"/>
  <c r="T28" i="4"/>
  <c r="Q28" i="4"/>
  <c r="P28" i="4"/>
  <c r="O28" i="4"/>
  <c r="U28" i="4" s="1"/>
  <c r="N28" i="4"/>
  <c r="K28" i="4"/>
  <c r="H28" i="4"/>
  <c r="Q27" i="4"/>
  <c r="O27" i="4"/>
  <c r="N27" i="4"/>
  <c r="K27" i="4"/>
  <c r="H27" i="4"/>
  <c r="Q26" i="4"/>
  <c r="O26" i="4"/>
  <c r="V26" i="4" s="1"/>
  <c r="N26" i="4"/>
  <c r="K26" i="4"/>
  <c r="H26" i="4"/>
  <c r="U25" i="4"/>
  <c r="Q25" i="4"/>
  <c r="O25" i="4"/>
  <c r="N25" i="4"/>
  <c r="K25" i="4"/>
  <c r="G25" i="4"/>
  <c r="Q24" i="4"/>
  <c r="N24" i="4"/>
  <c r="J24" i="4"/>
  <c r="K24" i="4" s="1"/>
  <c r="G24" i="4"/>
  <c r="T23" i="4"/>
  <c r="Q23" i="4"/>
  <c r="N23" i="4"/>
  <c r="K23" i="4"/>
  <c r="H23" i="4"/>
  <c r="G23" i="4"/>
  <c r="O23" i="4" s="1"/>
  <c r="U23" i="4" s="1"/>
  <c r="Q22" i="4"/>
  <c r="N22" i="4"/>
  <c r="K22" i="4"/>
  <c r="G22" i="4"/>
  <c r="O22" i="4" s="1"/>
  <c r="U22" i="4" s="1"/>
  <c r="V21" i="4"/>
  <c r="T21" i="4"/>
  <c r="Q21" i="4"/>
  <c r="N21" i="4"/>
  <c r="K21" i="4"/>
  <c r="H21" i="4"/>
  <c r="G21" i="4"/>
  <c r="O21" i="4" s="1"/>
  <c r="U21" i="4" s="1"/>
  <c r="Q20" i="4"/>
  <c r="M20" i="4"/>
  <c r="N20" i="4" s="1"/>
  <c r="K20" i="4"/>
  <c r="G20" i="4"/>
  <c r="Q19" i="4"/>
  <c r="N19" i="4"/>
  <c r="K19" i="4"/>
  <c r="G19" i="4"/>
  <c r="O19" i="4" s="1"/>
  <c r="Q18" i="4"/>
  <c r="M18" i="4"/>
  <c r="J18" i="4"/>
  <c r="H18" i="4"/>
  <c r="Q17" i="4"/>
  <c r="N17" i="4"/>
  <c r="K17" i="4"/>
  <c r="G17" i="4"/>
  <c r="O17" i="4" s="1"/>
  <c r="U17" i="4" s="1"/>
  <c r="T16" i="4"/>
  <c r="Q16" i="4"/>
  <c r="N16" i="4"/>
  <c r="K16" i="4"/>
  <c r="H16" i="4"/>
  <c r="G16" i="4"/>
  <c r="O16" i="4" s="1"/>
  <c r="U16" i="4" s="1"/>
  <c r="Q15" i="4"/>
  <c r="N15" i="4"/>
  <c r="K15" i="4"/>
  <c r="G15" i="4"/>
  <c r="Q14" i="4"/>
  <c r="M14" i="4"/>
  <c r="N14" i="4" s="1"/>
  <c r="J14" i="4"/>
  <c r="K14" i="4" s="1"/>
  <c r="G14" i="4"/>
  <c r="H14" i="4" s="1"/>
  <c r="Q13" i="4"/>
  <c r="M13" i="4"/>
  <c r="N13" i="4" s="1"/>
  <c r="J13" i="4"/>
  <c r="G13" i="4"/>
  <c r="Q12" i="4"/>
  <c r="N12" i="4"/>
  <c r="J12" i="4"/>
  <c r="G12" i="4"/>
  <c r="Q333" i="3"/>
  <c r="O333" i="3"/>
  <c r="M333" i="3"/>
  <c r="K333" i="3"/>
  <c r="H333" i="3"/>
  <c r="Q331" i="3"/>
  <c r="N331" i="3"/>
  <c r="K331" i="3"/>
  <c r="G331" i="3"/>
  <c r="Q330" i="3"/>
  <c r="O330" i="3"/>
  <c r="N330" i="3"/>
  <c r="K330" i="3"/>
  <c r="H330" i="3"/>
  <c r="Q329" i="3"/>
  <c r="O329" i="3"/>
  <c r="N329" i="3"/>
  <c r="K329" i="3"/>
  <c r="H329" i="3"/>
  <c r="Q328" i="3"/>
  <c r="N328" i="3"/>
  <c r="K328" i="3"/>
  <c r="G328" i="3"/>
  <c r="H328" i="3" s="1"/>
  <c r="Q327" i="3"/>
  <c r="N327" i="3"/>
  <c r="K327" i="3"/>
  <c r="G327" i="3"/>
  <c r="Q326" i="3"/>
  <c r="N326" i="3"/>
  <c r="K326" i="3"/>
  <c r="G326" i="3"/>
  <c r="H326" i="3" s="1"/>
  <c r="Q325" i="3"/>
  <c r="N325" i="3"/>
  <c r="K325" i="3"/>
  <c r="G325" i="3"/>
  <c r="O325" i="3" s="1"/>
  <c r="Q324" i="3"/>
  <c r="M324" i="3"/>
  <c r="K324" i="3"/>
  <c r="H324" i="3"/>
  <c r="Q323" i="3"/>
  <c r="M323" i="3"/>
  <c r="K323" i="3"/>
  <c r="H323" i="3"/>
  <c r="Q322" i="3"/>
  <c r="M322" i="3"/>
  <c r="K322" i="3"/>
  <c r="H322" i="3"/>
  <c r="Q321" i="3"/>
  <c r="M321" i="3"/>
  <c r="K321" i="3"/>
  <c r="H321" i="3"/>
  <c r="Q320" i="3"/>
  <c r="M320" i="3"/>
  <c r="K320" i="3"/>
  <c r="H320" i="3"/>
  <c r="Q319" i="3"/>
  <c r="M319" i="3"/>
  <c r="N319" i="3" s="1"/>
  <c r="K319" i="3"/>
  <c r="H319" i="3"/>
  <c r="Q318" i="3"/>
  <c r="M318" i="3"/>
  <c r="K318" i="3"/>
  <c r="H318" i="3"/>
  <c r="Q317" i="3"/>
  <c r="O317" i="3"/>
  <c r="N317" i="3"/>
  <c r="K317" i="3"/>
  <c r="G317" i="3"/>
  <c r="Q316" i="3"/>
  <c r="O316" i="3"/>
  <c r="N316" i="3"/>
  <c r="K316" i="3"/>
  <c r="H316" i="3"/>
  <c r="Q315" i="3"/>
  <c r="N315" i="3"/>
  <c r="K315" i="3"/>
  <c r="G315" i="3"/>
  <c r="H315" i="3" s="1"/>
  <c r="Q314" i="3"/>
  <c r="M314" i="3"/>
  <c r="N314" i="3" s="1"/>
  <c r="J314" i="3"/>
  <c r="K314" i="3" s="1"/>
  <c r="H314" i="3"/>
  <c r="Q313" i="3"/>
  <c r="O313" i="3"/>
  <c r="N313" i="3"/>
  <c r="K313" i="3"/>
  <c r="H313" i="3"/>
  <c r="Q312" i="3"/>
  <c r="O312" i="3"/>
  <c r="U312" i="3" s="1"/>
  <c r="N312" i="3"/>
  <c r="K312" i="3"/>
  <c r="H312" i="3"/>
  <c r="Q311" i="3"/>
  <c r="N311" i="3"/>
  <c r="K311" i="3"/>
  <c r="G311" i="3"/>
  <c r="H311" i="3" s="1"/>
  <c r="Q310" i="3"/>
  <c r="O310" i="3"/>
  <c r="U310" i="3" s="1"/>
  <c r="N310" i="3"/>
  <c r="K310" i="3"/>
  <c r="H310" i="3"/>
  <c r="V309" i="3"/>
  <c r="Q309" i="3"/>
  <c r="O309" i="3"/>
  <c r="N309" i="3"/>
  <c r="K309" i="3"/>
  <c r="H309" i="3"/>
  <c r="Q308" i="3"/>
  <c r="O308" i="3"/>
  <c r="V308" i="3" s="1"/>
  <c r="N308" i="3"/>
  <c r="K308" i="3"/>
  <c r="H308" i="3"/>
  <c r="Q307" i="3"/>
  <c r="O307" i="3"/>
  <c r="N307" i="3"/>
  <c r="K307" i="3"/>
  <c r="H307" i="3"/>
  <c r="Q306" i="3"/>
  <c r="O306" i="3"/>
  <c r="N306" i="3"/>
  <c r="K306" i="3"/>
  <c r="H306" i="3"/>
  <c r="Q305" i="3"/>
  <c r="O305" i="3"/>
  <c r="U305" i="3" s="1"/>
  <c r="N305" i="3"/>
  <c r="K305" i="3"/>
  <c r="H305" i="3"/>
  <c r="Q304" i="3"/>
  <c r="O304" i="3"/>
  <c r="V304" i="3" s="1"/>
  <c r="N304" i="3"/>
  <c r="K304" i="3"/>
  <c r="H304" i="3"/>
  <c r="Q303" i="3"/>
  <c r="O303" i="3"/>
  <c r="V303" i="3" s="1"/>
  <c r="N303" i="3"/>
  <c r="K303" i="3"/>
  <c r="H303" i="3"/>
  <c r="Q302" i="3"/>
  <c r="O302" i="3"/>
  <c r="U302" i="3" s="1"/>
  <c r="N302" i="3"/>
  <c r="K302" i="3"/>
  <c r="H302" i="3"/>
  <c r="T301" i="3"/>
  <c r="Q301" i="3"/>
  <c r="P301" i="3"/>
  <c r="O301" i="3"/>
  <c r="U301" i="3" s="1"/>
  <c r="N301" i="3"/>
  <c r="K301" i="3"/>
  <c r="H301" i="3"/>
  <c r="T300" i="3"/>
  <c r="Q300" i="3"/>
  <c r="O300" i="3"/>
  <c r="V300" i="3" s="1"/>
  <c r="N300" i="3"/>
  <c r="K300" i="3"/>
  <c r="H300" i="3"/>
  <c r="Q299" i="3"/>
  <c r="O299" i="3"/>
  <c r="V299" i="3" s="1"/>
  <c r="N299" i="3"/>
  <c r="K299" i="3"/>
  <c r="H299" i="3"/>
  <c r="Q298" i="3"/>
  <c r="N298" i="3"/>
  <c r="K298" i="3"/>
  <c r="G298" i="3"/>
  <c r="O298" i="3" s="1"/>
  <c r="Q297" i="3"/>
  <c r="N297" i="3"/>
  <c r="K297" i="3"/>
  <c r="G297" i="3"/>
  <c r="H297" i="3" s="1"/>
  <c r="Q296" i="3"/>
  <c r="N296" i="3"/>
  <c r="K296" i="3"/>
  <c r="G296" i="3"/>
  <c r="Q295" i="3"/>
  <c r="N295" i="3"/>
  <c r="K295" i="3"/>
  <c r="G295" i="3"/>
  <c r="H295" i="3" s="1"/>
  <c r="Q294" i="3"/>
  <c r="N294" i="3"/>
  <c r="K294" i="3"/>
  <c r="G294" i="3"/>
  <c r="O294" i="3" s="1"/>
  <c r="Q293" i="3"/>
  <c r="O293" i="3"/>
  <c r="V293" i="3" s="1"/>
  <c r="N293" i="3"/>
  <c r="K293" i="3"/>
  <c r="H293" i="3"/>
  <c r="Q292" i="3"/>
  <c r="N292" i="3"/>
  <c r="K292" i="3"/>
  <c r="G292" i="3"/>
  <c r="H292" i="3" s="1"/>
  <c r="Q291" i="3"/>
  <c r="N291" i="3"/>
  <c r="K291" i="3"/>
  <c r="G291" i="3"/>
  <c r="O291" i="3" s="1"/>
  <c r="Q290" i="3"/>
  <c r="N290" i="3"/>
  <c r="K290" i="3"/>
  <c r="G290" i="3"/>
  <c r="H290" i="3" s="1"/>
  <c r="Q289" i="3"/>
  <c r="N289" i="3"/>
  <c r="K289" i="3"/>
  <c r="G289" i="3"/>
  <c r="Q288" i="3"/>
  <c r="N288" i="3"/>
  <c r="K288" i="3"/>
  <c r="G288" i="3"/>
  <c r="H288" i="3" s="1"/>
  <c r="Q287" i="3"/>
  <c r="N287" i="3"/>
  <c r="K287" i="3"/>
  <c r="H287" i="3"/>
  <c r="G287" i="3"/>
  <c r="O287" i="3" s="1"/>
  <c r="Q286" i="3"/>
  <c r="N286" i="3"/>
  <c r="K286" i="3"/>
  <c r="G286" i="3"/>
  <c r="H286" i="3" s="1"/>
  <c r="Q285" i="3"/>
  <c r="N285" i="3"/>
  <c r="K285" i="3"/>
  <c r="G285" i="3"/>
  <c r="O285" i="3" s="1"/>
  <c r="Q284" i="3"/>
  <c r="N284" i="3"/>
  <c r="K284" i="3"/>
  <c r="G284" i="3"/>
  <c r="H284" i="3" s="1"/>
  <c r="Q283" i="3"/>
  <c r="N283" i="3"/>
  <c r="K283" i="3"/>
  <c r="G283" i="3"/>
  <c r="Q282" i="3"/>
  <c r="N282" i="3"/>
  <c r="K282" i="3"/>
  <c r="G282" i="3"/>
  <c r="H282" i="3" s="1"/>
  <c r="Q281" i="3"/>
  <c r="N281" i="3"/>
  <c r="K281" i="3"/>
  <c r="G281" i="3"/>
  <c r="Q280" i="3"/>
  <c r="N280" i="3"/>
  <c r="K280" i="3"/>
  <c r="G280" i="3"/>
  <c r="H280" i="3" s="1"/>
  <c r="Q279" i="3"/>
  <c r="O279" i="3"/>
  <c r="N279" i="3"/>
  <c r="K279" i="3"/>
  <c r="H279" i="3"/>
  <c r="Q278" i="3"/>
  <c r="N278" i="3"/>
  <c r="K278" i="3"/>
  <c r="G278" i="3"/>
  <c r="H278" i="3" s="1"/>
  <c r="Q277" i="3"/>
  <c r="N277" i="3"/>
  <c r="K277" i="3"/>
  <c r="G277" i="3"/>
  <c r="O277" i="3" s="1"/>
  <c r="Q276" i="3"/>
  <c r="O276" i="3"/>
  <c r="V276" i="3" s="1"/>
  <c r="N276" i="3"/>
  <c r="K276" i="3"/>
  <c r="H276" i="3"/>
  <c r="T275" i="3"/>
  <c r="Q275" i="3"/>
  <c r="O275" i="3"/>
  <c r="V275" i="3" s="1"/>
  <c r="N275" i="3"/>
  <c r="K275" i="3"/>
  <c r="H275" i="3"/>
  <c r="Q274" i="3"/>
  <c r="O274" i="3"/>
  <c r="U274" i="3" s="1"/>
  <c r="N274" i="3"/>
  <c r="K274" i="3"/>
  <c r="H274" i="3"/>
  <c r="Q273" i="3"/>
  <c r="N273" i="3"/>
  <c r="K273" i="3"/>
  <c r="G273" i="3"/>
  <c r="O273" i="3" s="1"/>
  <c r="U273" i="3" s="1"/>
  <c r="Q272" i="3"/>
  <c r="N272" i="3"/>
  <c r="K272" i="3"/>
  <c r="G272" i="3"/>
  <c r="H272" i="3" s="1"/>
  <c r="Q271" i="3"/>
  <c r="N271" i="3"/>
  <c r="K271" i="3"/>
  <c r="G271" i="3"/>
  <c r="Q270" i="3"/>
  <c r="N270" i="3"/>
  <c r="J270" i="3"/>
  <c r="K270" i="3" s="1"/>
  <c r="G270" i="3"/>
  <c r="Q269" i="3"/>
  <c r="M269" i="3"/>
  <c r="K269" i="3"/>
  <c r="G269" i="3"/>
  <c r="Q268" i="3"/>
  <c r="N268" i="3"/>
  <c r="K268" i="3"/>
  <c r="G268" i="3"/>
  <c r="O268" i="3" s="1"/>
  <c r="P268" i="3" s="1"/>
  <c r="Q267" i="3"/>
  <c r="N267" i="3"/>
  <c r="K267" i="3"/>
  <c r="G267" i="3"/>
  <c r="H267" i="3" s="1"/>
  <c r="Q266" i="3"/>
  <c r="N266" i="3"/>
  <c r="K266" i="3"/>
  <c r="H266" i="3"/>
  <c r="G266" i="3"/>
  <c r="O266" i="3" s="1"/>
  <c r="Q265" i="3"/>
  <c r="N265" i="3"/>
  <c r="K265" i="3"/>
  <c r="G265" i="3"/>
  <c r="H265" i="3" s="1"/>
  <c r="Q264" i="3"/>
  <c r="N264" i="3"/>
  <c r="K264" i="3"/>
  <c r="G264" i="3"/>
  <c r="Q263" i="3"/>
  <c r="N263" i="3"/>
  <c r="K263" i="3"/>
  <c r="G263" i="3"/>
  <c r="H263" i="3" s="1"/>
  <c r="Q262" i="3"/>
  <c r="N262" i="3"/>
  <c r="K262" i="3"/>
  <c r="G262" i="3"/>
  <c r="Q261" i="3"/>
  <c r="N261" i="3"/>
  <c r="K261" i="3"/>
  <c r="G261" i="3"/>
  <c r="H261" i="3" s="1"/>
  <c r="Q260" i="3"/>
  <c r="N260" i="3"/>
  <c r="K260" i="3"/>
  <c r="G260" i="3"/>
  <c r="O260" i="3" s="1"/>
  <c r="Q259" i="3"/>
  <c r="N259" i="3"/>
  <c r="K259" i="3"/>
  <c r="G259" i="3"/>
  <c r="H259" i="3" s="1"/>
  <c r="Q258" i="3"/>
  <c r="N258" i="3"/>
  <c r="K258" i="3"/>
  <c r="H258" i="3"/>
  <c r="G258" i="3"/>
  <c r="O258" i="3" s="1"/>
  <c r="Q257" i="3"/>
  <c r="N257" i="3"/>
  <c r="K257" i="3"/>
  <c r="G257" i="3"/>
  <c r="H257" i="3" s="1"/>
  <c r="Q256" i="3"/>
  <c r="N256" i="3"/>
  <c r="K256" i="3"/>
  <c r="G256" i="3"/>
  <c r="Q255" i="3"/>
  <c r="N255" i="3"/>
  <c r="K255" i="3"/>
  <c r="G255" i="3"/>
  <c r="H255" i="3" s="1"/>
  <c r="Q254" i="3"/>
  <c r="N254" i="3"/>
  <c r="K254" i="3"/>
  <c r="G254" i="3"/>
  <c r="O254" i="3" s="1"/>
  <c r="Q253" i="3"/>
  <c r="O253" i="3"/>
  <c r="N253" i="3"/>
  <c r="K253" i="3"/>
  <c r="H253" i="3"/>
  <c r="Q252" i="3"/>
  <c r="N252" i="3"/>
  <c r="K252" i="3"/>
  <c r="G252" i="3"/>
  <c r="Q251" i="3"/>
  <c r="N251" i="3"/>
  <c r="K251" i="3"/>
  <c r="G251" i="3"/>
  <c r="Q250" i="3"/>
  <c r="N250" i="3"/>
  <c r="K250" i="3"/>
  <c r="G250" i="3"/>
  <c r="O250" i="3" s="1"/>
  <c r="Q249" i="3"/>
  <c r="N249" i="3"/>
  <c r="K249" i="3"/>
  <c r="G249" i="3"/>
  <c r="H249" i="3" s="1"/>
  <c r="Q248" i="3"/>
  <c r="N248" i="3"/>
  <c r="K248" i="3"/>
  <c r="G248" i="3"/>
  <c r="O248" i="3" s="1"/>
  <c r="Q247" i="3"/>
  <c r="N247" i="3"/>
  <c r="K247" i="3"/>
  <c r="G247" i="3"/>
  <c r="H247" i="3" s="1"/>
  <c r="Q246" i="3"/>
  <c r="N246" i="3"/>
  <c r="K246" i="3"/>
  <c r="G246" i="3"/>
  <c r="O246" i="3" s="1"/>
  <c r="Q245" i="3"/>
  <c r="N245" i="3"/>
  <c r="K245" i="3"/>
  <c r="G245" i="3"/>
  <c r="H245" i="3" s="1"/>
  <c r="Q244" i="3"/>
  <c r="N244" i="3"/>
  <c r="K244" i="3"/>
  <c r="G244" i="3"/>
  <c r="O244" i="3" s="1"/>
  <c r="Q243" i="3"/>
  <c r="N243" i="3"/>
  <c r="K243" i="3"/>
  <c r="G243" i="3"/>
  <c r="H243" i="3" s="1"/>
  <c r="Q242" i="3"/>
  <c r="O242" i="3"/>
  <c r="N242" i="3"/>
  <c r="K242" i="3"/>
  <c r="G242" i="3"/>
  <c r="Q241" i="3"/>
  <c r="N241" i="3"/>
  <c r="K241" i="3"/>
  <c r="G241" i="3"/>
  <c r="H241" i="3" s="1"/>
  <c r="Q240" i="3"/>
  <c r="N240" i="3"/>
  <c r="K240" i="3"/>
  <c r="G240" i="3"/>
  <c r="O240" i="3" s="1"/>
  <c r="Q239" i="3"/>
  <c r="O239" i="3"/>
  <c r="N239" i="3"/>
  <c r="K239" i="3"/>
  <c r="H239" i="3"/>
  <c r="Q238" i="3"/>
  <c r="N238" i="3"/>
  <c r="K238" i="3"/>
  <c r="G238" i="3"/>
  <c r="H238" i="3" s="1"/>
  <c r="Q237" i="3"/>
  <c r="N237" i="3"/>
  <c r="K237" i="3"/>
  <c r="G237" i="3"/>
  <c r="O237" i="3" s="1"/>
  <c r="U237" i="3" s="1"/>
  <c r="Q236" i="3"/>
  <c r="N236" i="3"/>
  <c r="K236" i="3"/>
  <c r="G236" i="3"/>
  <c r="H236" i="3" s="1"/>
  <c r="Q235" i="3"/>
  <c r="N235" i="3"/>
  <c r="K235" i="3"/>
  <c r="G235" i="3"/>
  <c r="Q234" i="3"/>
  <c r="N234" i="3"/>
  <c r="K234" i="3"/>
  <c r="G234" i="3"/>
  <c r="H234" i="3" s="1"/>
  <c r="Q233" i="3"/>
  <c r="N233" i="3"/>
  <c r="K233" i="3"/>
  <c r="G233" i="3"/>
  <c r="Q232" i="3"/>
  <c r="N232" i="3"/>
  <c r="K232" i="3"/>
  <c r="G232" i="3"/>
  <c r="H232" i="3" s="1"/>
  <c r="Q231" i="3"/>
  <c r="N231" i="3"/>
  <c r="K231" i="3"/>
  <c r="H231" i="3"/>
  <c r="G231" i="3"/>
  <c r="O231" i="3" s="1"/>
  <c r="U231" i="3" s="1"/>
  <c r="Q230" i="3"/>
  <c r="N230" i="3"/>
  <c r="K230" i="3"/>
  <c r="G230" i="3"/>
  <c r="H230" i="3" s="1"/>
  <c r="Q229" i="3"/>
  <c r="N229" i="3"/>
  <c r="K229" i="3"/>
  <c r="G229" i="3"/>
  <c r="O229" i="3" s="1"/>
  <c r="U229" i="3" s="1"/>
  <c r="Q228" i="3"/>
  <c r="O228" i="3"/>
  <c r="V228" i="3" s="1"/>
  <c r="N228" i="3"/>
  <c r="K228" i="3"/>
  <c r="H228" i="3"/>
  <c r="Q227" i="3"/>
  <c r="M227" i="3"/>
  <c r="J227" i="3"/>
  <c r="K227" i="3" s="1"/>
  <c r="H227" i="3"/>
  <c r="G227" i="3"/>
  <c r="Q226" i="3"/>
  <c r="N226" i="3"/>
  <c r="K226" i="3"/>
  <c r="G226" i="3"/>
  <c r="O226" i="3" s="1"/>
  <c r="T225" i="3"/>
  <c r="Q225" i="3"/>
  <c r="P225" i="3"/>
  <c r="O225" i="3"/>
  <c r="U225" i="3" s="1"/>
  <c r="N225" i="3"/>
  <c r="K225" i="3"/>
  <c r="H225" i="3"/>
  <c r="Q224" i="3"/>
  <c r="N224" i="3"/>
  <c r="M224" i="3"/>
  <c r="J224" i="3"/>
  <c r="K224" i="3" s="1"/>
  <c r="G224" i="3"/>
  <c r="H224" i="3" s="1"/>
  <c r="Q223" i="3"/>
  <c r="N223" i="3"/>
  <c r="K223" i="3"/>
  <c r="G223" i="3"/>
  <c r="H223" i="3" s="1"/>
  <c r="Q222" i="3"/>
  <c r="N222" i="3"/>
  <c r="K222" i="3"/>
  <c r="G222" i="3"/>
  <c r="Q221" i="3"/>
  <c r="N221" i="3"/>
  <c r="K221" i="3"/>
  <c r="G221" i="3"/>
  <c r="H221" i="3" s="1"/>
  <c r="Q220" i="3"/>
  <c r="N220" i="3"/>
  <c r="K220" i="3"/>
  <c r="G220" i="3"/>
  <c r="O220" i="3" s="1"/>
  <c r="U220" i="3" s="1"/>
  <c r="Q219" i="3"/>
  <c r="N219" i="3"/>
  <c r="K219" i="3"/>
  <c r="G219" i="3"/>
  <c r="H219" i="3" s="1"/>
  <c r="Q218" i="3"/>
  <c r="N218" i="3"/>
  <c r="K218" i="3"/>
  <c r="G218" i="3"/>
  <c r="Q217" i="3"/>
  <c r="N217" i="3"/>
  <c r="K217" i="3"/>
  <c r="G217" i="3"/>
  <c r="H217" i="3" s="1"/>
  <c r="Q216" i="3"/>
  <c r="N216" i="3"/>
  <c r="K216" i="3"/>
  <c r="G216" i="3"/>
  <c r="O216" i="3" s="1"/>
  <c r="U216" i="3" s="1"/>
  <c r="Q215" i="3"/>
  <c r="O215" i="3"/>
  <c r="V215" i="3" s="1"/>
  <c r="N215" i="3"/>
  <c r="K215" i="3"/>
  <c r="H215" i="3"/>
  <c r="Q214" i="3"/>
  <c r="O214" i="3"/>
  <c r="N214" i="3"/>
  <c r="K214" i="3"/>
  <c r="H214" i="3"/>
  <c r="V213" i="3"/>
  <c r="Q213" i="3"/>
  <c r="P213" i="3"/>
  <c r="O213" i="3"/>
  <c r="U213" i="3" s="1"/>
  <c r="N213" i="3"/>
  <c r="K213" i="3"/>
  <c r="H213" i="3"/>
  <c r="Q212" i="3"/>
  <c r="M212" i="3"/>
  <c r="K212" i="3"/>
  <c r="H212" i="3"/>
  <c r="Q211" i="3"/>
  <c r="O211" i="3"/>
  <c r="M211" i="3"/>
  <c r="N211" i="3" s="1"/>
  <c r="K211" i="3"/>
  <c r="H211" i="3"/>
  <c r="Q210" i="3"/>
  <c r="O210" i="3"/>
  <c r="N210" i="3"/>
  <c r="K210" i="3"/>
  <c r="H210" i="3"/>
  <c r="T209" i="3"/>
  <c r="Q209" i="3"/>
  <c r="O209" i="3"/>
  <c r="V209" i="3" s="1"/>
  <c r="N209" i="3"/>
  <c r="K209" i="3"/>
  <c r="H209" i="3"/>
  <c r="Q208" i="3"/>
  <c r="O208" i="3"/>
  <c r="U208" i="3" s="1"/>
  <c r="N208" i="3"/>
  <c r="K208" i="3"/>
  <c r="H208" i="3"/>
  <c r="V207" i="3"/>
  <c r="Q207" i="3"/>
  <c r="P207" i="3"/>
  <c r="O207" i="3"/>
  <c r="U207" i="3" s="1"/>
  <c r="N207" i="3"/>
  <c r="K207" i="3"/>
  <c r="H207" i="3"/>
  <c r="Q206" i="3"/>
  <c r="O206" i="3"/>
  <c r="V206" i="3" s="1"/>
  <c r="N206" i="3"/>
  <c r="K206" i="3"/>
  <c r="H206" i="3"/>
  <c r="Q205" i="3"/>
  <c r="O205" i="3"/>
  <c r="N205" i="3"/>
  <c r="K205" i="3"/>
  <c r="H205" i="3"/>
  <c r="Q204" i="3"/>
  <c r="O204" i="3"/>
  <c r="N204" i="3"/>
  <c r="K204" i="3"/>
  <c r="H204" i="3"/>
  <c r="Q203" i="3"/>
  <c r="O203" i="3"/>
  <c r="N203" i="3"/>
  <c r="K203" i="3"/>
  <c r="H203" i="3"/>
  <c r="Q202" i="3"/>
  <c r="O202" i="3"/>
  <c r="V202" i="3" s="1"/>
  <c r="N202" i="3"/>
  <c r="K202" i="3"/>
  <c r="H202" i="3"/>
  <c r="T201" i="3"/>
  <c r="Q201" i="3"/>
  <c r="O201" i="3"/>
  <c r="V201" i="3" s="1"/>
  <c r="N201" i="3"/>
  <c r="K201" i="3"/>
  <c r="H201" i="3"/>
  <c r="Q200" i="3"/>
  <c r="O200" i="3"/>
  <c r="N200" i="3"/>
  <c r="K200" i="3"/>
  <c r="H200" i="3"/>
  <c r="V199" i="3"/>
  <c r="Q199" i="3"/>
  <c r="N199" i="3"/>
  <c r="K199" i="3"/>
  <c r="H199" i="3"/>
  <c r="G199" i="3"/>
  <c r="O199" i="3" s="1"/>
  <c r="U199" i="3" s="1"/>
  <c r="Q198" i="3"/>
  <c r="O198" i="3"/>
  <c r="N198" i="3"/>
  <c r="K198" i="3"/>
  <c r="H198" i="3"/>
  <c r="Q197" i="3"/>
  <c r="N197" i="3"/>
  <c r="K197" i="3"/>
  <c r="G197" i="3"/>
  <c r="O197" i="3" s="1"/>
  <c r="Q196" i="3"/>
  <c r="N196" i="3"/>
  <c r="K196" i="3"/>
  <c r="G196" i="3"/>
  <c r="H196" i="3" s="1"/>
  <c r="Q195" i="3"/>
  <c r="N195" i="3"/>
  <c r="K195" i="3"/>
  <c r="G195" i="3"/>
  <c r="Q194" i="3"/>
  <c r="N194" i="3"/>
  <c r="K194" i="3"/>
  <c r="G194" i="3"/>
  <c r="H194" i="3" s="1"/>
  <c r="Q193" i="3"/>
  <c r="O193" i="3"/>
  <c r="N193" i="3"/>
  <c r="K193" i="3"/>
  <c r="G193" i="3"/>
  <c r="Q192" i="3"/>
  <c r="N192" i="3"/>
  <c r="K192" i="3"/>
  <c r="G192" i="3"/>
  <c r="H192" i="3" s="1"/>
  <c r="Q191" i="3"/>
  <c r="N191" i="3"/>
  <c r="K191" i="3"/>
  <c r="G191" i="3"/>
  <c r="Q190" i="3"/>
  <c r="N190" i="3"/>
  <c r="K190" i="3"/>
  <c r="G190" i="3"/>
  <c r="H190" i="3" s="1"/>
  <c r="Q189" i="3"/>
  <c r="N189" i="3"/>
  <c r="K189" i="3"/>
  <c r="G189" i="3"/>
  <c r="O189" i="3" s="1"/>
  <c r="Q188" i="3"/>
  <c r="M188" i="3"/>
  <c r="K188" i="3"/>
  <c r="G188" i="3"/>
  <c r="Q187" i="3"/>
  <c r="O187" i="3"/>
  <c r="U187" i="3" s="1"/>
  <c r="N187" i="3"/>
  <c r="K187" i="3"/>
  <c r="H187" i="3"/>
  <c r="Q186" i="3"/>
  <c r="O186" i="3"/>
  <c r="N186" i="3"/>
  <c r="K186" i="3"/>
  <c r="H186" i="3"/>
  <c r="Q185" i="3"/>
  <c r="O185" i="3"/>
  <c r="N185" i="3"/>
  <c r="K185" i="3"/>
  <c r="H185" i="3"/>
  <c r="Q184" i="3"/>
  <c r="N184" i="3"/>
  <c r="J184" i="3"/>
  <c r="K184" i="3" s="1"/>
  <c r="G184" i="3"/>
  <c r="H184" i="3" s="1"/>
  <c r="Q183" i="3"/>
  <c r="N183" i="3"/>
  <c r="J183" i="3"/>
  <c r="K183" i="3" s="1"/>
  <c r="G183" i="3"/>
  <c r="Q182" i="3"/>
  <c r="N182" i="3"/>
  <c r="J182" i="3"/>
  <c r="K182" i="3" s="1"/>
  <c r="G182" i="3"/>
  <c r="Q181" i="3"/>
  <c r="N181" i="3"/>
  <c r="J181" i="3"/>
  <c r="G181" i="3"/>
  <c r="Q180" i="3"/>
  <c r="N180" i="3"/>
  <c r="J180" i="3"/>
  <c r="K180" i="3" s="1"/>
  <c r="G180" i="3"/>
  <c r="Q179" i="3"/>
  <c r="N179" i="3"/>
  <c r="K179" i="3"/>
  <c r="G179" i="3"/>
  <c r="H179" i="3" s="1"/>
  <c r="Q178" i="3"/>
  <c r="N178" i="3"/>
  <c r="K178" i="3"/>
  <c r="G178" i="3"/>
  <c r="O178" i="3" s="1"/>
  <c r="U178" i="3" s="1"/>
  <c r="Q177" i="3"/>
  <c r="N177" i="3"/>
  <c r="J177" i="3"/>
  <c r="H177" i="3"/>
  <c r="Q176" i="3"/>
  <c r="N176" i="3"/>
  <c r="J176" i="3"/>
  <c r="G176" i="3"/>
  <c r="O176" i="3" s="1"/>
  <c r="V176" i="3" s="1"/>
  <c r="Q175" i="3"/>
  <c r="M175" i="3"/>
  <c r="N175" i="3" s="1"/>
  <c r="J175" i="3"/>
  <c r="H175" i="3"/>
  <c r="Q174" i="3"/>
  <c r="N174" i="3"/>
  <c r="J174" i="3"/>
  <c r="K174" i="3" s="1"/>
  <c r="G174" i="3"/>
  <c r="Q173" i="3"/>
  <c r="N173" i="3"/>
  <c r="J173" i="3"/>
  <c r="K173" i="3" s="1"/>
  <c r="G173" i="3"/>
  <c r="Q172" i="3"/>
  <c r="N172" i="3"/>
  <c r="J172" i="3"/>
  <c r="G172" i="3"/>
  <c r="Q171" i="3"/>
  <c r="N171" i="3"/>
  <c r="J171" i="3"/>
  <c r="K171" i="3" s="1"/>
  <c r="H171" i="3"/>
  <c r="G171" i="3"/>
  <c r="Q170" i="3"/>
  <c r="N170" i="3"/>
  <c r="K170" i="3"/>
  <c r="J170" i="3"/>
  <c r="G170" i="3"/>
  <c r="Q169" i="3"/>
  <c r="N169" i="3"/>
  <c r="J169" i="3"/>
  <c r="K169" i="3" s="1"/>
  <c r="G169" i="3"/>
  <c r="Q168" i="3"/>
  <c r="N168" i="3"/>
  <c r="J168" i="3"/>
  <c r="G168" i="3"/>
  <c r="Q167" i="3"/>
  <c r="N167" i="3"/>
  <c r="J167" i="3"/>
  <c r="K167" i="3" s="1"/>
  <c r="H167" i="3"/>
  <c r="G167" i="3"/>
  <c r="Q166" i="3"/>
  <c r="O166" i="3"/>
  <c r="N166" i="3"/>
  <c r="K166" i="3"/>
  <c r="H166" i="3"/>
  <c r="Q165" i="3"/>
  <c r="N165" i="3"/>
  <c r="K165" i="3"/>
  <c r="G165" i="3"/>
  <c r="Q164" i="3"/>
  <c r="N164" i="3"/>
  <c r="J164" i="3"/>
  <c r="K164" i="3" s="1"/>
  <c r="G164" i="3"/>
  <c r="Q163" i="3"/>
  <c r="N163" i="3"/>
  <c r="J163" i="3"/>
  <c r="G163" i="3"/>
  <c r="Q162" i="3"/>
  <c r="N162" i="3"/>
  <c r="J162" i="3"/>
  <c r="K162" i="3" s="1"/>
  <c r="H162" i="3"/>
  <c r="G162" i="3"/>
  <c r="Q161" i="3"/>
  <c r="N161" i="3"/>
  <c r="J161" i="3"/>
  <c r="K161" i="3" s="1"/>
  <c r="G161" i="3"/>
  <c r="Q160" i="3"/>
  <c r="N160" i="3"/>
  <c r="K160" i="3"/>
  <c r="J160" i="3"/>
  <c r="G160" i="3"/>
  <c r="O160" i="3" s="1"/>
  <c r="Q159" i="3"/>
  <c r="N159" i="3"/>
  <c r="J159" i="3"/>
  <c r="G159" i="3"/>
  <c r="Q158" i="3"/>
  <c r="O158" i="3"/>
  <c r="N158" i="3"/>
  <c r="J158" i="3"/>
  <c r="K158" i="3" s="1"/>
  <c r="G158" i="3"/>
  <c r="Q157" i="3"/>
  <c r="N157" i="3"/>
  <c r="J157" i="3"/>
  <c r="K157" i="3" s="1"/>
  <c r="G157" i="3"/>
  <c r="Q156" i="3"/>
  <c r="N156" i="3"/>
  <c r="J156" i="3"/>
  <c r="K156" i="3" s="1"/>
  <c r="G156" i="3"/>
  <c r="Q155" i="3"/>
  <c r="N155" i="3"/>
  <c r="J155" i="3"/>
  <c r="G155" i="3"/>
  <c r="Q154" i="3"/>
  <c r="N154" i="3"/>
  <c r="J154" i="3"/>
  <c r="K154" i="3" s="1"/>
  <c r="G154" i="3"/>
  <c r="H154" i="3" s="1"/>
  <c r="Q153" i="3"/>
  <c r="N153" i="3"/>
  <c r="J153" i="3"/>
  <c r="K153" i="3" s="1"/>
  <c r="G153" i="3"/>
  <c r="Q152" i="3"/>
  <c r="N152" i="3"/>
  <c r="J152" i="3"/>
  <c r="K152" i="3" s="1"/>
  <c r="G152" i="3"/>
  <c r="Q151" i="3"/>
  <c r="N151" i="3"/>
  <c r="J151" i="3"/>
  <c r="G151" i="3"/>
  <c r="Q150" i="3"/>
  <c r="N150" i="3"/>
  <c r="J150" i="3"/>
  <c r="K150" i="3" s="1"/>
  <c r="G150" i="3"/>
  <c r="H150" i="3" s="1"/>
  <c r="Q149" i="3"/>
  <c r="N149" i="3"/>
  <c r="J149" i="3"/>
  <c r="K149" i="3" s="1"/>
  <c r="G149" i="3"/>
  <c r="Q148" i="3"/>
  <c r="N148" i="3"/>
  <c r="J148" i="3"/>
  <c r="K148" i="3" s="1"/>
  <c r="G148" i="3"/>
  <c r="Q147" i="3"/>
  <c r="N147" i="3"/>
  <c r="J147" i="3"/>
  <c r="G147" i="3"/>
  <c r="Q146" i="3"/>
  <c r="N146" i="3"/>
  <c r="J146" i="3"/>
  <c r="K146" i="3" s="1"/>
  <c r="G146" i="3"/>
  <c r="Q145" i="3"/>
  <c r="N145" i="3"/>
  <c r="J145" i="3"/>
  <c r="K145" i="3" s="1"/>
  <c r="G145" i="3"/>
  <c r="Q144" i="3"/>
  <c r="N144" i="3"/>
  <c r="J144" i="3"/>
  <c r="K144" i="3" s="1"/>
  <c r="G144" i="3"/>
  <c r="Q143" i="3"/>
  <c r="N143" i="3"/>
  <c r="J143" i="3"/>
  <c r="G143" i="3"/>
  <c r="Q142" i="3"/>
  <c r="N142" i="3"/>
  <c r="J142" i="3"/>
  <c r="K142" i="3" s="1"/>
  <c r="G142" i="3"/>
  <c r="H142" i="3" s="1"/>
  <c r="Q141" i="3"/>
  <c r="N141" i="3"/>
  <c r="K141" i="3"/>
  <c r="G141" i="3"/>
  <c r="H141" i="3" s="1"/>
  <c r="Q140" i="3"/>
  <c r="N140" i="3"/>
  <c r="K140" i="3"/>
  <c r="G140" i="3"/>
  <c r="O140" i="3" s="1"/>
  <c r="P140" i="3" s="1"/>
  <c r="Q139" i="3"/>
  <c r="N139" i="3"/>
  <c r="J139" i="3"/>
  <c r="K139" i="3" s="1"/>
  <c r="G139" i="3"/>
  <c r="Q138" i="3"/>
  <c r="N138" i="3"/>
  <c r="J138" i="3"/>
  <c r="G138" i="3"/>
  <c r="Q137" i="3"/>
  <c r="N137" i="3"/>
  <c r="J137" i="3"/>
  <c r="G137" i="3"/>
  <c r="Q136" i="3"/>
  <c r="M136" i="3"/>
  <c r="N136" i="3" s="1"/>
  <c r="J136" i="3"/>
  <c r="K136" i="3" s="1"/>
  <c r="G136" i="3"/>
  <c r="O136" i="3" s="1"/>
  <c r="Q135" i="3"/>
  <c r="M135" i="3"/>
  <c r="N135" i="3" s="1"/>
  <c r="J135" i="3"/>
  <c r="K135" i="3" s="1"/>
  <c r="G135" i="3"/>
  <c r="Q134" i="3"/>
  <c r="M134" i="3"/>
  <c r="N134" i="3" s="1"/>
  <c r="J134" i="3"/>
  <c r="G134" i="3"/>
  <c r="Q133" i="3"/>
  <c r="M133" i="3"/>
  <c r="N133" i="3" s="1"/>
  <c r="J133" i="3"/>
  <c r="K133" i="3" s="1"/>
  <c r="G133" i="3"/>
  <c r="Q132" i="3"/>
  <c r="M132" i="3"/>
  <c r="N132" i="3" s="1"/>
  <c r="J132" i="3"/>
  <c r="K132" i="3" s="1"/>
  <c r="G132" i="3"/>
  <c r="O132" i="3" s="1"/>
  <c r="Q131" i="3"/>
  <c r="M131" i="3"/>
  <c r="N131" i="3" s="1"/>
  <c r="J131" i="3"/>
  <c r="K131" i="3" s="1"/>
  <c r="G131" i="3"/>
  <c r="Q130" i="3"/>
  <c r="N130" i="3"/>
  <c r="J130" i="3"/>
  <c r="G130" i="3"/>
  <c r="Q129" i="3"/>
  <c r="N129" i="3"/>
  <c r="J129" i="3"/>
  <c r="K129" i="3" s="1"/>
  <c r="G129" i="3"/>
  <c r="Q128" i="3"/>
  <c r="N128" i="3"/>
  <c r="J128" i="3"/>
  <c r="G128" i="3"/>
  <c r="Q127" i="3"/>
  <c r="N127" i="3"/>
  <c r="J127" i="3"/>
  <c r="G127" i="3"/>
  <c r="Q126" i="3"/>
  <c r="N126" i="3"/>
  <c r="J126" i="3"/>
  <c r="K126" i="3" s="1"/>
  <c r="G126" i="3"/>
  <c r="H126" i="3" s="1"/>
  <c r="Q125" i="3"/>
  <c r="N125" i="3"/>
  <c r="J125" i="3"/>
  <c r="K125" i="3" s="1"/>
  <c r="G125" i="3"/>
  <c r="Q124" i="3"/>
  <c r="N124" i="3"/>
  <c r="J124" i="3"/>
  <c r="K124" i="3" s="1"/>
  <c r="G124" i="3"/>
  <c r="Q123" i="3"/>
  <c r="N123" i="3"/>
  <c r="J123" i="3"/>
  <c r="G123" i="3"/>
  <c r="Q122" i="3"/>
  <c r="N122" i="3"/>
  <c r="J122" i="3"/>
  <c r="K122" i="3" s="1"/>
  <c r="G122" i="3"/>
  <c r="H122" i="3" s="1"/>
  <c r="Q121" i="3"/>
  <c r="N121" i="3"/>
  <c r="J121" i="3"/>
  <c r="K121" i="3" s="1"/>
  <c r="G121" i="3"/>
  <c r="Q120" i="3"/>
  <c r="N120" i="3"/>
  <c r="J120" i="3"/>
  <c r="K120" i="3" s="1"/>
  <c r="G120" i="3"/>
  <c r="Q119" i="3"/>
  <c r="N119" i="3"/>
  <c r="J119" i="3"/>
  <c r="K119" i="3" s="1"/>
  <c r="G119" i="3"/>
  <c r="Q118" i="3"/>
  <c r="N118" i="3"/>
  <c r="K118" i="3"/>
  <c r="G118" i="3"/>
  <c r="Q117" i="3"/>
  <c r="N117" i="3"/>
  <c r="K117" i="3"/>
  <c r="G117" i="3"/>
  <c r="H117" i="3" s="1"/>
  <c r="Q116" i="3"/>
  <c r="N116" i="3"/>
  <c r="J116" i="3"/>
  <c r="K116" i="3" s="1"/>
  <c r="G116" i="3"/>
  <c r="H116" i="3" s="1"/>
  <c r="Q115" i="3"/>
  <c r="N115" i="3"/>
  <c r="J115" i="3"/>
  <c r="K115" i="3" s="1"/>
  <c r="G115" i="3"/>
  <c r="Q114" i="3"/>
  <c r="O114" i="3"/>
  <c r="V114" i="3" s="1"/>
  <c r="N114" i="3"/>
  <c r="K114" i="3"/>
  <c r="H114" i="3"/>
  <c r="Q113" i="3"/>
  <c r="N113" i="3"/>
  <c r="J113" i="3"/>
  <c r="K113" i="3" s="1"/>
  <c r="G113" i="3"/>
  <c r="Q112" i="3"/>
  <c r="N112" i="3"/>
  <c r="J112" i="3"/>
  <c r="K112" i="3" s="1"/>
  <c r="G112" i="3"/>
  <c r="Q111" i="3"/>
  <c r="N111" i="3"/>
  <c r="J111" i="3"/>
  <c r="G111" i="3"/>
  <c r="Q110" i="3"/>
  <c r="N110" i="3"/>
  <c r="K110" i="3"/>
  <c r="G110" i="3"/>
  <c r="H110" i="3" s="1"/>
  <c r="Q109" i="3"/>
  <c r="N109" i="3"/>
  <c r="K109" i="3"/>
  <c r="G109" i="3"/>
  <c r="H109" i="3" s="1"/>
  <c r="Q108" i="3"/>
  <c r="N108" i="3"/>
  <c r="K108" i="3"/>
  <c r="G108" i="3"/>
  <c r="Q107" i="3"/>
  <c r="O107" i="3"/>
  <c r="V107" i="3" s="1"/>
  <c r="N107" i="3"/>
  <c r="K107" i="3"/>
  <c r="H107" i="3"/>
  <c r="Q106" i="3"/>
  <c r="N106" i="3"/>
  <c r="K106" i="3"/>
  <c r="G106" i="3"/>
  <c r="Q105" i="3"/>
  <c r="N105" i="3"/>
  <c r="K105" i="3"/>
  <c r="G105" i="3"/>
  <c r="Q104" i="3"/>
  <c r="N104" i="3"/>
  <c r="K104" i="3"/>
  <c r="G104" i="3"/>
  <c r="Q103" i="3"/>
  <c r="N103" i="3"/>
  <c r="K103" i="3"/>
  <c r="G103" i="3"/>
  <c r="Q102" i="3"/>
  <c r="N102" i="3"/>
  <c r="K102" i="3"/>
  <c r="G102" i="3"/>
  <c r="Q101" i="3"/>
  <c r="O101" i="3"/>
  <c r="N101" i="3"/>
  <c r="K101" i="3"/>
  <c r="H101" i="3"/>
  <c r="Q100" i="3"/>
  <c r="N100" i="3"/>
  <c r="K100" i="3"/>
  <c r="G100" i="3"/>
  <c r="H100" i="3" s="1"/>
  <c r="M99" i="3"/>
  <c r="N99" i="3" s="1"/>
  <c r="J99" i="3"/>
  <c r="G99" i="3"/>
  <c r="E99" i="3"/>
  <c r="Q99" i="3" s="1"/>
  <c r="Q98" i="3"/>
  <c r="M98" i="3"/>
  <c r="N98" i="3" s="1"/>
  <c r="J98" i="3"/>
  <c r="K98" i="3" s="1"/>
  <c r="G98" i="3"/>
  <c r="Q97" i="3"/>
  <c r="M97" i="3"/>
  <c r="K97" i="3"/>
  <c r="J97" i="3"/>
  <c r="G97" i="3"/>
  <c r="Q96" i="3"/>
  <c r="M96" i="3"/>
  <c r="N96" i="3" s="1"/>
  <c r="J96" i="3"/>
  <c r="K96" i="3" s="1"/>
  <c r="G96" i="3"/>
  <c r="Q95" i="3"/>
  <c r="M95" i="3"/>
  <c r="N95" i="3" s="1"/>
  <c r="J95" i="3"/>
  <c r="K95" i="3" s="1"/>
  <c r="G95" i="3"/>
  <c r="Q94" i="3"/>
  <c r="N94" i="3"/>
  <c r="K94" i="3"/>
  <c r="G94" i="3"/>
  <c r="O94" i="3" s="1"/>
  <c r="P94" i="3" s="1"/>
  <c r="Q93" i="3"/>
  <c r="N93" i="3"/>
  <c r="K93" i="3"/>
  <c r="G93" i="3"/>
  <c r="Q92" i="3"/>
  <c r="N92" i="3"/>
  <c r="K92" i="3"/>
  <c r="G92" i="3"/>
  <c r="Q91" i="3"/>
  <c r="N91" i="3"/>
  <c r="J91" i="3"/>
  <c r="K91" i="3" s="1"/>
  <c r="G91" i="3"/>
  <c r="Q90" i="3"/>
  <c r="N90" i="3"/>
  <c r="K90" i="3"/>
  <c r="G90" i="3"/>
  <c r="Q89" i="3"/>
  <c r="N89" i="3"/>
  <c r="K89" i="3"/>
  <c r="G89" i="3"/>
  <c r="H89" i="3" s="1"/>
  <c r="Q88" i="3"/>
  <c r="N88" i="3"/>
  <c r="J88" i="3"/>
  <c r="G88" i="3"/>
  <c r="H88" i="3" s="1"/>
  <c r="Q87" i="3"/>
  <c r="N87" i="3"/>
  <c r="J87" i="3"/>
  <c r="G87" i="3"/>
  <c r="Q86" i="3"/>
  <c r="N86" i="3"/>
  <c r="J86" i="3"/>
  <c r="K86" i="3" s="1"/>
  <c r="G86" i="3"/>
  <c r="Q85" i="3"/>
  <c r="N85" i="3"/>
  <c r="K85" i="3"/>
  <c r="G85" i="3"/>
  <c r="Q84" i="3"/>
  <c r="O84" i="3"/>
  <c r="U84" i="3" s="1"/>
  <c r="N84" i="3"/>
  <c r="K84" i="3"/>
  <c r="H84" i="3"/>
  <c r="Q83" i="3"/>
  <c r="N83" i="3"/>
  <c r="K83" i="3"/>
  <c r="G83" i="3"/>
  <c r="Q82" i="3"/>
  <c r="N82" i="3"/>
  <c r="K82" i="3"/>
  <c r="G82" i="3"/>
  <c r="H82" i="3" s="1"/>
  <c r="Q81" i="3"/>
  <c r="N81" i="3"/>
  <c r="J81" i="3"/>
  <c r="G81" i="3"/>
  <c r="H81" i="3" s="1"/>
  <c r="Q80" i="3"/>
  <c r="N80" i="3"/>
  <c r="K80" i="3"/>
  <c r="G80" i="3"/>
  <c r="Q79" i="3"/>
  <c r="N79" i="3"/>
  <c r="K79" i="3"/>
  <c r="H79" i="3"/>
  <c r="G79" i="3"/>
  <c r="O79" i="3" s="1"/>
  <c r="Q78" i="3"/>
  <c r="N78" i="3"/>
  <c r="K78" i="3"/>
  <c r="G78" i="3"/>
  <c r="O78" i="3" s="1"/>
  <c r="Q77" i="3"/>
  <c r="N77" i="3"/>
  <c r="K77" i="3"/>
  <c r="G77" i="3"/>
  <c r="O77" i="3" s="1"/>
  <c r="Q76" i="3"/>
  <c r="N76" i="3"/>
  <c r="K76" i="3"/>
  <c r="G76" i="3"/>
  <c r="O76" i="3" s="1"/>
  <c r="Q75" i="3"/>
  <c r="N75" i="3"/>
  <c r="K75" i="3"/>
  <c r="H75" i="3"/>
  <c r="G75" i="3"/>
  <c r="O75" i="3" s="1"/>
  <c r="Q74" i="3"/>
  <c r="N74" i="3"/>
  <c r="K74" i="3"/>
  <c r="G74" i="3"/>
  <c r="O74" i="3" s="1"/>
  <c r="U74" i="3" s="1"/>
  <c r="Q73" i="3"/>
  <c r="N73" i="3"/>
  <c r="K73" i="3"/>
  <c r="G73" i="3"/>
  <c r="Q72" i="3"/>
  <c r="O72" i="3"/>
  <c r="U72" i="3" s="1"/>
  <c r="N72" i="3"/>
  <c r="K72" i="3"/>
  <c r="H72" i="3"/>
  <c r="Q71" i="3"/>
  <c r="O71" i="3"/>
  <c r="N71" i="3"/>
  <c r="K71" i="3"/>
  <c r="H71" i="3"/>
  <c r="Q70" i="3"/>
  <c r="O70" i="3"/>
  <c r="N70" i="3"/>
  <c r="K70" i="3"/>
  <c r="H70" i="3"/>
  <c r="T69" i="3"/>
  <c r="Q69" i="3"/>
  <c r="O69" i="3"/>
  <c r="V69" i="3" s="1"/>
  <c r="N69" i="3"/>
  <c r="K69" i="3"/>
  <c r="H69" i="3"/>
  <c r="Q68" i="3"/>
  <c r="O68" i="3"/>
  <c r="N68" i="3"/>
  <c r="K68" i="3"/>
  <c r="H68" i="3"/>
  <c r="Q67" i="3"/>
  <c r="O67" i="3"/>
  <c r="N67" i="3"/>
  <c r="K67" i="3"/>
  <c r="H67" i="3"/>
  <c r="V66" i="3"/>
  <c r="Q66" i="3"/>
  <c r="O66" i="3"/>
  <c r="N66" i="3"/>
  <c r="K66" i="3"/>
  <c r="H66" i="3"/>
  <c r="Q65" i="3"/>
  <c r="O65" i="3"/>
  <c r="N65" i="3"/>
  <c r="K65" i="3"/>
  <c r="H65" i="3"/>
  <c r="Q64" i="3"/>
  <c r="O64" i="3"/>
  <c r="N64" i="3"/>
  <c r="K64" i="3"/>
  <c r="H64" i="3"/>
  <c r="Q63" i="3"/>
  <c r="M63" i="3"/>
  <c r="N63" i="3" s="1"/>
  <c r="K63" i="3"/>
  <c r="J63" i="3"/>
  <c r="G63" i="3"/>
  <c r="O63" i="3" s="1"/>
  <c r="Q62" i="3"/>
  <c r="N62" i="3"/>
  <c r="K62" i="3"/>
  <c r="H62" i="3"/>
  <c r="G62" i="3"/>
  <c r="O62" i="3" s="1"/>
  <c r="U62" i="3" s="1"/>
  <c r="Q61" i="3"/>
  <c r="N61" i="3"/>
  <c r="K61" i="3"/>
  <c r="G61" i="3"/>
  <c r="H61" i="3" s="1"/>
  <c r="Q60" i="3"/>
  <c r="N60" i="3"/>
  <c r="K60" i="3"/>
  <c r="G60" i="3"/>
  <c r="Q59" i="3"/>
  <c r="N59" i="3"/>
  <c r="K59" i="3"/>
  <c r="G59" i="3"/>
  <c r="H59" i="3" s="1"/>
  <c r="Q58" i="3"/>
  <c r="N58" i="3"/>
  <c r="K58" i="3"/>
  <c r="G58" i="3"/>
  <c r="O58" i="3" s="1"/>
  <c r="U58" i="3" s="1"/>
  <c r="Q57" i="3"/>
  <c r="N57" i="3"/>
  <c r="K57" i="3"/>
  <c r="G57" i="3"/>
  <c r="H57" i="3" s="1"/>
  <c r="Q56" i="3"/>
  <c r="N56" i="3"/>
  <c r="K56" i="3"/>
  <c r="G56" i="3"/>
  <c r="Q55" i="3"/>
  <c r="N55" i="3"/>
  <c r="K55" i="3"/>
  <c r="G55" i="3"/>
  <c r="H55" i="3" s="1"/>
  <c r="Q54" i="3"/>
  <c r="N54" i="3"/>
  <c r="K54" i="3"/>
  <c r="H54" i="3"/>
  <c r="G54" i="3"/>
  <c r="O54" i="3" s="1"/>
  <c r="U54" i="3" s="1"/>
  <c r="Q53" i="3"/>
  <c r="N53" i="3"/>
  <c r="K53" i="3"/>
  <c r="G53" i="3"/>
  <c r="H53" i="3" s="1"/>
  <c r="Q52" i="3"/>
  <c r="N52" i="3"/>
  <c r="K52" i="3"/>
  <c r="G52" i="3"/>
  <c r="Q51" i="3"/>
  <c r="N51" i="3"/>
  <c r="K51" i="3"/>
  <c r="G51" i="3"/>
  <c r="H51" i="3" s="1"/>
  <c r="Q50" i="3"/>
  <c r="N50" i="3"/>
  <c r="K50" i="3"/>
  <c r="G50" i="3"/>
  <c r="Q49" i="3"/>
  <c r="O49" i="3"/>
  <c r="N49" i="3"/>
  <c r="K49" i="3"/>
  <c r="H49" i="3"/>
  <c r="Q48" i="3"/>
  <c r="N48" i="3"/>
  <c r="K48" i="3"/>
  <c r="G48" i="3"/>
  <c r="Q47" i="3"/>
  <c r="N47" i="3"/>
  <c r="K47" i="3"/>
  <c r="J47" i="3"/>
  <c r="G47" i="3"/>
  <c r="O47" i="3" s="1"/>
  <c r="Q46" i="3"/>
  <c r="N46" i="3"/>
  <c r="K46" i="3"/>
  <c r="H46" i="3"/>
  <c r="G46" i="3"/>
  <c r="O46" i="3" s="1"/>
  <c r="U46" i="3" s="1"/>
  <c r="Q45" i="3"/>
  <c r="N45" i="3"/>
  <c r="K45" i="3"/>
  <c r="J45" i="3"/>
  <c r="G45" i="3"/>
  <c r="Q44" i="3"/>
  <c r="O44" i="3"/>
  <c r="N44" i="3"/>
  <c r="K44" i="3"/>
  <c r="H44" i="3"/>
  <c r="Q43" i="3"/>
  <c r="O43" i="3"/>
  <c r="V43" i="3" s="1"/>
  <c r="N43" i="3"/>
  <c r="K43" i="3"/>
  <c r="H43" i="3"/>
  <c r="Q42" i="3"/>
  <c r="O42" i="3"/>
  <c r="N42" i="3"/>
  <c r="K42" i="3"/>
  <c r="H42" i="3"/>
  <c r="V41" i="3"/>
  <c r="Q41" i="3"/>
  <c r="P41" i="3"/>
  <c r="O41" i="3"/>
  <c r="U41" i="3" s="1"/>
  <c r="N41" i="3"/>
  <c r="K41" i="3"/>
  <c r="H41" i="3"/>
  <c r="Q40" i="3"/>
  <c r="O40" i="3"/>
  <c r="N40" i="3"/>
  <c r="K40" i="3"/>
  <c r="H40" i="3"/>
  <c r="T39" i="3"/>
  <c r="Q39" i="3"/>
  <c r="O39" i="3"/>
  <c r="V39" i="3" s="1"/>
  <c r="N39" i="3"/>
  <c r="K39" i="3"/>
  <c r="H39" i="3"/>
  <c r="Q38" i="3"/>
  <c r="O38" i="3"/>
  <c r="U38" i="3" s="1"/>
  <c r="N38" i="3"/>
  <c r="K38" i="3"/>
  <c r="H38" i="3"/>
  <c r="Q37" i="3"/>
  <c r="O37" i="3"/>
  <c r="N37" i="3"/>
  <c r="K37" i="3"/>
  <c r="H37" i="3"/>
  <c r="V36" i="3"/>
  <c r="Q36" i="3"/>
  <c r="O36" i="3"/>
  <c r="T36" i="3" s="1"/>
  <c r="N36" i="3"/>
  <c r="K36" i="3"/>
  <c r="H36" i="3"/>
  <c r="Q35" i="3"/>
  <c r="O35" i="3"/>
  <c r="N35" i="3"/>
  <c r="K35" i="3"/>
  <c r="H35" i="3"/>
  <c r="U34" i="3"/>
  <c r="Q34" i="3"/>
  <c r="O34" i="3"/>
  <c r="N34" i="3"/>
  <c r="K34" i="3"/>
  <c r="H34" i="3"/>
  <c r="Q33" i="3"/>
  <c r="N33" i="3"/>
  <c r="J33" i="3"/>
  <c r="G33" i="3"/>
  <c r="H33" i="3" s="1"/>
  <c r="Q32" i="3"/>
  <c r="N32" i="3"/>
  <c r="J32" i="3"/>
  <c r="K32" i="3" s="1"/>
  <c r="G32" i="3"/>
  <c r="H32" i="3" s="1"/>
  <c r="Q31" i="3"/>
  <c r="N31" i="3"/>
  <c r="J31" i="3"/>
  <c r="K31" i="3" s="1"/>
  <c r="G31" i="3"/>
  <c r="T30" i="3"/>
  <c r="Q30" i="3"/>
  <c r="O30" i="3"/>
  <c r="U30" i="3" s="1"/>
  <c r="N30" i="3"/>
  <c r="K30" i="3"/>
  <c r="H30" i="3"/>
  <c r="Q29" i="3"/>
  <c r="N29" i="3"/>
  <c r="K29" i="3"/>
  <c r="G29" i="3"/>
  <c r="H29" i="3" s="1"/>
  <c r="Q28" i="3"/>
  <c r="O28" i="3"/>
  <c r="N28" i="3"/>
  <c r="K28" i="3"/>
  <c r="H28" i="3"/>
  <c r="T27" i="3"/>
  <c r="Q27" i="3"/>
  <c r="O27" i="3"/>
  <c r="U27" i="3" s="1"/>
  <c r="N27" i="3"/>
  <c r="K27" i="3"/>
  <c r="H27" i="3"/>
  <c r="Q26" i="3"/>
  <c r="O26" i="3"/>
  <c r="N26" i="3"/>
  <c r="K26" i="3"/>
  <c r="H26" i="3"/>
  <c r="Q25" i="3"/>
  <c r="N25" i="3"/>
  <c r="K25" i="3"/>
  <c r="G25" i="3"/>
  <c r="Q24" i="3"/>
  <c r="N24" i="3"/>
  <c r="J24" i="3"/>
  <c r="G24" i="3"/>
  <c r="O24" i="3" s="1"/>
  <c r="Q23" i="3"/>
  <c r="N23" i="3"/>
  <c r="K23" i="3"/>
  <c r="H23" i="3"/>
  <c r="G23" i="3"/>
  <c r="O23" i="3" s="1"/>
  <c r="U23" i="3" s="1"/>
  <c r="Q22" i="3"/>
  <c r="N22" i="3"/>
  <c r="K22" i="3"/>
  <c r="G22" i="3"/>
  <c r="H22" i="3" s="1"/>
  <c r="Q21" i="3"/>
  <c r="N21" i="3"/>
  <c r="K21" i="3"/>
  <c r="G21" i="3"/>
  <c r="O21" i="3" s="1"/>
  <c r="U21" i="3" s="1"/>
  <c r="Q20" i="3"/>
  <c r="M20" i="3"/>
  <c r="N20" i="3" s="1"/>
  <c r="K20" i="3"/>
  <c r="G20" i="3"/>
  <c r="Q19" i="3"/>
  <c r="N19" i="3"/>
  <c r="K19" i="3"/>
  <c r="G19" i="3"/>
  <c r="Q18" i="3"/>
  <c r="M18" i="3"/>
  <c r="N18" i="3" s="1"/>
  <c r="J18" i="3"/>
  <c r="K18" i="3" s="1"/>
  <c r="H18" i="3"/>
  <c r="Q17" i="3"/>
  <c r="N17" i="3"/>
  <c r="K17" i="3"/>
  <c r="G17" i="3"/>
  <c r="H17" i="3" s="1"/>
  <c r="Q16" i="3"/>
  <c r="N16" i="3"/>
  <c r="K16" i="3"/>
  <c r="G16" i="3"/>
  <c r="O16" i="3" s="1"/>
  <c r="U16" i="3" s="1"/>
  <c r="Q15" i="3"/>
  <c r="N15" i="3"/>
  <c r="K15" i="3"/>
  <c r="G15" i="3"/>
  <c r="H15" i="3" s="1"/>
  <c r="Q14" i="3"/>
  <c r="M14" i="3"/>
  <c r="N14" i="3" s="1"/>
  <c r="J14" i="3"/>
  <c r="G14" i="3"/>
  <c r="Q13" i="3"/>
  <c r="M13" i="3"/>
  <c r="J13" i="3"/>
  <c r="K13" i="3" s="1"/>
  <c r="G13" i="3"/>
  <c r="Q12" i="3"/>
  <c r="N12" i="3"/>
  <c r="J12" i="3"/>
  <c r="G12" i="3"/>
  <c r="H12" i="3" s="1"/>
  <c r="R333" i="2"/>
  <c r="N333" i="2"/>
  <c r="L333" i="2"/>
  <c r="I333" i="2"/>
  <c r="R331" i="2"/>
  <c r="O331" i="2"/>
  <c r="L331" i="2"/>
  <c r="H331" i="2"/>
  <c r="P331" i="2" s="1"/>
  <c r="R330" i="2"/>
  <c r="P330" i="2"/>
  <c r="O330" i="2"/>
  <c r="L330" i="2"/>
  <c r="I330" i="2"/>
  <c r="R329" i="2"/>
  <c r="P329" i="2"/>
  <c r="V329" i="2" s="1"/>
  <c r="O329" i="2"/>
  <c r="L329" i="2"/>
  <c r="I329" i="2"/>
  <c r="R328" i="2"/>
  <c r="O328" i="2"/>
  <c r="L328" i="2"/>
  <c r="H328" i="2"/>
  <c r="I328" i="2" s="1"/>
  <c r="R327" i="2"/>
  <c r="O327" i="2"/>
  <c r="L327" i="2"/>
  <c r="H327" i="2"/>
  <c r="P327" i="2" s="1"/>
  <c r="R326" i="2"/>
  <c r="O326" i="2"/>
  <c r="L326" i="2"/>
  <c r="H326" i="2"/>
  <c r="P326" i="2" s="1"/>
  <c r="V326" i="2" s="1"/>
  <c r="R325" i="2"/>
  <c r="O325" i="2"/>
  <c r="L325" i="2"/>
  <c r="H325" i="2"/>
  <c r="R324" i="2"/>
  <c r="P324" i="2"/>
  <c r="N324" i="2"/>
  <c r="O324" i="2" s="1"/>
  <c r="L324" i="2"/>
  <c r="I324" i="2"/>
  <c r="R323" i="2"/>
  <c r="N323" i="2"/>
  <c r="L323" i="2"/>
  <c r="I323" i="2"/>
  <c r="R322" i="2"/>
  <c r="N322" i="2"/>
  <c r="P322" i="2" s="1"/>
  <c r="Q322" i="2" s="1"/>
  <c r="L322" i="2"/>
  <c r="I322" i="2"/>
  <c r="R321" i="2"/>
  <c r="N321" i="2"/>
  <c r="L321" i="2"/>
  <c r="I321" i="2"/>
  <c r="R320" i="2"/>
  <c r="O320" i="2"/>
  <c r="N320" i="2"/>
  <c r="L320" i="2"/>
  <c r="I320" i="2"/>
  <c r="R319" i="2"/>
  <c r="N319" i="2"/>
  <c r="L319" i="2"/>
  <c r="I319" i="2"/>
  <c r="R318" i="2"/>
  <c r="N318" i="2"/>
  <c r="O318" i="2" s="1"/>
  <c r="L318" i="2"/>
  <c r="I318" i="2"/>
  <c r="R317" i="2"/>
  <c r="O317" i="2"/>
  <c r="L317" i="2"/>
  <c r="H317" i="2"/>
  <c r="P317" i="2" s="1"/>
  <c r="R316" i="2"/>
  <c r="P316" i="2"/>
  <c r="W316" i="2" s="1"/>
  <c r="O316" i="2"/>
  <c r="L316" i="2"/>
  <c r="I316" i="2"/>
  <c r="R315" i="2"/>
  <c r="O315" i="2"/>
  <c r="L315" i="2"/>
  <c r="H315" i="2"/>
  <c r="P315" i="2" s="1"/>
  <c r="V315" i="2" s="1"/>
  <c r="R314" i="2"/>
  <c r="N314" i="2"/>
  <c r="O314" i="2" s="1"/>
  <c r="K314" i="2"/>
  <c r="L314" i="2" s="1"/>
  <c r="I314" i="2"/>
  <c r="R313" i="2"/>
  <c r="P313" i="2"/>
  <c r="V313" i="2" s="1"/>
  <c r="O313" i="2"/>
  <c r="L313" i="2"/>
  <c r="I313" i="2"/>
  <c r="U312" i="2"/>
  <c r="R312" i="2"/>
  <c r="P312" i="2"/>
  <c r="V312" i="2" s="1"/>
  <c r="O312" i="2"/>
  <c r="L312" i="2"/>
  <c r="I312" i="2"/>
  <c r="A312" i="2"/>
  <c r="A313" i="2" s="1"/>
  <c r="A314" i="2" s="1"/>
  <c r="A315" i="2" s="1"/>
  <c r="A316" i="2" s="1"/>
  <c r="A317" i="2" s="1"/>
  <c r="A318" i="2" s="1"/>
  <c r="A319" i="2" s="1"/>
  <c r="A320" i="2" s="1"/>
  <c r="A321" i="2" s="1"/>
  <c r="A322" i="2" s="1"/>
  <c r="A323" i="2" s="1"/>
  <c r="A324" i="2" s="1"/>
  <c r="A325" i="2" s="1"/>
  <c r="A326" i="2" s="1"/>
  <c r="A327" i="2" s="1"/>
  <c r="A328" i="2" s="1"/>
  <c r="A329" i="2" s="1"/>
  <c r="A330" i="2" s="1"/>
  <c r="A331" i="2" s="1"/>
  <c r="R311" i="2"/>
  <c r="O311" i="2"/>
  <c r="L311" i="2"/>
  <c r="H311" i="2"/>
  <c r="P311" i="2" s="1"/>
  <c r="R310" i="2"/>
  <c r="P310" i="2"/>
  <c r="V310" i="2" s="1"/>
  <c r="O310" i="2"/>
  <c r="L310" i="2"/>
  <c r="I310" i="2"/>
  <c r="R309" i="2"/>
  <c r="P309" i="2"/>
  <c r="W309" i="2" s="1"/>
  <c r="O309" i="2"/>
  <c r="L309" i="2"/>
  <c r="I309" i="2"/>
  <c r="R308" i="2"/>
  <c r="P308" i="2"/>
  <c r="V308" i="2" s="1"/>
  <c r="O308" i="2"/>
  <c r="L308" i="2"/>
  <c r="I308" i="2"/>
  <c r="W307" i="2"/>
  <c r="R307" i="2"/>
  <c r="P307" i="2"/>
  <c r="V307" i="2" s="1"/>
  <c r="O307" i="2"/>
  <c r="L307" i="2"/>
  <c r="I307" i="2"/>
  <c r="R306" i="2"/>
  <c r="P306" i="2"/>
  <c r="O306" i="2"/>
  <c r="L306" i="2"/>
  <c r="I306" i="2"/>
  <c r="U305" i="2"/>
  <c r="R305" i="2"/>
  <c r="P305" i="2"/>
  <c r="W305" i="2" s="1"/>
  <c r="O305" i="2"/>
  <c r="L305" i="2"/>
  <c r="I305" i="2"/>
  <c r="R304" i="2"/>
  <c r="P304" i="2"/>
  <c r="O304" i="2"/>
  <c r="L304" i="2"/>
  <c r="I304" i="2"/>
  <c r="R303" i="2"/>
  <c r="Q303" i="2"/>
  <c r="P303" i="2"/>
  <c r="V303" i="2" s="1"/>
  <c r="O303" i="2"/>
  <c r="L303" i="2"/>
  <c r="I303" i="2"/>
  <c r="R302" i="2"/>
  <c r="Q302" i="2"/>
  <c r="P302" i="2"/>
  <c r="V302" i="2" s="1"/>
  <c r="O302" i="2"/>
  <c r="L302" i="2"/>
  <c r="I302" i="2"/>
  <c r="R301" i="2"/>
  <c r="P301" i="2"/>
  <c r="W301" i="2" s="1"/>
  <c r="O301" i="2"/>
  <c r="L301" i="2"/>
  <c r="I301" i="2"/>
  <c r="V300" i="2"/>
  <c r="R300" i="2"/>
  <c r="P300" i="2"/>
  <c r="O300" i="2"/>
  <c r="L300" i="2"/>
  <c r="I300" i="2"/>
  <c r="R299" i="2"/>
  <c r="P299" i="2"/>
  <c r="O299" i="2"/>
  <c r="L299" i="2"/>
  <c r="I299" i="2"/>
  <c r="R298" i="2"/>
  <c r="O298" i="2"/>
  <c r="L298" i="2"/>
  <c r="H298" i="2"/>
  <c r="R297" i="2"/>
  <c r="O297" i="2"/>
  <c r="L297" i="2"/>
  <c r="H297" i="2"/>
  <c r="P297" i="2" s="1"/>
  <c r="V297" i="2" s="1"/>
  <c r="R296" i="2"/>
  <c r="O296" i="2"/>
  <c r="L296" i="2"/>
  <c r="I296" i="2"/>
  <c r="H296" i="2"/>
  <c r="P296" i="2" s="1"/>
  <c r="R295" i="2"/>
  <c r="O295" i="2"/>
  <c r="L295" i="2"/>
  <c r="H295" i="2"/>
  <c r="P295" i="2" s="1"/>
  <c r="R294" i="2"/>
  <c r="O294" i="2"/>
  <c r="L294" i="2"/>
  <c r="H294" i="2"/>
  <c r="R293" i="2"/>
  <c r="P293" i="2"/>
  <c r="V293" i="2" s="1"/>
  <c r="O293" i="2"/>
  <c r="L293" i="2"/>
  <c r="I293" i="2"/>
  <c r="R292" i="2"/>
  <c r="O292" i="2"/>
  <c r="L292" i="2"/>
  <c r="H292" i="2"/>
  <c r="P292" i="2" s="1"/>
  <c r="V292" i="2" s="1"/>
  <c r="R291" i="2"/>
  <c r="O291" i="2"/>
  <c r="L291" i="2"/>
  <c r="H291" i="2"/>
  <c r="I291" i="2" s="1"/>
  <c r="R290" i="2"/>
  <c r="O290" i="2"/>
  <c r="L290" i="2"/>
  <c r="H290" i="2"/>
  <c r="R289" i="2"/>
  <c r="O289" i="2"/>
  <c r="L289" i="2"/>
  <c r="H289" i="2"/>
  <c r="I289" i="2" s="1"/>
  <c r="R288" i="2"/>
  <c r="O288" i="2"/>
  <c r="L288" i="2"/>
  <c r="H288" i="2"/>
  <c r="P288" i="2" s="1"/>
  <c r="V288" i="2" s="1"/>
  <c r="R287" i="2"/>
  <c r="O287" i="2"/>
  <c r="L287" i="2"/>
  <c r="H287" i="2"/>
  <c r="I287" i="2" s="1"/>
  <c r="R286" i="2"/>
  <c r="O286" i="2"/>
  <c r="L286" i="2"/>
  <c r="I286" i="2"/>
  <c r="H286" i="2"/>
  <c r="P286" i="2" s="1"/>
  <c r="V286" i="2" s="1"/>
  <c r="R285" i="2"/>
  <c r="O285" i="2"/>
  <c r="L285" i="2"/>
  <c r="H285" i="2"/>
  <c r="I285" i="2" s="1"/>
  <c r="R284" i="2"/>
  <c r="O284" i="2"/>
  <c r="L284" i="2"/>
  <c r="H284" i="2"/>
  <c r="P284" i="2" s="1"/>
  <c r="V284" i="2" s="1"/>
  <c r="R283" i="2"/>
  <c r="O283" i="2"/>
  <c r="L283" i="2"/>
  <c r="H283" i="2"/>
  <c r="I283" i="2" s="1"/>
  <c r="R282" i="2"/>
  <c r="O282" i="2"/>
  <c r="L282" i="2"/>
  <c r="H282" i="2"/>
  <c r="R281" i="2"/>
  <c r="O281" i="2"/>
  <c r="L281" i="2"/>
  <c r="H281" i="2"/>
  <c r="I281" i="2" s="1"/>
  <c r="R280" i="2"/>
  <c r="O280" i="2"/>
  <c r="L280" i="2"/>
  <c r="H280" i="2"/>
  <c r="R279" i="2"/>
  <c r="P279" i="2"/>
  <c r="O279" i="2"/>
  <c r="L279" i="2"/>
  <c r="I279" i="2"/>
  <c r="R278" i="2"/>
  <c r="O278" i="2"/>
  <c r="L278" i="2"/>
  <c r="H278" i="2"/>
  <c r="R277" i="2"/>
  <c r="O277" i="2"/>
  <c r="L277" i="2"/>
  <c r="H277" i="2"/>
  <c r="R276" i="2"/>
  <c r="P276" i="2"/>
  <c r="V276" i="2" s="1"/>
  <c r="O276" i="2"/>
  <c r="L276" i="2"/>
  <c r="I276" i="2"/>
  <c r="R275" i="2"/>
  <c r="Q275" i="2"/>
  <c r="P275" i="2"/>
  <c r="V275" i="2" s="1"/>
  <c r="O275" i="2"/>
  <c r="L275" i="2"/>
  <c r="I275" i="2"/>
  <c r="R274" i="2"/>
  <c r="Q274" i="2"/>
  <c r="P274" i="2"/>
  <c r="V274" i="2" s="1"/>
  <c r="O274" i="2"/>
  <c r="L274" i="2"/>
  <c r="I274" i="2"/>
  <c r="R273" i="2"/>
  <c r="O273" i="2"/>
  <c r="L273" i="2"/>
  <c r="H273" i="2"/>
  <c r="I273" i="2" s="1"/>
  <c r="R272" i="2"/>
  <c r="O272" i="2"/>
  <c r="L272" i="2"/>
  <c r="H272" i="2"/>
  <c r="R271" i="2"/>
  <c r="O271" i="2"/>
  <c r="L271" i="2"/>
  <c r="H271" i="2"/>
  <c r="I271" i="2" s="1"/>
  <c r="R270" i="2"/>
  <c r="O270" i="2"/>
  <c r="K270" i="2"/>
  <c r="H270" i="2"/>
  <c r="I270" i="2" s="1"/>
  <c r="R269" i="2"/>
  <c r="N269" i="2"/>
  <c r="O269" i="2" s="1"/>
  <c r="L269" i="2"/>
  <c r="H269" i="2"/>
  <c r="P269" i="2" s="1"/>
  <c r="V269" i="2" s="1"/>
  <c r="R268" i="2"/>
  <c r="O268" i="2"/>
  <c r="L268" i="2"/>
  <c r="H268" i="2"/>
  <c r="I268" i="2" s="1"/>
  <c r="R267" i="2"/>
  <c r="O267" i="2"/>
  <c r="L267" i="2"/>
  <c r="H267" i="2"/>
  <c r="P267" i="2" s="1"/>
  <c r="V267" i="2" s="1"/>
  <c r="R266" i="2"/>
  <c r="O266" i="2"/>
  <c r="L266" i="2"/>
  <c r="H266" i="2"/>
  <c r="I266" i="2" s="1"/>
  <c r="R265" i="2"/>
  <c r="O265" i="2"/>
  <c r="L265" i="2"/>
  <c r="H265" i="2"/>
  <c r="P265" i="2" s="1"/>
  <c r="V265" i="2" s="1"/>
  <c r="R264" i="2"/>
  <c r="O264" i="2"/>
  <c r="L264" i="2"/>
  <c r="H264" i="2"/>
  <c r="I264" i="2" s="1"/>
  <c r="R263" i="2"/>
  <c r="O263" i="2"/>
  <c r="L263" i="2"/>
  <c r="H263" i="2"/>
  <c r="R262" i="2"/>
  <c r="O262" i="2"/>
  <c r="L262" i="2"/>
  <c r="H262" i="2"/>
  <c r="I262" i="2" s="1"/>
  <c r="R261" i="2"/>
  <c r="O261" i="2"/>
  <c r="L261" i="2"/>
  <c r="H261" i="2"/>
  <c r="P261" i="2" s="1"/>
  <c r="V261" i="2" s="1"/>
  <c r="R260" i="2"/>
  <c r="O260" i="2"/>
  <c r="L260" i="2"/>
  <c r="H260" i="2"/>
  <c r="I260" i="2" s="1"/>
  <c r="R259" i="2"/>
  <c r="O259" i="2"/>
  <c r="L259" i="2"/>
  <c r="H259" i="2"/>
  <c r="P259" i="2" s="1"/>
  <c r="V259" i="2" s="1"/>
  <c r="R258" i="2"/>
  <c r="O258" i="2"/>
  <c r="L258" i="2"/>
  <c r="H258" i="2"/>
  <c r="I258" i="2" s="1"/>
  <c r="R257" i="2"/>
  <c r="O257" i="2"/>
  <c r="L257" i="2"/>
  <c r="H257" i="2"/>
  <c r="P257" i="2" s="1"/>
  <c r="V257" i="2" s="1"/>
  <c r="R256" i="2"/>
  <c r="O256" i="2"/>
  <c r="L256" i="2"/>
  <c r="H256" i="2"/>
  <c r="I256" i="2" s="1"/>
  <c r="R255" i="2"/>
  <c r="O255" i="2"/>
  <c r="L255" i="2"/>
  <c r="H255" i="2"/>
  <c r="R254" i="2"/>
  <c r="O254" i="2"/>
  <c r="L254" i="2"/>
  <c r="H254" i="2"/>
  <c r="I254" i="2" s="1"/>
  <c r="R253" i="2"/>
  <c r="Q253" i="2"/>
  <c r="P253" i="2"/>
  <c r="V253" i="2" s="1"/>
  <c r="O253" i="2"/>
  <c r="L253" i="2"/>
  <c r="I253" i="2"/>
  <c r="R252" i="2"/>
  <c r="O252" i="2"/>
  <c r="L252" i="2"/>
  <c r="I252" i="2"/>
  <c r="H252" i="2"/>
  <c r="P252" i="2" s="1"/>
  <c r="R251" i="2"/>
  <c r="O251" i="2"/>
  <c r="L251" i="2"/>
  <c r="H251" i="2"/>
  <c r="P251" i="2" s="1"/>
  <c r="V251" i="2" s="1"/>
  <c r="R250" i="2"/>
  <c r="O250" i="2"/>
  <c r="L250" i="2"/>
  <c r="H250" i="2"/>
  <c r="R249" i="2"/>
  <c r="O249" i="2"/>
  <c r="L249" i="2"/>
  <c r="H249" i="2"/>
  <c r="R248" i="2"/>
  <c r="O248" i="2"/>
  <c r="L248" i="2"/>
  <c r="I248" i="2"/>
  <c r="H248" i="2"/>
  <c r="P248" i="2" s="1"/>
  <c r="R247" i="2"/>
  <c r="O247" i="2"/>
  <c r="L247" i="2"/>
  <c r="H247" i="2"/>
  <c r="P247" i="2" s="1"/>
  <c r="R246" i="2"/>
  <c r="O246" i="2"/>
  <c r="L246" i="2"/>
  <c r="H246" i="2"/>
  <c r="P246" i="2" s="1"/>
  <c r="R245" i="2"/>
  <c r="O245" i="2"/>
  <c r="L245" i="2"/>
  <c r="H245" i="2"/>
  <c r="P245" i="2" s="1"/>
  <c r="R244" i="2"/>
  <c r="O244" i="2"/>
  <c r="L244" i="2"/>
  <c r="I244" i="2"/>
  <c r="H244" i="2"/>
  <c r="P244" i="2" s="1"/>
  <c r="R243" i="2"/>
  <c r="O243" i="2"/>
  <c r="L243" i="2"/>
  <c r="H243" i="2"/>
  <c r="P243" i="2" s="1"/>
  <c r="V243" i="2" s="1"/>
  <c r="R242" i="2"/>
  <c r="O242" i="2"/>
  <c r="L242" i="2"/>
  <c r="H242" i="2"/>
  <c r="R241" i="2"/>
  <c r="O241" i="2"/>
  <c r="L241" i="2"/>
  <c r="H241" i="2"/>
  <c r="R240" i="2"/>
  <c r="O240" i="2"/>
  <c r="L240" i="2"/>
  <c r="I240" i="2"/>
  <c r="H240" i="2"/>
  <c r="P240" i="2" s="1"/>
  <c r="R239" i="2"/>
  <c r="P239" i="2"/>
  <c r="V239" i="2" s="1"/>
  <c r="O239" i="2"/>
  <c r="L239" i="2"/>
  <c r="I239" i="2"/>
  <c r="R238" i="2"/>
  <c r="O238" i="2"/>
  <c r="L238" i="2"/>
  <c r="H238" i="2"/>
  <c r="R237" i="2"/>
  <c r="O237" i="2"/>
  <c r="L237" i="2"/>
  <c r="H237" i="2"/>
  <c r="I237" i="2" s="1"/>
  <c r="R236" i="2"/>
  <c r="O236" i="2"/>
  <c r="L236" i="2"/>
  <c r="H236" i="2"/>
  <c r="R235" i="2"/>
  <c r="O235" i="2"/>
  <c r="L235" i="2"/>
  <c r="H235" i="2"/>
  <c r="I235" i="2" s="1"/>
  <c r="R234" i="2"/>
  <c r="O234" i="2"/>
  <c r="L234" i="2"/>
  <c r="H234" i="2"/>
  <c r="R233" i="2"/>
  <c r="O233" i="2"/>
  <c r="L233" i="2"/>
  <c r="H233" i="2"/>
  <c r="I233" i="2" s="1"/>
  <c r="R232" i="2"/>
  <c r="O232" i="2"/>
  <c r="L232" i="2"/>
  <c r="I232" i="2"/>
  <c r="H232" i="2"/>
  <c r="P232" i="2" s="1"/>
  <c r="V232" i="2" s="1"/>
  <c r="R231" i="2"/>
  <c r="O231" i="2"/>
  <c r="L231" i="2"/>
  <c r="H231" i="2"/>
  <c r="I231" i="2" s="1"/>
  <c r="R230" i="2"/>
  <c r="O230" i="2"/>
  <c r="L230" i="2"/>
  <c r="H230" i="2"/>
  <c r="R229" i="2"/>
  <c r="O229" i="2"/>
  <c r="L229" i="2"/>
  <c r="H229" i="2"/>
  <c r="I229" i="2" s="1"/>
  <c r="R228" i="2"/>
  <c r="P228" i="2"/>
  <c r="O228" i="2"/>
  <c r="L228" i="2"/>
  <c r="I228" i="2"/>
  <c r="R227" i="2"/>
  <c r="N227" i="2"/>
  <c r="K227" i="2"/>
  <c r="L227" i="2" s="1"/>
  <c r="H227" i="2"/>
  <c r="R226" i="2"/>
  <c r="O226" i="2"/>
  <c r="L226" i="2"/>
  <c r="I226" i="2"/>
  <c r="H226" i="2"/>
  <c r="P226" i="2" s="1"/>
  <c r="R225" i="2"/>
  <c r="P225" i="2"/>
  <c r="O225" i="2"/>
  <c r="L225" i="2"/>
  <c r="I225" i="2"/>
  <c r="R224" i="2"/>
  <c r="N224" i="2"/>
  <c r="O224" i="2" s="1"/>
  <c r="K224" i="2"/>
  <c r="L224" i="2" s="1"/>
  <c r="H224" i="2"/>
  <c r="R223" i="2"/>
  <c r="O223" i="2"/>
  <c r="L223" i="2"/>
  <c r="H223" i="2"/>
  <c r="R222" i="2"/>
  <c r="O222" i="2"/>
  <c r="L222" i="2"/>
  <c r="H222" i="2"/>
  <c r="I222" i="2" s="1"/>
  <c r="R221" i="2"/>
  <c r="O221" i="2"/>
  <c r="L221" i="2"/>
  <c r="H221" i="2"/>
  <c r="P221" i="2" s="1"/>
  <c r="V221" i="2" s="1"/>
  <c r="R220" i="2"/>
  <c r="O220" i="2"/>
  <c r="L220" i="2"/>
  <c r="H220" i="2"/>
  <c r="I220" i="2" s="1"/>
  <c r="R219" i="2"/>
  <c r="O219" i="2"/>
  <c r="L219" i="2"/>
  <c r="I219" i="2"/>
  <c r="H219" i="2"/>
  <c r="P219" i="2" s="1"/>
  <c r="V219" i="2" s="1"/>
  <c r="R218" i="2"/>
  <c r="O218" i="2"/>
  <c r="L218" i="2"/>
  <c r="H218" i="2"/>
  <c r="I218" i="2" s="1"/>
  <c r="R217" i="2"/>
  <c r="O217" i="2"/>
  <c r="L217" i="2"/>
  <c r="H217" i="2"/>
  <c r="P217" i="2" s="1"/>
  <c r="V217" i="2" s="1"/>
  <c r="R216" i="2"/>
  <c r="O216" i="2"/>
  <c r="L216" i="2"/>
  <c r="H216" i="2"/>
  <c r="I216" i="2" s="1"/>
  <c r="W215" i="2"/>
  <c r="R215" i="2"/>
  <c r="P215" i="2"/>
  <c r="V215" i="2" s="1"/>
  <c r="O215" i="2"/>
  <c r="L215" i="2"/>
  <c r="I215" i="2"/>
  <c r="R214" i="2"/>
  <c r="P214" i="2"/>
  <c r="O214" i="2"/>
  <c r="L214" i="2"/>
  <c r="I214" i="2"/>
  <c r="U213" i="2"/>
  <c r="R213" i="2"/>
  <c r="P213" i="2"/>
  <c r="W213" i="2" s="1"/>
  <c r="O213" i="2"/>
  <c r="L213" i="2"/>
  <c r="I213" i="2"/>
  <c r="R212" i="2"/>
  <c r="P212" i="2"/>
  <c r="V212" i="2" s="1"/>
  <c r="O212" i="2"/>
  <c r="L212" i="2"/>
  <c r="I212" i="2"/>
  <c r="U211" i="2"/>
  <c r="R211" i="2"/>
  <c r="P211" i="2"/>
  <c r="V211" i="2" s="1"/>
  <c r="O211" i="2"/>
  <c r="L211" i="2"/>
  <c r="I211" i="2"/>
  <c r="R210" i="2"/>
  <c r="P210" i="2"/>
  <c r="W210" i="2" s="1"/>
  <c r="O210" i="2"/>
  <c r="L210" i="2"/>
  <c r="I210" i="2"/>
  <c r="R209" i="2"/>
  <c r="P209" i="2"/>
  <c r="W209" i="2" s="1"/>
  <c r="O209" i="2"/>
  <c r="L209" i="2"/>
  <c r="I209" i="2"/>
  <c r="R208" i="2"/>
  <c r="P208" i="2"/>
  <c r="O208" i="2"/>
  <c r="L208" i="2"/>
  <c r="I208" i="2"/>
  <c r="R207" i="2"/>
  <c r="P207" i="2"/>
  <c r="W207" i="2" s="1"/>
  <c r="O207" i="2"/>
  <c r="L207" i="2"/>
  <c r="I207" i="2"/>
  <c r="U206" i="2"/>
  <c r="R206" i="2"/>
  <c r="P206" i="2"/>
  <c r="W206" i="2" s="1"/>
  <c r="O206" i="2"/>
  <c r="L206" i="2"/>
  <c r="I206" i="2"/>
  <c r="R205" i="2"/>
  <c r="P205" i="2"/>
  <c r="O205" i="2"/>
  <c r="L205" i="2"/>
  <c r="I205" i="2"/>
  <c r="V204" i="2"/>
  <c r="R204" i="2"/>
  <c r="P204" i="2"/>
  <c r="O204" i="2"/>
  <c r="L204" i="2"/>
  <c r="I204" i="2"/>
  <c r="R203" i="2"/>
  <c r="P203" i="2"/>
  <c r="V203" i="2" s="1"/>
  <c r="O203" i="2"/>
  <c r="L203" i="2"/>
  <c r="I203" i="2"/>
  <c r="R202" i="2"/>
  <c r="P202" i="2"/>
  <c r="O202" i="2"/>
  <c r="L202" i="2"/>
  <c r="I202" i="2"/>
  <c r="R201" i="2"/>
  <c r="P201" i="2"/>
  <c r="W201" i="2" s="1"/>
  <c r="O201" i="2"/>
  <c r="L201" i="2"/>
  <c r="I201" i="2"/>
  <c r="R200" i="2"/>
  <c r="P200" i="2"/>
  <c r="O200" i="2"/>
  <c r="L200" i="2"/>
  <c r="I200" i="2"/>
  <c r="R199" i="2"/>
  <c r="O199" i="2"/>
  <c r="L199" i="2"/>
  <c r="H199" i="2"/>
  <c r="R198" i="2"/>
  <c r="P198" i="2"/>
  <c r="W198" i="2" s="1"/>
  <c r="O198" i="2"/>
  <c r="L198" i="2"/>
  <c r="I198" i="2"/>
  <c r="R197" i="2"/>
  <c r="O197" i="2"/>
  <c r="L197" i="2"/>
  <c r="H197" i="2"/>
  <c r="P197" i="2" s="1"/>
  <c r="R196" i="2"/>
  <c r="O196" i="2"/>
  <c r="L196" i="2"/>
  <c r="H196" i="2"/>
  <c r="I196" i="2" s="1"/>
  <c r="R195" i="2"/>
  <c r="P195" i="2"/>
  <c r="V195" i="2" s="1"/>
  <c r="O195" i="2"/>
  <c r="L195" i="2"/>
  <c r="H195" i="2"/>
  <c r="R194" i="2"/>
  <c r="O194" i="2"/>
  <c r="L194" i="2"/>
  <c r="H194" i="2"/>
  <c r="I194" i="2" s="1"/>
  <c r="R193" i="2"/>
  <c r="O193" i="2"/>
  <c r="L193" i="2"/>
  <c r="H193" i="2"/>
  <c r="P193" i="2" s="1"/>
  <c r="R192" i="2"/>
  <c r="O192" i="2"/>
  <c r="L192" i="2"/>
  <c r="H192" i="2"/>
  <c r="I192" i="2" s="1"/>
  <c r="R191" i="2"/>
  <c r="O191" i="2"/>
  <c r="L191" i="2"/>
  <c r="H191" i="2"/>
  <c r="P191" i="2" s="1"/>
  <c r="V191" i="2" s="1"/>
  <c r="R190" i="2"/>
  <c r="O190" i="2"/>
  <c r="L190" i="2"/>
  <c r="H190" i="2"/>
  <c r="I190" i="2" s="1"/>
  <c r="R189" i="2"/>
  <c r="O189" i="2"/>
  <c r="L189" i="2"/>
  <c r="H189" i="2"/>
  <c r="P189" i="2" s="1"/>
  <c r="R188" i="2"/>
  <c r="N188" i="2"/>
  <c r="L188" i="2"/>
  <c r="H188" i="2"/>
  <c r="U187" i="2"/>
  <c r="R187" i="2"/>
  <c r="Q187" i="2"/>
  <c r="P187" i="2"/>
  <c r="V187" i="2" s="1"/>
  <c r="O187" i="2"/>
  <c r="L187" i="2"/>
  <c r="I187" i="2"/>
  <c r="R186" i="2"/>
  <c r="P186" i="2"/>
  <c r="W186" i="2" s="1"/>
  <c r="O186" i="2"/>
  <c r="L186" i="2"/>
  <c r="I186" i="2"/>
  <c r="U185" i="2"/>
  <c r="R185" i="2"/>
  <c r="P185" i="2"/>
  <c r="W185" i="2" s="1"/>
  <c r="O185" i="2"/>
  <c r="L185" i="2"/>
  <c r="I185" i="2"/>
  <c r="R184" i="2"/>
  <c r="O184" i="2"/>
  <c r="K184" i="2"/>
  <c r="L184" i="2" s="1"/>
  <c r="H184" i="2"/>
  <c r="R183" i="2"/>
  <c r="O183" i="2"/>
  <c r="K183" i="2"/>
  <c r="L183" i="2" s="1"/>
  <c r="H183" i="2"/>
  <c r="R182" i="2"/>
  <c r="O182" i="2"/>
  <c r="L182" i="2"/>
  <c r="K182" i="2"/>
  <c r="H182" i="2"/>
  <c r="P182" i="2" s="1"/>
  <c r="R181" i="2"/>
  <c r="O181" i="2"/>
  <c r="K181" i="2"/>
  <c r="H181" i="2"/>
  <c r="P181" i="2" s="1"/>
  <c r="Q181" i="2" s="1"/>
  <c r="R180" i="2"/>
  <c r="O180" i="2"/>
  <c r="K180" i="2"/>
  <c r="L180" i="2" s="1"/>
  <c r="I180" i="2"/>
  <c r="H180" i="2"/>
  <c r="R179" i="2"/>
  <c r="O179" i="2"/>
  <c r="L179" i="2"/>
  <c r="H179" i="2"/>
  <c r="I179" i="2" s="1"/>
  <c r="R178" i="2"/>
  <c r="O178" i="2"/>
  <c r="L178" i="2"/>
  <c r="H178" i="2"/>
  <c r="R177" i="2"/>
  <c r="O177" i="2"/>
  <c r="K177" i="2"/>
  <c r="L177" i="2" s="1"/>
  <c r="I177" i="2"/>
  <c r="R176" i="2"/>
  <c r="O176" i="2"/>
  <c r="K176" i="2"/>
  <c r="H176" i="2"/>
  <c r="R175" i="2"/>
  <c r="N175" i="2"/>
  <c r="O175" i="2" s="1"/>
  <c r="K175" i="2"/>
  <c r="L175" i="2" s="1"/>
  <c r="I175" i="2"/>
  <c r="R174" i="2"/>
  <c r="O174" i="2"/>
  <c r="K174" i="2"/>
  <c r="L174" i="2" s="1"/>
  <c r="H174" i="2"/>
  <c r="R173" i="2"/>
  <c r="O173" i="2"/>
  <c r="K173" i="2"/>
  <c r="L173" i="2" s="1"/>
  <c r="H173" i="2"/>
  <c r="R172" i="2"/>
  <c r="O172" i="2"/>
  <c r="K172" i="2"/>
  <c r="H172" i="2"/>
  <c r="R171" i="2"/>
  <c r="O171" i="2"/>
  <c r="K171" i="2"/>
  <c r="L171" i="2" s="1"/>
  <c r="H171" i="2"/>
  <c r="R170" i="2"/>
  <c r="O170" i="2"/>
  <c r="K170" i="2"/>
  <c r="L170" i="2" s="1"/>
  <c r="H170" i="2"/>
  <c r="R169" i="2"/>
  <c r="O169" i="2"/>
  <c r="K169" i="2"/>
  <c r="L169" i="2" s="1"/>
  <c r="H169" i="2"/>
  <c r="R168" i="2"/>
  <c r="O168" i="2"/>
  <c r="K168" i="2"/>
  <c r="H168" i="2"/>
  <c r="R167" i="2"/>
  <c r="O167" i="2"/>
  <c r="K167" i="2"/>
  <c r="L167" i="2" s="1"/>
  <c r="H167" i="2"/>
  <c r="R166" i="2"/>
  <c r="P166" i="2"/>
  <c r="W166" i="2" s="1"/>
  <c r="O166" i="2"/>
  <c r="L166" i="2"/>
  <c r="I166" i="2"/>
  <c r="R165" i="2"/>
  <c r="P165" i="2"/>
  <c r="O165" i="2"/>
  <c r="L165" i="2"/>
  <c r="H165" i="2"/>
  <c r="R164" i="2"/>
  <c r="O164" i="2"/>
  <c r="K164" i="2"/>
  <c r="L164" i="2" s="1"/>
  <c r="H164" i="2"/>
  <c r="R163" i="2"/>
  <c r="O163" i="2"/>
  <c r="K163" i="2"/>
  <c r="H163" i="2"/>
  <c r="R162" i="2"/>
  <c r="O162" i="2"/>
  <c r="K162" i="2"/>
  <c r="L162" i="2" s="1"/>
  <c r="H162" i="2"/>
  <c r="R161" i="2"/>
  <c r="O161" i="2"/>
  <c r="K161" i="2"/>
  <c r="L161" i="2" s="1"/>
  <c r="H161" i="2"/>
  <c r="R160" i="2"/>
  <c r="O160" i="2"/>
  <c r="K160" i="2"/>
  <c r="L160" i="2" s="1"/>
  <c r="H160" i="2"/>
  <c r="R159" i="2"/>
  <c r="O159" i="2"/>
  <c r="K159" i="2"/>
  <c r="H159" i="2"/>
  <c r="R158" i="2"/>
  <c r="O158" i="2"/>
  <c r="K158" i="2"/>
  <c r="L158" i="2" s="1"/>
  <c r="H158" i="2"/>
  <c r="I158" i="2" s="1"/>
  <c r="R157" i="2"/>
  <c r="O157" i="2"/>
  <c r="K157" i="2"/>
  <c r="L157" i="2" s="1"/>
  <c r="H157" i="2"/>
  <c r="R156" i="2"/>
  <c r="O156" i="2"/>
  <c r="L156" i="2"/>
  <c r="K156" i="2"/>
  <c r="H156" i="2"/>
  <c r="R155" i="2"/>
  <c r="O155" i="2"/>
  <c r="K155" i="2"/>
  <c r="H155" i="2"/>
  <c r="R154" i="2"/>
  <c r="O154" i="2"/>
  <c r="K154" i="2"/>
  <c r="L154" i="2" s="1"/>
  <c r="H154" i="2"/>
  <c r="I154" i="2" s="1"/>
  <c r="R153" i="2"/>
  <c r="O153" i="2"/>
  <c r="K153" i="2"/>
  <c r="L153" i="2" s="1"/>
  <c r="H153" i="2"/>
  <c r="R152" i="2"/>
  <c r="O152" i="2"/>
  <c r="K152" i="2"/>
  <c r="L152" i="2" s="1"/>
  <c r="H152" i="2"/>
  <c r="R151" i="2"/>
  <c r="O151" i="2"/>
  <c r="K151" i="2"/>
  <c r="H151" i="2"/>
  <c r="R150" i="2"/>
  <c r="O150" i="2"/>
  <c r="K150" i="2"/>
  <c r="L150" i="2" s="1"/>
  <c r="I150" i="2"/>
  <c r="H150" i="2"/>
  <c r="R149" i="2"/>
  <c r="O149" i="2"/>
  <c r="K149" i="2"/>
  <c r="L149" i="2" s="1"/>
  <c r="H149" i="2"/>
  <c r="R148" i="2"/>
  <c r="O148" i="2"/>
  <c r="L148" i="2"/>
  <c r="K148" i="2"/>
  <c r="H148" i="2"/>
  <c r="P148" i="2" s="1"/>
  <c r="R147" i="2"/>
  <c r="O147" i="2"/>
  <c r="K147" i="2"/>
  <c r="H147" i="2"/>
  <c r="P147" i="2" s="1"/>
  <c r="R146" i="2"/>
  <c r="O146" i="2"/>
  <c r="K146" i="2"/>
  <c r="L146" i="2" s="1"/>
  <c r="H146" i="2"/>
  <c r="R145" i="2"/>
  <c r="O145" i="2"/>
  <c r="K145" i="2"/>
  <c r="L145" i="2" s="1"/>
  <c r="H145" i="2"/>
  <c r="R144" i="2"/>
  <c r="O144" i="2"/>
  <c r="K144" i="2"/>
  <c r="L144" i="2" s="1"/>
  <c r="H144" i="2"/>
  <c r="P144" i="2" s="1"/>
  <c r="R143" i="2"/>
  <c r="O143" i="2"/>
  <c r="K143" i="2"/>
  <c r="H143" i="2"/>
  <c r="R142" i="2"/>
  <c r="O142" i="2"/>
  <c r="K142" i="2"/>
  <c r="L142" i="2" s="1"/>
  <c r="H142" i="2"/>
  <c r="I142" i="2" s="1"/>
  <c r="R141" i="2"/>
  <c r="O141" i="2"/>
  <c r="L141" i="2"/>
  <c r="H141" i="2"/>
  <c r="I141" i="2" s="1"/>
  <c r="R140" i="2"/>
  <c r="O140" i="2"/>
  <c r="L140" i="2"/>
  <c r="H140" i="2"/>
  <c r="P140" i="2" s="1"/>
  <c r="R139" i="2"/>
  <c r="O139" i="2"/>
  <c r="K139" i="2"/>
  <c r="L139" i="2" s="1"/>
  <c r="H139" i="2"/>
  <c r="R138" i="2"/>
  <c r="O138" i="2"/>
  <c r="K138" i="2"/>
  <c r="L138" i="2" s="1"/>
  <c r="H138" i="2"/>
  <c r="P138" i="2" s="1"/>
  <c r="R137" i="2"/>
  <c r="O137" i="2"/>
  <c r="K137" i="2"/>
  <c r="H137" i="2"/>
  <c r="P137" i="2" s="1"/>
  <c r="Q137" i="2" s="1"/>
  <c r="R136" i="2"/>
  <c r="N136" i="2"/>
  <c r="O136" i="2" s="1"/>
  <c r="K136" i="2"/>
  <c r="L136" i="2" s="1"/>
  <c r="H136" i="2"/>
  <c r="P136" i="2" s="1"/>
  <c r="R135" i="2"/>
  <c r="N135" i="2"/>
  <c r="O135" i="2" s="1"/>
  <c r="K135" i="2"/>
  <c r="L135" i="2" s="1"/>
  <c r="H135" i="2"/>
  <c r="R134" i="2"/>
  <c r="N134" i="2"/>
  <c r="K134" i="2"/>
  <c r="L134" i="2" s="1"/>
  <c r="H134" i="2"/>
  <c r="R133" i="2"/>
  <c r="N133" i="2"/>
  <c r="O133" i="2" s="1"/>
  <c r="K133" i="2"/>
  <c r="L133" i="2" s="1"/>
  <c r="H133" i="2"/>
  <c r="R132" i="2"/>
  <c r="N132" i="2"/>
  <c r="O132" i="2" s="1"/>
  <c r="K132" i="2"/>
  <c r="L132" i="2" s="1"/>
  <c r="H132" i="2"/>
  <c r="P132" i="2" s="1"/>
  <c r="R131" i="2"/>
  <c r="N131" i="2"/>
  <c r="O131" i="2" s="1"/>
  <c r="K131" i="2"/>
  <c r="L131" i="2" s="1"/>
  <c r="H131" i="2"/>
  <c r="R130" i="2"/>
  <c r="O130" i="2"/>
  <c r="K130" i="2"/>
  <c r="L130" i="2" s="1"/>
  <c r="I130" i="2"/>
  <c r="H130" i="2"/>
  <c r="R129" i="2"/>
  <c r="O129" i="2"/>
  <c r="K129" i="2"/>
  <c r="L129" i="2" s="1"/>
  <c r="H129" i="2"/>
  <c r="R128" i="2"/>
  <c r="O128" i="2"/>
  <c r="L128" i="2"/>
  <c r="K128" i="2"/>
  <c r="H128" i="2"/>
  <c r="R127" i="2"/>
  <c r="Q127" i="2"/>
  <c r="O127" i="2"/>
  <c r="K127" i="2"/>
  <c r="H127" i="2"/>
  <c r="P127" i="2" s="1"/>
  <c r="W127" i="2" s="1"/>
  <c r="R126" i="2"/>
  <c r="O126" i="2"/>
  <c r="K126" i="2"/>
  <c r="L126" i="2" s="1"/>
  <c r="H126" i="2"/>
  <c r="R125" i="2"/>
  <c r="O125" i="2"/>
  <c r="K125" i="2"/>
  <c r="L125" i="2" s="1"/>
  <c r="H125" i="2"/>
  <c r="R124" i="2"/>
  <c r="O124" i="2"/>
  <c r="K124" i="2"/>
  <c r="L124" i="2" s="1"/>
  <c r="H124" i="2"/>
  <c r="P124" i="2" s="1"/>
  <c r="R123" i="2"/>
  <c r="O123" i="2"/>
  <c r="K123" i="2"/>
  <c r="H123" i="2"/>
  <c r="P123" i="2" s="1"/>
  <c r="R122" i="2"/>
  <c r="O122" i="2"/>
  <c r="K122" i="2"/>
  <c r="L122" i="2" s="1"/>
  <c r="H122" i="2"/>
  <c r="R121" i="2"/>
  <c r="O121" i="2"/>
  <c r="K121" i="2"/>
  <c r="L121" i="2" s="1"/>
  <c r="H121" i="2"/>
  <c r="R120" i="2"/>
  <c r="O120" i="2"/>
  <c r="K120" i="2"/>
  <c r="L120" i="2" s="1"/>
  <c r="H120" i="2"/>
  <c r="P120" i="2" s="1"/>
  <c r="R119" i="2"/>
  <c r="O119" i="2"/>
  <c r="K119" i="2"/>
  <c r="H119" i="2"/>
  <c r="I119" i="2" s="1"/>
  <c r="R118" i="2"/>
  <c r="O118" i="2"/>
  <c r="L118" i="2"/>
  <c r="H118" i="2"/>
  <c r="R117" i="2"/>
  <c r="O117" i="2"/>
  <c r="L117" i="2"/>
  <c r="H117" i="2"/>
  <c r="I117" i="2" s="1"/>
  <c r="R116" i="2"/>
  <c r="O116" i="2"/>
  <c r="K116" i="2"/>
  <c r="L116" i="2" s="1"/>
  <c r="H116" i="2"/>
  <c r="R115" i="2"/>
  <c r="O115" i="2"/>
  <c r="K115" i="2"/>
  <c r="L115" i="2" s="1"/>
  <c r="H115" i="2"/>
  <c r="R114" i="2"/>
  <c r="P114" i="2"/>
  <c r="W114" i="2" s="1"/>
  <c r="O114" i="2"/>
  <c r="L114" i="2"/>
  <c r="I114" i="2"/>
  <c r="R113" i="2"/>
  <c r="O113" i="2"/>
  <c r="K113" i="2"/>
  <c r="L113" i="2" s="1"/>
  <c r="H113" i="2"/>
  <c r="R112" i="2"/>
  <c r="O112" i="2"/>
  <c r="L112" i="2"/>
  <c r="K112" i="2"/>
  <c r="H112" i="2"/>
  <c r="P112" i="2" s="1"/>
  <c r="R111" i="2"/>
  <c r="O111" i="2"/>
  <c r="K111" i="2"/>
  <c r="H111" i="2"/>
  <c r="P111" i="2" s="1"/>
  <c r="W111" i="2" s="1"/>
  <c r="R110" i="2"/>
  <c r="O110" i="2"/>
  <c r="L110" i="2"/>
  <c r="H110" i="2"/>
  <c r="R109" i="2"/>
  <c r="O109" i="2"/>
  <c r="L109" i="2"/>
  <c r="H109" i="2"/>
  <c r="I109" i="2" s="1"/>
  <c r="R108" i="2"/>
  <c r="O108" i="2"/>
  <c r="L108" i="2"/>
  <c r="H108" i="2"/>
  <c r="P108" i="2" s="1"/>
  <c r="R107" i="2"/>
  <c r="P107" i="2"/>
  <c r="W107" i="2" s="1"/>
  <c r="O107" i="2"/>
  <c r="L107" i="2"/>
  <c r="I107" i="2"/>
  <c r="R106" i="2"/>
  <c r="O106" i="2"/>
  <c r="L106" i="2"/>
  <c r="H106" i="2"/>
  <c r="I106" i="2" s="1"/>
  <c r="R105" i="2"/>
  <c r="O105" i="2"/>
  <c r="L105" i="2"/>
  <c r="H105" i="2"/>
  <c r="P105" i="2" s="1"/>
  <c r="V105" i="2" s="1"/>
  <c r="R104" i="2"/>
  <c r="O104" i="2"/>
  <c r="L104" i="2"/>
  <c r="H104" i="2"/>
  <c r="I104" i="2" s="1"/>
  <c r="R103" i="2"/>
  <c r="O103" i="2"/>
  <c r="L103" i="2"/>
  <c r="H103" i="2"/>
  <c r="R102" i="2"/>
  <c r="O102" i="2"/>
  <c r="L102" i="2"/>
  <c r="H102" i="2"/>
  <c r="I102" i="2" s="1"/>
  <c r="R101" i="2"/>
  <c r="P101" i="2"/>
  <c r="O101" i="2"/>
  <c r="L101" i="2"/>
  <c r="I101" i="2"/>
  <c r="R100" i="2"/>
  <c r="O100" i="2"/>
  <c r="L100" i="2"/>
  <c r="H100" i="2"/>
  <c r="I100" i="2" s="1"/>
  <c r="N99" i="2"/>
  <c r="O99" i="2" s="1"/>
  <c r="K99" i="2"/>
  <c r="L99" i="2" s="1"/>
  <c r="H99" i="2"/>
  <c r="F99" i="2"/>
  <c r="R99" i="2" s="1"/>
  <c r="R98" i="2"/>
  <c r="N98" i="2"/>
  <c r="O98" i="2" s="1"/>
  <c r="K98" i="2"/>
  <c r="H98" i="2"/>
  <c r="R97" i="2"/>
  <c r="N97" i="2"/>
  <c r="O97" i="2" s="1"/>
  <c r="L97" i="2"/>
  <c r="K97" i="2"/>
  <c r="H97" i="2"/>
  <c r="R96" i="2"/>
  <c r="N96" i="2"/>
  <c r="O96" i="2" s="1"/>
  <c r="K96" i="2"/>
  <c r="L96" i="2" s="1"/>
  <c r="H96" i="2"/>
  <c r="R95" i="2"/>
  <c r="N95" i="2"/>
  <c r="O95" i="2" s="1"/>
  <c r="K95" i="2"/>
  <c r="H95" i="2"/>
  <c r="R94" i="2"/>
  <c r="O94" i="2"/>
  <c r="L94" i="2"/>
  <c r="H94" i="2"/>
  <c r="P94" i="2" s="1"/>
  <c r="V94" i="2" s="1"/>
  <c r="R93" i="2"/>
  <c r="O93" i="2"/>
  <c r="L93" i="2"/>
  <c r="H93" i="2"/>
  <c r="I93" i="2" s="1"/>
  <c r="W92" i="2"/>
  <c r="R92" i="2"/>
  <c r="O92" i="2"/>
  <c r="L92" i="2"/>
  <c r="I92" i="2"/>
  <c r="H92" i="2"/>
  <c r="P92" i="2" s="1"/>
  <c r="V92" i="2" s="1"/>
  <c r="R91" i="2"/>
  <c r="O91" i="2"/>
  <c r="L91" i="2"/>
  <c r="K91" i="2"/>
  <c r="H91" i="2"/>
  <c r="R90" i="2"/>
  <c r="O90" i="2"/>
  <c r="L90" i="2"/>
  <c r="H90" i="2"/>
  <c r="P90" i="2" s="1"/>
  <c r="R89" i="2"/>
  <c r="O89" i="2"/>
  <c r="L89" i="2"/>
  <c r="H89" i="2"/>
  <c r="P89" i="2" s="1"/>
  <c r="R88" i="2"/>
  <c r="O88" i="2"/>
  <c r="K88" i="2"/>
  <c r="L88" i="2" s="1"/>
  <c r="H88" i="2"/>
  <c r="R87" i="2"/>
  <c r="O87" i="2"/>
  <c r="K87" i="2"/>
  <c r="H87" i="2"/>
  <c r="R86" i="2"/>
  <c r="O86" i="2"/>
  <c r="K86" i="2"/>
  <c r="L86" i="2" s="1"/>
  <c r="H86" i="2"/>
  <c r="I86" i="2" s="1"/>
  <c r="R85" i="2"/>
  <c r="O85" i="2"/>
  <c r="L85" i="2"/>
  <c r="H85" i="2"/>
  <c r="I85" i="2" s="1"/>
  <c r="W84" i="2"/>
  <c r="R84" i="2"/>
  <c r="P84" i="2"/>
  <c r="V84" i="2" s="1"/>
  <c r="O84" i="2"/>
  <c r="L84" i="2"/>
  <c r="I84" i="2"/>
  <c r="R83" i="2"/>
  <c r="O83" i="2"/>
  <c r="L83" i="2"/>
  <c r="H83" i="2"/>
  <c r="I83" i="2" s="1"/>
  <c r="R82" i="2"/>
  <c r="P82" i="2"/>
  <c r="O82" i="2"/>
  <c r="L82" i="2"/>
  <c r="H82" i="2"/>
  <c r="R81" i="2"/>
  <c r="O81" i="2"/>
  <c r="K81" i="2"/>
  <c r="L81" i="2" s="1"/>
  <c r="H81" i="2"/>
  <c r="R80" i="2"/>
  <c r="O80" i="2"/>
  <c r="L80" i="2"/>
  <c r="H80" i="2"/>
  <c r="P80" i="2" s="1"/>
  <c r="V80" i="2" s="1"/>
  <c r="R79" i="2"/>
  <c r="O79" i="2"/>
  <c r="L79" i="2"/>
  <c r="H79" i="2"/>
  <c r="I79" i="2" s="1"/>
  <c r="R78" i="2"/>
  <c r="O78" i="2"/>
  <c r="L78" i="2"/>
  <c r="H78" i="2"/>
  <c r="R77" i="2"/>
  <c r="O77" i="2"/>
  <c r="L77" i="2"/>
  <c r="H77" i="2"/>
  <c r="I77" i="2" s="1"/>
  <c r="R76" i="2"/>
  <c r="O76" i="2"/>
  <c r="L76" i="2"/>
  <c r="H76" i="2"/>
  <c r="P76" i="2" s="1"/>
  <c r="V76" i="2" s="1"/>
  <c r="R75" i="2"/>
  <c r="O75" i="2"/>
  <c r="L75" i="2"/>
  <c r="H75" i="2"/>
  <c r="I75" i="2" s="1"/>
  <c r="R74" i="2"/>
  <c r="O74" i="2"/>
  <c r="L74" i="2"/>
  <c r="H74" i="2"/>
  <c r="R73" i="2"/>
  <c r="O73" i="2"/>
  <c r="L73" i="2"/>
  <c r="H73" i="2"/>
  <c r="I73" i="2" s="1"/>
  <c r="R72" i="2"/>
  <c r="P72" i="2"/>
  <c r="O72" i="2"/>
  <c r="L72" i="2"/>
  <c r="I72" i="2"/>
  <c r="U71" i="2"/>
  <c r="R71" i="2"/>
  <c r="P71" i="2"/>
  <c r="W71" i="2" s="1"/>
  <c r="O71" i="2"/>
  <c r="L71" i="2"/>
  <c r="I71" i="2"/>
  <c r="R70" i="2"/>
  <c r="P70" i="2"/>
  <c r="O70" i="2"/>
  <c r="L70" i="2"/>
  <c r="I70" i="2"/>
  <c r="V69" i="2"/>
  <c r="R69" i="2"/>
  <c r="P69" i="2"/>
  <c r="O69" i="2"/>
  <c r="L69" i="2"/>
  <c r="I69" i="2"/>
  <c r="R68" i="2"/>
  <c r="P68" i="2"/>
  <c r="V68" i="2" s="1"/>
  <c r="O68" i="2"/>
  <c r="L68" i="2"/>
  <c r="I68" i="2"/>
  <c r="R67" i="2"/>
  <c r="P67" i="2"/>
  <c r="W67" i="2" s="1"/>
  <c r="O67" i="2"/>
  <c r="L67" i="2"/>
  <c r="I67" i="2"/>
  <c r="R66" i="2"/>
  <c r="P66" i="2"/>
  <c r="W66" i="2" s="1"/>
  <c r="O66" i="2"/>
  <c r="L66" i="2"/>
  <c r="I66" i="2"/>
  <c r="R65" i="2"/>
  <c r="P65" i="2"/>
  <c r="V65" i="2" s="1"/>
  <c r="O65" i="2"/>
  <c r="L65" i="2"/>
  <c r="I65" i="2"/>
  <c r="W64" i="2"/>
  <c r="R64" i="2"/>
  <c r="P64" i="2"/>
  <c r="V64" i="2" s="1"/>
  <c r="O64" i="2"/>
  <c r="L64" i="2"/>
  <c r="I64" i="2"/>
  <c r="R63" i="2"/>
  <c r="N63" i="2"/>
  <c r="K63" i="2"/>
  <c r="L63" i="2" s="1"/>
  <c r="H63" i="2"/>
  <c r="R62" i="2"/>
  <c r="O62" i="2"/>
  <c r="L62" i="2"/>
  <c r="H62" i="2"/>
  <c r="I62" i="2" s="1"/>
  <c r="R61" i="2"/>
  <c r="P61" i="2"/>
  <c r="O61" i="2"/>
  <c r="L61" i="2"/>
  <c r="H61" i="2"/>
  <c r="R60" i="2"/>
  <c r="O60" i="2"/>
  <c r="L60" i="2"/>
  <c r="H60" i="2"/>
  <c r="I60" i="2" s="1"/>
  <c r="R59" i="2"/>
  <c r="O59" i="2"/>
  <c r="L59" i="2"/>
  <c r="H59" i="2"/>
  <c r="R58" i="2"/>
  <c r="O58" i="2"/>
  <c r="L58" i="2"/>
  <c r="H58" i="2"/>
  <c r="I58" i="2" s="1"/>
  <c r="R57" i="2"/>
  <c r="P57" i="2"/>
  <c r="O57" i="2"/>
  <c r="L57" i="2"/>
  <c r="H57" i="2"/>
  <c r="R56" i="2"/>
  <c r="O56" i="2"/>
  <c r="L56" i="2"/>
  <c r="H56" i="2"/>
  <c r="I56" i="2" s="1"/>
  <c r="R55" i="2"/>
  <c r="O55" i="2"/>
  <c r="L55" i="2"/>
  <c r="H55" i="2"/>
  <c r="R54" i="2"/>
  <c r="O54" i="2"/>
  <c r="L54" i="2"/>
  <c r="H54" i="2"/>
  <c r="I54" i="2" s="1"/>
  <c r="R53" i="2"/>
  <c r="O53" i="2"/>
  <c r="L53" i="2"/>
  <c r="H53" i="2"/>
  <c r="P53" i="2" s="1"/>
  <c r="R52" i="2"/>
  <c r="O52" i="2"/>
  <c r="L52" i="2"/>
  <c r="H52" i="2"/>
  <c r="I52" i="2" s="1"/>
  <c r="R51" i="2"/>
  <c r="O51" i="2"/>
  <c r="L51" i="2"/>
  <c r="H51" i="2"/>
  <c r="R50" i="2"/>
  <c r="O50" i="2"/>
  <c r="L50" i="2"/>
  <c r="H50" i="2"/>
  <c r="I50" i="2" s="1"/>
  <c r="R49" i="2"/>
  <c r="P49" i="2"/>
  <c r="O49" i="2"/>
  <c r="L49" i="2"/>
  <c r="I49" i="2"/>
  <c r="R48" i="2"/>
  <c r="O48" i="2"/>
  <c r="L48" i="2"/>
  <c r="H48" i="2"/>
  <c r="P48" i="2" s="1"/>
  <c r="V48" i="2" s="1"/>
  <c r="R47" i="2"/>
  <c r="O47" i="2"/>
  <c r="K47" i="2"/>
  <c r="L47" i="2" s="1"/>
  <c r="H47" i="2"/>
  <c r="R46" i="2"/>
  <c r="O46" i="2"/>
  <c r="L46" i="2"/>
  <c r="H46" i="2"/>
  <c r="I46" i="2" s="1"/>
  <c r="R45" i="2"/>
  <c r="O45" i="2"/>
  <c r="K45" i="2"/>
  <c r="L45" i="2" s="1"/>
  <c r="H45" i="2"/>
  <c r="R44" i="2"/>
  <c r="P44" i="2"/>
  <c r="W44" i="2" s="1"/>
  <c r="O44" i="2"/>
  <c r="L44" i="2"/>
  <c r="I44" i="2"/>
  <c r="R43" i="2"/>
  <c r="P43" i="2"/>
  <c r="O43" i="2"/>
  <c r="L43" i="2"/>
  <c r="I43" i="2"/>
  <c r="W42" i="2"/>
  <c r="R42" i="2"/>
  <c r="P42" i="2"/>
  <c r="V42" i="2" s="1"/>
  <c r="O42" i="2"/>
  <c r="L42" i="2"/>
  <c r="I42" i="2"/>
  <c r="R41" i="2"/>
  <c r="P41" i="2"/>
  <c r="O41" i="2"/>
  <c r="L41" i="2"/>
  <c r="I41" i="2"/>
  <c r="U40" i="2"/>
  <c r="R40" i="2"/>
  <c r="P40" i="2"/>
  <c r="W40" i="2" s="1"/>
  <c r="O40" i="2"/>
  <c r="L40" i="2"/>
  <c r="I40" i="2"/>
  <c r="R39" i="2"/>
  <c r="P39" i="2"/>
  <c r="O39" i="2"/>
  <c r="L39" i="2"/>
  <c r="I39" i="2"/>
  <c r="R38" i="2"/>
  <c r="P38" i="2"/>
  <c r="V38" i="2" s="1"/>
  <c r="O38" i="2"/>
  <c r="L38" i="2"/>
  <c r="I38" i="2"/>
  <c r="R37" i="2"/>
  <c r="P37" i="2"/>
  <c r="O37" i="2"/>
  <c r="L37" i="2"/>
  <c r="I37" i="2"/>
  <c r="R36" i="2"/>
  <c r="P36" i="2"/>
  <c r="W36" i="2" s="1"/>
  <c r="O36" i="2"/>
  <c r="L36" i="2"/>
  <c r="I36" i="2"/>
  <c r="R35" i="2"/>
  <c r="P35" i="2"/>
  <c r="V35" i="2" s="1"/>
  <c r="O35" i="2"/>
  <c r="L35" i="2"/>
  <c r="I35" i="2"/>
  <c r="W34" i="2"/>
  <c r="R34" i="2"/>
  <c r="P34" i="2"/>
  <c r="V34" i="2" s="1"/>
  <c r="O34" i="2"/>
  <c r="L34" i="2"/>
  <c r="I34" i="2"/>
  <c r="R33" i="2"/>
  <c r="O33" i="2"/>
  <c r="K33" i="2"/>
  <c r="L33" i="2" s="1"/>
  <c r="H33" i="2"/>
  <c r="R32" i="2"/>
  <c r="O32" i="2"/>
  <c r="K32" i="2"/>
  <c r="H32" i="2"/>
  <c r="R31" i="2"/>
  <c r="O31" i="2"/>
  <c r="K31" i="2"/>
  <c r="L31" i="2" s="1"/>
  <c r="H31" i="2"/>
  <c r="R30" i="2"/>
  <c r="P30" i="2"/>
  <c r="W30" i="2" s="1"/>
  <c r="O30" i="2"/>
  <c r="L30" i="2"/>
  <c r="I30" i="2"/>
  <c r="R29" i="2"/>
  <c r="O29" i="2"/>
  <c r="L29" i="2"/>
  <c r="H29" i="2"/>
  <c r="P29" i="2" s="1"/>
  <c r="R28" i="2"/>
  <c r="P28" i="2"/>
  <c r="W28" i="2" s="1"/>
  <c r="O28" i="2"/>
  <c r="L28" i="2"/>
  <c r="I28" i="2"/>
  <c r="R27" i="2"/>
  <c r="P27" i="2"/>
  <c r="O27" i="2"/>
  <c r="L27" i="2"/>
  <c r="I27" i="2"/>
  <c r="R26" i="2"/>
  <c r="P26" i="2"/>
  <c r="U26" i="2" s="1"/>
  <c r="O26" i="2"/>
  <c r="L26" i="2"/>
  <c r="I26" i="2"/>
  <c r="R25" i="2"/>
  <c r="O25" i="2"/>
  <c r="L25" i="2"/>
  <c r="H25" i="2"/>
  <c r="R24" i="2"/>
  <c r="O24" i="2"/>
  <c r="K24" i="2"/>
  <c r="L24" i="2" s="1"/>
  <c r="H24" i="2"/>
  <c r="R23" i="2"/>
  <c r="O23" i="2"/>
  <c r="L23" i="2"/>
  <c r="H23" i="2"/>
  <c r="I23" i="2" s="1"/>
  <c r="R22" i="2"/>
  <c r="O22" i="2"/>
  <c r="L22" i="2"/>
  <c r="I22" i="2"/>
  <c r="H22" i="2"/>
  <c r="R21" i="2"/>
  <c r="O21" i="2"/>
  <c r="L21" i="2"/>
  <c r="H21" i="2"/>
  <c r="I21" i="2" s="1"/>
  <c r="R20" i="2"/>
  <c r="N20" i="2"/>
  <c r="O20" i="2" s="1"/>
  <c r="L20" i="2"/>
  <c r="I20" i="2"/>
  <c r="H20" i="2"/>
  <c r="R19" i="2"/>
  <c r="P19" i="2"/>
  <c r="V19" i="2" s="1"/>
  <c r="O19" i="2"/>
  <c r="L19" i="2"/>
  <c r="H19" i="2"/>
  <c r="I19" i="2" s="1"/>
  <c r="R18" i="2"/>
  <c r="N18" i="2"/>
  <c r="O18" i="2" s="1"/>
  <c r="K18" i="2"/>
  <c r="L18" i="2" s="1"/>
  <c r="I18" i="2"/>
  <c r="R17" i="2"/>
  <c r="O17" i="2"/>
  <c r="L17" i="2"/>
  <c r="H17" i="2"/>
  <c r="I17" i="2" s="1"/>
  <c r="R16" i="2"/>
  <c r="O16" i="2"/>
  <c r="L16" i="2"/>
  <c r="H16" i="2"/>
  <c r="I16" i="2" s="1"/>
  <c r="R15" i="2"/>
  <c r="O15" i="2"/>
  <c r="L15" i="2"/>
  <c r="H15" i="2"/>
  <c r="P15" i="2" s="1"/>
  <c r="V15" i="2" s="1"/>
  <c r="R14" i="2"/>
  <c r="N14" i="2"/>
  <c r="O14" i="2" s="1"/>
  <c r="K14" i="2"/>
  <c r="L14" i="2" s="1"/>
  <c r="H14" i="2"/>
  <c r="R13" i="2"/>
  <c r="N13" i="2"/>
  <c r="K13" i="2"/>
  <c r="L13" i="2" s="1"/>
  <c r="H13" i="2"/>
  <c r="I13" i="2" s="1"/>
  <c r="R12" i="2"/>
  <c r="O12" i="2"/>
  <c r="K12" i="2"/>
  <c r="L12" i="2" s="1"/>
  <c r="H12" i="2"/>
  <c r="R331" i="1"/>
  <c r="N331" i="1"/>
  <c r="L331" i="1"/>
  <c r="I331" i="1"/>
  <c r="R329" i="1"/>
  <c r="O329" i="1"/>
  <c r="L329" i="1"/>
  <c r="H329" i="1"/>
  <c r="I329" i="1" s="1"/>
  <c r="R328" i="1"/>
  <c r="P328" i="1"/>
  <c r="W328" i="1" s="1"/>
  <c r="O328" i="1"/>
  <c r="L328" i="1"/>
  <c r="I328" i="1"/>
  <c r="R327" i="1"/>
  <c r="P327" i="1"/>
  <c r="U327" i="1" s="1"/>
  <c r="O327" i="1"/>
  <c r="L327" i="1"/>
  <c r="I327" i="1"/>
  <c r="R326" i="1"/>
  <c r="O326" i="1"/>
  <c r="L326" i="1"/>
  <c r="H326" i="1"/>
  <c r="I326" i="1" s="1"/>
  <c r="R325" i="1"/>
  <c r="O325" i="1"/>
  <c r="L325" i="1"/>
  <c r="H325" i="1"/>
  <c r="R324" i="1"/>
  <c r="O324" i="1"/>
  <c r="L324" i="1"/>
  <c r="H324" i="1"/>
  <c r="R323" i="1"/>
  <c r="O323" i="1"/>
  <c r="L323" i="1"/>
  <c r="H323" i="1"/>
  <c r="I323" i="1" s="1"/>
  <c r="R322" i="1"/>
  <c r="N322" i="1"/>
  <c r="L322" i="1"/>
  <c r="I322" i="1"/>
  <c r="R321" i="1"/>
  <c r="N321" i="1"/>
  <c r="P321" i="1" s="1"/>
  <c r="L321" i="1"/>
  <c r="I321" i="1"/>
  <c r="R320" i="1"/>
  <c r="N320" i="1"/>
  <c r="O320" i="1" s="1"/>
  <c r="L320" i="1"/>
  <c r="I320" i="1"/>
  <c r="R319" i="1"/>
  <c r="P319" i="1"/>
  <c r="N319" i="1"/>
  <c r="L319" i="1"/>
  <c r="I319" i="1"/>
  <c r="R318" i="1"/>
  <c r="N318" i="1"/>
  <c r="L318" i="1"/>
  <c r="I318" i="1"/>
  <c r="R317" i="1"/>
  <c r="N317" i="1"/>
  <c r="P317" i="1" s="1"/>
  <c r="L317" i="1"/>
  <c r="I317" i="1"/>
  <c r="R316" i="1"/>
  <c r="N316" i="1"/>
  <c r="L316" i="1"/>
  <c r="I316" i="1"/>
  <c r="R315" i="1"/>
  <c r="O315" i="1"/>
  <c r="L315" i="1"/>
  <c r="H315" i="1"/>
  <c r="I315" i="1" s="1"/>
  <c r="R314" i="1"/>
  <c r="P314" i="1"/>
  <c r="W314" i="1" s="1"/>
  <c r="O314" i="1"/>
  <c r="L314" i="1"/>
  <c r="I314" i="1"/>
  <c r="R313" i="1"/>
  <c r="O313" i="1"/>
  <c r="L313" i="1"/>
  <c r="H313" i="1"/>
  <c r="P313" i="1" s="1"/>
  <c r="V313" i="1" s="1"/>
  <c r="R312" i="1"/>
  <c r="N312" i="1"/>
  <c r="O312" i="1" s="1"/>
  <c r="K312" i="1"/>
  <c r="L312" i="1" s="1"/>
  <c r="I312" i="1"/>
  <c r="U311" i="1"/>
  <c r="R311" i="1"/>
  <c r="P311" i="1"/>
  <c r="W311" i="1" s="1"/>
  <c r="O311" i="1"/>
  <c r="L311" i="1"/>
  <c r="I311" i="1"/>
  <c r="R310" i="1"/>
  <c r="P310" i="1"/>
  <c r="V310" i="1" s="1"/>
  <c r="O310" i="1"/>
  <c r="L310" i="1"/>
  <c r="I310" i="1"/>
  <c r="A310" i="1"/>
  <c r="A311" i="1" s="1"/>
  <c r="A312" i="1" s="1"/>
  <c r="A313" i="1" s="1"/>
  <c r="A314" i="1" s="1"/>
  <c r="A315" i="1" s="1"/>
  <c r="A316" i="1" s="1"/>
  <c r="A317" i="1" s="1"/>
  <c r="A318" i="1" s="1"/>
  <c r="A319" i="1" s="1"/>
  <c r="A320" i="1" s="1"/>
  <c r="A321" i="1" s="1"/>
  <c r="A322" i="1" s="1"/>
  <c r="A323" i="1" s="1"/>
  <c r="A324" i="1" s="1"/>
  <c r="A325" i="1" s="1"/>
  <c r="A326" i="1" s="1"/>
  <c r="A327" i="1" s="1"/>
  <c r="A328" i="1" s="1"/>
  <c r="A329" i="1" s="1"/>
  <c r="R309" i="1"/>
  <c r="O309" i="1"/>
  <c r="L309" i="1"/>
  <c r="H309" i="1"/>
  <c r="I309" i="1" s="1"/>
  <c r="R308" i="1"/>
  <c r="Q308" i="1"/>
  <c r="P308" i="1"/>
  <c r="V308" i="1" s="1"/>
  <c r="O308" i="1"/>
  <c r="L308" i="1"/>
  <c r="I308" i="1"/>
  <c r="R307" i="1"/>
  <c r="P307" i="1"/>
  <c r="W307" i="1" s="1"/>
  <c r="O307" i="1"/>
  <c r="L307" i="1"/>
  <c r="I307" i="1"/>
  <c r="U306" i="1"/>
  <c r="R306" i="1"/>
  <c r="P306" i="1"/>
  <c r="W306" i="1" s="1"/>
  <c r="O306" i="1"/>
  <c r="L306" i="1"/>
  <c r="I306" i="1"/>
  <c r="R305" i="1"/>
  <c r="P305" i="1"/>
  <c r="U305" i="1" s="1"/>
  <c r="O305" i="1"/>
  <c r="L305" i="1"/>
  <c r="I305" i="1"/>
  <c r="R304" i="1"/>
  <c r="P304" i="1"/>
  <c r="V304" i="1" s="1"/>
  <c r="O304" i="1"/>
  <c r="L304" i="1"/>
  <c r="I304" i="1"/>
  <c r="R303" i="1"/>
  <c r="P303" i="1"/>
  <c r="W303" i="1" s="1"/>
  <c r="O303" i="1"/>
  <c r="L303" i="1"/>
  <c r="I303" i="1"/>
  <c r="R302" i="1"/>
  <c r="P302" i="1"/>
  <c r="W302" i="1" s="1"/>
  <c r="O302" i="1"/>
  <c r="L302" i="1"/>
  <c r="I302" i="1"/>
  <c r="R301" i="1"/>
  <c r="P301" i="1"/>
  <c r="U301" i="1" s="1"/>
  <c r="O301" i="1"/>
  <c r="L301" i="1"/>
  <c r="I301" i="1"/>
  <c r="R300" i="1"/>
  <c r="Q300" i="1"/>
  <c r="P300" i="1"/>
  <c r="V300" i="1" s="1"/>
  <c r="O300" i="1"/>
  <c r="L300" i="1"/>
  <c r="I300" i="1"/>
  <c r="R299" i="1"/>
  <c r="P299" i="1"/>
  <c r="W299" i="1" s="1"/>
  <c r="O299" i="1"/>
  <c r="L299" i="1"/>
  <c r="I299" i="1"/>
  <c r="U298" i="1"/>
  <c r="R298" i="1"/>
  <c r="P298" i="1"/>
  <c r="W298" i="1" s="1"/>
  <c r="O298" i="1"/>
  <c r="L298" i="1"/>
  <c r="I298" i="1"/>
  <c r="R297" i="1"/>
  <c r="P297" i="1"/>
  <c r="U297" i="1" s="1"/>
  <c r="O297" i="1"/>
  <c r="L297" i="1"/>
  <c r="I297" i="1"/>
  <c r="R296" i="1"/>
  <c r="O296" i="1"/>
  <c r="L296" i="1"/>
  <c r="I296" i="1"/>
  <c r="H296" i="1"/>
  <c r="P296" i="1" s="1"/>
  <c r="R295" i="1"/>
  <c r="O295" i="1"/>
  <c r="L295" i="1"/>
  <c r="H295" i="1"/>
  <c r="I295" i="1" s="1"/>
  <c r="R294" i="1"/>
  <c r="O294" i="1"/>
  <c r="L294" i="1"/>
  <c r="H294" i="1"/>
  <c r="P294" i="1" s="1"/>
  <c r="R293" i="1"/>
  <c r="O293" i="1"/>
  <c r="L293" i="1"/>
  <c r="H293" i="1"/>
  <c r="I293" i="1" s="1"/>
  <c r="R292" i="1"/>
  <c r="O292" i="1"/>
  <c r="L292" i="1"/>
  <c r="H292" i="1"/>
  <c r="R291" i="1"/>
  <c r="P291" i="1"/>
  <c r="W291" i="1" s="1"/>
  <c r="O291" i="1"/>
  <c r="L291" i="1"/>
  <c r="I291" i="1"/>
  <c r="R290" i="1"/>
  <c r="O290" i="1"/>
  <c r="L290" i="1"/>
  <c r="H290" i="1"/>
  <c r="R289" i="1"/>
  <c r="O289" i="1"/>
  <c r="L289" i="1"/>
  <c r="H289" i="1"/>
  <c r="I289" i="1" s="1"/>
  <c r="R288" i="1"/>
  <c r="O288" i="1"/>
  <c r="L288" i="1"/>
  <c r="H288" i="1"/>
  <c r="R287" i="1"/>
  <c r="O287" i="1"/>
  <c r="L287" i="1"/>
  <c r="H287" i="1"/>
  <c r="I287" i="1" s="1"/>
  <c r="R286" i="1"/>
  <c r="O286" i="1"/>
  <c r="L286" i="1"/>
  <c r="H286" i="1"/>
  <c r="P286" i="1" s="1"/>
  <c r="W286" i="1" s="1"/>
  <c r="R285" i="1"/>
  <c r="O285" i="1"/>
  <c r="L285" i="1"/>
  <c r="H285" i="1"/>
  <c r="I285" i="1" s="1"/>
  <c r="R284" i="1"/>
  <c r="O284" i="1"/>
  <c r="L284" i="1"/>
  <c r="H284" i="1"/>
  <c r="R283" i="1"/>
  <c r="O283" i="1"/>
  <c r="L283" i="1"/>
  <c r="H283" i="1"/>
  <c r="I283" i="1" s="1"/>
  <c r="R282" i="1"/>
  <c r="O282" i="1"/>
  <c r="L282" i="1"/>
  <c r="H282" i="1"/>
  <c r="R281" i="1"/>
  <c r="O281" i="1"/>
  <c r="L281" i="1"/>
  <c r="H281" i="1"/>
  <c r="I281" i="1" s="1"/>
  <c r="R280" i="1"/>
  <c r="O280" i="1"/>
  <c r="L280" i="1"/>
  <c r="H280" i="1"/>
  <c r="R279" i="1"/>
  <c r="O279" i="1"/>
  <c r="L279" i="1"/>
  <c r="H279" i="1"/>
  <c r="I279" i="1" s="1"/>
  <c r="R278" i="1"/>
  <c r="O278" i="1"/>
  <c r="L278" i="1"/>
  <c r="H278" i="1"/>
  <c r="R277" i="1"/>
  <c r="P277" i="1"/>
  <c r="W277" i="1" s="1"/>
  <c r="O277" i="1"/>
  <c r="L277" i="1"/>
  <c r="I277" i="1"/>
  <c r="R276" i="1"/>
  <c r="O276" i="1"/>
  <c r="L276" i="1"/>
  <c r="H276" i="1"/>
  <c r="I276" i="1" s="1"/>
  <c r="R275" i="1"/>
  <c r="O275" i="1"/>
  <c r="L275" i="1"/>
  <c r="H275" i="1"/>
  <c r="P275" i="1" s="1"/>
  <c r="R274" i="1"/>
  <c r="P274" i="1"/>
  <c r="W274" i="1" s="1"/>
  <c r="O274" i="1"/>
  <c r="L274" i="1"/>
  <c r="I274" i="1"/>
  <c r="R273" i="1"/>
  <c r="P273" i="1"/>
  <c r="U273" i="1" s="1"/>
  <c r="O273" i="1"/>
  <c r="L273" i="1"/>
  <c r="I273" i="1"/>
  <c r="R272" i="1"/>
  <c r="P272" i="1"/>
  <c r="V272" i="1" s="1"/>
  <c r="O272" i="1"/>
  <c r="L272" i="1"/>
  <c r="I272" i="1"/>
  <c r="R271" i="1"/>
  <c r="O271" i="1"/>
  <c r="L271" i="1"/>
  <c r="H271" i="1"/>
  <c r="I271" i="1" s="1"/>
  <c r="R270" i="1"/>
  <c r="P270" i="1"/>
  <c r="W270" i="1" s="1"/>
  <c r="O270" i="1"/>
  <c r="L270" i="1"/>
  <c r="H270" i="1"/>
  <c r="R269" i="1"/>
  <c r="O269" i="1"/>
  <c r="L269" i="1"/>
  <c r="H269" i="1"/>
  <c r="I269" i="1" s="1"/>
  <c r="R268" i="1"/>
  <c r="O268" i="1"/>
  <c r="K268" i="1"/>
  <c r="L268" i="1" s="1"/>
  <c r="H268" i="1"/>
  <c r="R267" i="1"/>
  <c r="N267" i="1"/>
  <c r="O267" i="1" s="1"/>
  <c r="L267" i="1"/>
  <c r="H267" i="1"/>
  <c r="R266" i="1"/>
  <c r="O266" i="1"/>
  <c r="L266" i="1"/>
  <c r="H266" i="1"/>
  <c r="I266" i="1" s="1"/>
  <c r="R265" i="1"/>
  <c r="O265" i="1"/>
  <c r="L265" i="1"/>
  <c r="H265" i="1"/>
  <c r="R264" i="1"/>
  <c r="O264" i="1"/>
  <c r="L264" i="1"/>
  <c r="H264" i="1"/>
  <c r="I264" i="1" s="1"/>
  <c r="R263" i="1"/>
  <c r="O263" i="1"/>
  <c r="L263" i="1"/>
  <c r="H263" i="1"/>
  <c r="R262" i="1"/>
  <c r="O262" i="1"/>
  <c r="L262" i="1"/>
  <c r="H262" i="1"/>
  <c r="I262" i="1" s="1"/>
  <c r="R261" i="1"/>
  <c r="O261" i="1"/>
  <c r="L261" i="1"/>
  <c r="H261" i="1"/>
  <c r="R260" i="1"/>
  <c r="O260" i="1"/>
  <c r="L260" i="1"/>
  <c r="H260" i="1"/>
  <c r="I260" i="1" s="1"/>
  <c r="R259" i="1"/>
  <c r="O259" i="1"/>
  <c r="L259" i="1"/>
  <c r="H259" i="1"/>
  <c r="P259" i="1" s="1"/>
  <c r="V259" i="1" s="1"/>
  <c r="R258" i="1"/>
  <c r="O258" i="1"/>
  <c r="L258" i="1"/>
  <c r="H258" i="1"/>
  <c r="I258" i="1" s="1"/>
  <c r="R257" i="1"/>
  <c r="O257" i="1"/>
  <c r="L257" i="1"/>
  <c r="H257" i="1"/>
  <c r="P257" i="1" s="1"/>
  <c r="V257" i="1" s="1"/>
  <c r="R256" i="1"/>
  <c r="O256" i="1"/>
  <c r="L256" i="1"/>
  <c r="H256" i="1"/>
  <c r="I256" i="1" s="1"/>
  <c r="R255" i="1"/>
  <c r="O255" i="1"/>
  <c r="L255" i="1"/>
  <c r="H255" i="1"/>
  <c r="R254" i="1"/>
  <c r="O254" i="1"/>
  <c r="L254" i="1"/>
  <c r="H254" i="1"/>
  <c r="I254" i="1" s="1"/>
  <c r="R253" i="1"/>
  <c r="O253" i="1"/>
  <c r="L253" i="1"/>
  <c r="H253" i="1"/>
  <c r="R252" i="1"/>
  <c r="O252" i="1"/>
  <c r="L252" i="1"/>
  <c r="H252" i="1"/>
  <c r="I252" i="1" s="1"/>
  <c r="R251" i="1"/>
  <c r="P251" i="1"/>
  <c r="U251" i="1" s="1"/>
  <c r="O251" i="1"/>
  <c r="L251" i="1"/>
  <c r="I251" i="1"/>
  <c r="R250" i="1"/>
  <c r="O250" i="1"/>
  <c r="L250" i="1"/>
  <c r="H250" i="1"/>
  <c r="P250" i="1" s="1"/>
  <c r="R249" i="1"/>
  <c r="O249" i="1"/>
  <c r="L249" i="1"/>
  <c r="H249" i="1"/>
  <c r="I249" i="1" s="1"/>
  <c r="R248" i="1"/>
  <c r="O248" i="1"/>
  <c r="L248" i="1"/>
  <c r="H248" i="1"/>
  <c r="P248" i="1" s="1"/>
  <c r="R247" i="1"/>
  <c r="O247" i="1"/>
  <c r="L247" i="1"/>
  <c r="H247" i="1"/>
  <c r="I247" i="1" s="1"/>
  <c r="R246" i="1"/>
  <c r="O246" i="1"/>
  <c r="L246" i="1"/>
  <c r="H246" i="1"/>
  <c r="R245" i="1"/>
  <c r="O245" i="1"/>
  <c r="L245" i="1"/>
  <c r="H245" i="1"/>
  <c r="I245" i="1" s="1"/>
  <c r="R244" i="1"/>
  <c r="O244" i="1"/>
  <c r="L244" i="1"/>
  <c r="H244" i="1"/>
  <c r="P244" i="1" s="1"/>
  <c r="R243" i="1"/>
  <c r="O243" i="1"/>
  <c r="L243" i="1"/>
  <c r="H243" i="1"/>
  <c r="I243" i="1" s="1"/>
  <c r="R242" i="1"/>
  <c r="O242" i="1"/>
  <c r="L242" i="1"/>
  <c r="I242" i="1"/>
  <c r="H242" i="1"/>
  <c r="P242" i="1" s="1"/>
  <c r="R241" i="1"/>
  <c r="O241" i="1"/>
  <c r="L241" i="1"/>
  <c r="H241" i="1"/>
  <c r="I241" i="1" s="1"/>
  <c r="R240" i="1"/>
  <c r="O240" i="1"/>
  <c r="L240" i="1"/>
  <c r="I240" i="1"/>
  <c r="H240" i="1"/>
  <c r="P240" i="1" s="1"/>
  <c r="R239" i="1"/>
  <c r="O239" i="1"/>
  <c r="L239" i="1"/>
  <c r="H239" i="1"/>
  <c r="I239" i="1" s="1"/>
  <c r="R238" i="1"/>
  <c r="O238" i="1"/>
  <c r="L238" i="1"/>
  <c r="H238" i="1"/>
  <c r="U237" i="1"/>
  <c r="R237" i="1"/>
  <c r="P237" i="1"/>
  <c r="W237" i="1" s="1"/>
  <c r="O237" i="1"/>
  <c r="L237" i="1"/>
  <c r="I237" i="1"/>
  <c r="R236" i="1"/>
  <c r="O236" i="1"/>
  <c r="L236" i="1"/>
  <c r="H236" i="1"/>
  <c r="R235" i="1"/>
  <c r="O235" i="1"/>
  <c r="L235" i="1"/>
  <c r="H235" i="1"/>
  <c r="P235" i="1" s="1"/>
  <c r="R234" i="1"/>
  <c r="O234" i="1"/>
  <c r="L234" i="1"/>
  <c r="H234" i="1"/>
  <c r="R233" i="1"/>
  <c r="O233" i="1"/>
  <c r="L233" i="1"/>
  <c r="H233" i="1"/>
  <c r="I233" i="1" s="1"/>
  <c r="R232" i="1"/>
  <c r="O232" i="1"/>
  <c r="L232" i="1"/>
  <c r="H232" i="1"/>
  <c r="P232" i="1" s="1"/>
  <c r="V232" i="1" s="1"/>
  <c r="R231" i="1"/>
  <c r="O231" i="1"/>
  <c r="L231" i="1"/>
  <c r="H231" i="1"/>
  <c r="I231" i="1" s="1"/>
  <c r="R230" i="1"/>
  <c r="O230" i="1"/>
  <c r="L230" i="1"/>
  <c r="H230" i="1"/>
  <c r="R229" i="1"/>
  <c r="O229" i="1"/>
  <c r="L229" i="1"/>
  <c r="H229" i="1"/>
  <c r="I229" i="1" s="1"/>
  <c r="R228" i="1"/>
  <c r="O228" i="1"/>
  <c r="L228" i="1"/>
  <c r="H228" i="1"/>
  <c r="R227" i="1"/>
  <c r="O227" i="1"/>
  <c r="L227" i="1"/>
  <c r="H227" i="1"/>
  <c r="I227" i="1" s="1"/>
  <c r="R226" i="1"/>
  <c r="P226" i="1"/>
  <c r="U226" i="1" s="1"/>
  <c r="O226" i="1"/>
  <c r="L226" i="1"/>
  <c r="I226" i="1"/>
  <c r="R225" i="1"/>
  <c r="N225" i="1"/>
  <c r="O225" i="1" s="1"/>
  <c r="L225" i="1"/>
  <c r="K225" i="1"/>
  <c r="H225" i="1"/>
  <c r="R224" i="1"/>
  <c r="O224" i="1"/>
  <c r="L224" i="1"/>
  <c r="H224" i="1"/>
  <c r="U223" i="1"/>
  <c r="R223" i="1"/>
  <c r="P223" i="1"/>
  <c r="W223" i="1" s="1"/>
  <c r="O223" i="1"/>
  <c r="L223" i="1"/>
  <c r="I223" i="1"/>
  <c r="R222" i="1"/>
  <c r="N222" i="1"/>
  <c r="O222" i="1" s="1"/>
  <c r="K222" i="1"/>
  <c r="L222" i="1" s="1"/>
  <c r="H222" i="1"/>
  <c r="R221" i="1"/>
  <c r="O221" i="1"/>
  <c r="L221" i="1"/>
  <c r="H221" i="1"/>
  <c r="R220" i="1"/>
  <c r="O220" i="1"/>
  <c r="L220" i="1"/>
  <c r="H220" i="1"/>
  <c r="I220" i="1" s="1"/>
  <c r="R219" i="1"/>
  <c r="P219" i="1"/>
  <c r="V219" i="1" s="1"/>
  <c r="O219" i="1"/>
  <c r="L219" i="1"/>
  <c r="H219" i="1"/>
  <c r="R218" i="1"/>
  <c r="O218" i="1"/>
  <c r="L218" i="1"/>
  <c r="H218" i="1"/>
  <c r="I218" i="1" s="1"/>
  <c r="R217" i="1"/>
  <c r="O217" i="1"/>
  <c r="L217" i="1"/>
  <c r="H217" i="1"/>
  <c r="R216" i="1"/>
  <c r="O216" i="1"/>
  <c r="L216" i="1"/>
  <c r="H216" i="1"/>
  <c r="I216" i="1" s="1"/>
  <c r="R215" i="1"/>
  <c r="O215" i="1"/>
  <c r="L215" i="1"/>
  <c r="H215" i="1"/>
  <c r="P215" i="1" s="1"/>
  <c r="V215" i="1" s="1"/>
  <c r="R214" i="1"/>
  <c r="O214" i="1"/>
  <c r="L214" i="1"/>
  <c r="H214" i="1"/>
  <c r="I214" i="1" s="1"/>
  <c r="R213" i="1"/>
  <c r="P213" i="1"/>
  <c r="U213" i="1" s="1"/>
  <c r="O213" i="1"/>
  <c r="L213" i="1"/>
  <c r="I213" i="1"/>
  <c r="R212" i="1"/>
  <c r="P212" i="1"/>
  <c r="Q212" i="1" s="1"/>
  <c r="O212" i="1"/>
  <c r="L212" i="1"/>
  <c r="I212" i="1"/>
  <c r="R211" i="1"/>
  <c r="P211" i="1"/>
  <c r="W211" i="1" s="1"/>
  <c r="O211" i="1"/>
  <c r="L211" i="1"/>
  <c r="I211" i="1"/>
  <c r="R210" i="1"/>
  <c r="P210" i="1"/>
  <c r="O210" i="1"/>
  <c r="L210" i="1"/>
  <c r="I210" i="1"/>
  <c r="R209" i="1"/>
  <c r="P209" i="1"/>
  <c r="U209" i="1" s="1"/>
  <c r="O209" i="1"/>
  <c r="L209" i="1"/>
  <c r="I209" i="1"/>
  <c r="R208" i="1"/>
  <c r="P208" i="1"/>
  <c r="O208" i="1"/>
  <c r="L208" i="1"/>
  <c r="I208" i="1"/>
  <c r="U207" i="1"/>
  <c r="R207" i="1"/>
  <c r="P207" i="1"/>
  <c r="W207" i="1" s="1"/>
  <c r="O207" i="1"/>
  <c r="L207" i="1"/>
  <c r="I207" i="1"/>
  <c r="R206" i="1"/>
  <c r="P206" i="1"/>
  <c r="O206" i="1"/>
  <c r="L206" i="1"/>
  <c r="I206" i="1"/>
  <c r="R205" i="1"/>
  <c r="P205" i="1"/>
  <c r="U205" i="1" s="1"/>
  <c r="O205" i="1"/>
  <c r="L205" i="1"/>
  <c r="I205" i="1"/>
  <c r="R204" i="1"/>
  <c r="Q204" i="1"/>
  <c r="P204" i="1"/>
  <c r="O204" i="1"/>
  <c r="L204" i="1"/>
  <c r="I204" i="1"/>
  <c r="R203" i="1"/>
  <c r="P203" i="1"/>
  <c r="W203" i="1" s="1"/>
  <c r="O203" i="1"/>
  <c r="L203" i="1"/>
  <c r="I203" i="1"/>
  <c r="R202" i="1"/>
  <c r="P202" i="1"/>
  <c r="O202" i="1"/>
  <c r="L202" i="1"/>
  <c r="I202" i="1"/>
  <c r="R201" i="1"/>
  <c r="P201" i="1"/>
  <c r="U201" i="1" s="1"/>
  <c r="O201" i="1"/>
  <c r="L201" i="1"/>
  <c r="I201" i="1"/>
  <c r="R200" i="1"/>
  <c r="P200" i="1"/>
  <c r="O200" i="1"/>
  <c r="L200" i="1"/>
  <c r="I200" i="1"/>
  <c r="R199" i="1"/>
  <c r="O199" i="1"/>
  <c r="L199" i="1"/>
  <c r="H199" i="1"/>
  <c r="I199" i="1" s="1"/>
  <c r="R198" i="1"/>
  <c r="P198" i="1"/>
  <c r="U198" i="1" s="1"/>
  <c r="O198" i="1"/>
  <c r="L198" i="1"/>
  <c r="I198" i="1"/>
  <c r="R197" i="1"/>
  <c r="O197" i="1"/>
  <c r="L197" i="1"/>
  <c r="H197" i="1"/>
  <c r="P197" i="1" s="1"/>
  <c r="R196" i="1"/>
  <c r="O196" i="1"/>
  <c r="L196" i="1"/>
  <c r="H196" i="1"/>
  <c r="I196" i="1" s="1"/>
  <c r="R195" i="1"/>
  <c r="O195" i="1"/>
  <c r="L195" i="1"/>
  <c r="H195" i="1"/>
  <c r="P195" i="1" s="1"/>
  <c r="R194" i="1"/>
  <c r="O194" i="1"/>
  <c r="L194" i="1"/>
  <c r="H194" i="1"/>
  <c r="I194" i="1" s="1"/>
  <c r="R193" i="1"/>
  <c r="O193" i="1"/>
  <c r="L193" i="1"/>
  <c r="H193" i="1"/>
  <c r="P193" i="1" s="1"/>
  <c r="V193" i="1" s="1"/>
  <c r="R192" i="1"/>
  <c r="O192" i="1"/>
  <c r="L192" i="1"/>
  <c r="H192" i="1"/>
  <c r="I192" i="1" s="1"/>
  <c r="R191" i="1"/>
  <c r="O191" i="1"/>
  <c r="L191" i="1"/>
  <c r="H191" i="1"/>
  <c r="P191" i="1" s="1"/>
  <c r="V191" i="1" s="1"/>
  <c r="R190" i="1"/>
  <c r="O190" i="1"/>
  <c r="L190" i="1"/>
  <c r="H190" i="1"/>
  <c r="I190" i="1" s="1"/>
  <c r="R189" i="1"/>
  <c r="O189" i="1"/>
  <c r="L189" i="1"/>
  <c r="H189" i="1"/>
  <c r="P189" i="1" s="1"/>
  <c r="V189" i="1" s="1"/>
  <c r="R188" i="1"/>
  <c r="N188" i="1"/>
  <c r="O188" i="1" s="1"/>
  <c r="L188" i="1"/>
  <c r="H188" i="1"/>
  <c r="R187" i="1"/>
  <c r="P187" i="1"/>
  <c r="O187" i="1"/>
  <c r="L187" i="1"/>
  <c r="I187" i="1"/>
  <c r="U186" i="1"/>
  <c r="R186" i="1"/>
  <c r="P186" i="1"/>
  <c r="W186" i="1" s="1"/>
  <c r="O186" i="1"/>
  <c r="L186" i="1"/>
  <c r="I186" i="1"/>
  <c r="R185" i="1"/>
  <c r="P185" i="1"/>
  <c r="V185" i="1" s="1"/>
  <c r="O185" i="1"/>
  <c r="L185" i="1"/>
  <c r="I185" i="1"/>
  <c r="R184" i="1"/>
  <c r="O184" i="1"/>
  <c r="K184" i="1"/>
  <c r="H184" i="1"/>
  <c r="P184" i="1" s="1"/>
  <c r="Q184" i="1" s="1"/>
  <c r="R183" i="1"/>
  <c r="O183" i="1"/>
  <c r="K183" i="1"/>
  <c r="L183" i="1" s="1"/>
  <c r="H183" i="1"/>
  <c r="I183" i="1" s="1"/>
  <c r="R182" i="1"/>
  <c r="O182" i="1"/>
  <c r="K182" i="1"/>
  <c r="L182" i="1" s="1"/>
  <c r="H182" i="1"/>
  <c r="R181" i="1"/>
  <c r="O181" i="1"/>
  <c r="K181" i="1"/>
  <c r="H181" i="1"/>
  <c r="P181" i="1" s="1"/>
  <c r="R180" i="1"/>
  <c r="O180" i="1"/>
  <c r="K180" i="1"/>
  <c r="H180" i="1"/>
  <c r="P180" i="1" s="1"/>
  <c r="Q180" i="1" s="1"/>
  <c r="R179" i="1"/>
  <c r="O179" i="1"/>
  <c r="L179" i="1"/>
  <c r="H179" i="1"/>
  <c r="P179" i="1" s="1"/>
  <c r="R178" i="1"/>
  <c r="O178" i="1"/>
  <c r="L178" i="1"/>
  <c r="H178" i="1"/>
  <c r="I178" i="1" s="1"/>
  <c r="R177" i="1"/>
  <c r="P177" i="1"/>
  <c r="O177" i="1"/>
  <c r="K177" i="1"/>
  <c r="L177" i="1" s="1"/>
  <c r="I177" i="1"/>
  <c r="R176" i="1"/>
  <c r="O176" i="1"/>
  <c r="K176" i="1"/>
  <c r="H176" i="1"/>
  <c r="P176" i="1" s="1"/>
  <c r="R175" i="1"/>
  <c r="N175" i="1"/>
  <c r="O175" i="1" s="1"/>
  <c r="K175" i="1"/>
  <c r="L175" i="1" s="1"/>
  <c r="I175" i="1"/>
  <c r="R174" i="1"/>
  <c r="O174" i="1"/>
  <c r="K174" i="1"/>
  <c r="L174" i="1" s="1"/>
  <c r="H174" i="1"/>
  <c r="I174" i="1" s="1"/>
  <c r="R173" i="1"/>
  <c r="O173" i="1"/>
  <c r="K173" i="1"/>
  <c r="L173" i="1" s="1"/>
  <c r="H173" i="1"/>
  <c r="R172" i="1"/>
  <c r="O172" i="1"/>
  <c r="K172" i="1"/>
  <c r="H172" i="1"/>
  <c r="R171" i="1"/>
  <c r="O171" i="1"/>
  <c r="K171" i="1"/>
  <c r="H171" i="1"/>
  <c r="R170" i="1"/>
  <c r="O170" i="1"/>
  <c r="K170" i="1"/>
  <c r="L170" i="1" s="1"/>
  <c r="H170" i="1"/>
  <c r="I170" i="1" s="1"/>
  <c r="R169" i="1"/>
  <c r="O169" i="1"/>
  <c r="K169" i="1"/>
  <c r="L169" i="1" s="1"/>
  <c r="H169" i="1"/>
  <c r="R168" i="1"/>
  <c r="O168" i="1"/>
  <c r="K168" i="1"/>
  <c r="H168" i="1"/>
  <c r="P168" i="1" s="1"/>
  <c r="R167" i="1"/>
  <c r="O167" i="1"/>
  <c r="K167" i="1"/>
  <c r="H167" i="1"/>
  <c r="P167" i="1" s="1"/>
  <c r="Q167" i="1" s="1"/>
  <c r="R166" i="1"/>
  <c r="P166" i="1"/>
  <c r="V166" i="1" s="1"/>
  <c r="O166" i="1"/>
  <c r="L166" i="1"/>
  <c r="I166" i="1"/>
  <c r="R165" i="1"/>
  <c r="O165" i="1"/>
  <c r="L165" i="1"/>
  <c r="H165" i="1"/>
  <c r="R164" i="1"/>
  <c r="O164" i="1"/>
  <c r="K164" i="1"/>
  <c r="L164" i="1" s="1"/>
  <c r="H164" i="1"/>
  <c r="R163" i="1"/>
  <c r="O163" i="1"/>
  <c r="K163" i="1"/>
  <c r="H163" i="1"/>
  <c r="R162" i="1"/>
  <c r="O162" i="1"/>
  <c r="K162" i="1"/>
  <c r="H162" i="1"/>
  <c r="I162" i="1" s="1"/>
  <c r="R161" i="1"/>
  <c r="P161" i="1"/>
  <c r="V161" i="1" s="1"/>
  <c r="O161" i="1"/>
  <c r="K161" i="1"/>
  <c r="L161" i="1" s="1"/>
  <c r="H161" i="1"/>
  <c r="R160" i="1"/>
  <c r="O160" i="1"/>
  <c r="K160" i="1"/>
  <c r="L160" i="1" s="1"/>
  <c r="H160" i="1"/>
  <c r="R159" i="1"/>
  <c r="O159" i="1"/>
  <c r="K159" i="1"/>
  <c r="H159" i="1"/>
  <c r="P159" i="1" s="1"/>
  <c r="R158" i="1"/>
  <c r="O158" i="1"/>
  <c r="K158" i="1"/>
  <c r="H158" i="1"/>
  <c r="R157" i="1"/>
  <c r="O157" i="1"/>
  <c r="K157" i="1"/>
  <c r="L157" i="1" s="1"/>
  <c r="H157" i="1"/>
  <c r="R156" i="1"/>
  <c r="O156" i="1"/>
  <c r="K156" i="1"/>
  <c r="L156" i="1" s="1"/>
  <c r="H156" i="1"/>
  <c r="R155" i="1"/>
  <c r="O155" i="1"/>
  <c r="K155" i="1"/>
  <c r="H155" i="1"/>
  <c r="P155" i="1" s="1"/>
  <c r="R154" i="1"/>
  <c r="O154" i="1"/>
  <c r="K154" i="1"/>
  <c r="H154" i="1"/>
  <c r="I154" i="1" s="1"/>
  <c r="R153" i="1"/>
  <c r="O153" i="1"/>
  <c r="K153" i="1"/>
  <c r="L153" i="1" s="1"/>
  <c r="H153" i="1"/>
  <c r="R152" i="1"/>
  <c r="O152" i="1"/>
  <c r="K152" i="1"/>
  <c r="L152" i="1" s="1"/>
  <c r="H152" i="1"/>
  <c r="R151" i="1"/>
  <c r="O151" i="1"/>
  <c r="K151" i="1"/>
  <c r="H151" i="1"/>
  <c r="R150" i="1"/>
  <c r="O150" i="1"/>
  <c r="K150" i="1"/>
  <c r="H150" i="1"/>
  <c r="I150" i="1" s="1"/>
  <c r="R149" i="1"/>
  <c r="P149" i="1"/>
  <c r="V149" i="1" s="1"/>
  <c r="O149" i="1"/>
  <c r="K149" i="1"/>
  <c r="L149" i="1" s="1"/>
  <c r="H149" i="1"/>
  <c r="R148" i="1"/>
  <c r="O148" i="1"/>
  <c r="K148" i="1"/>
  <c r="L148" i="1" s="1"/>
  <c r="H148" i="1"/>
  <c r="R147" i="1"/>
  <c r="O147" i="1"/>
  <c r="K147" i="1"/>
  <c r="H147" i="1"/>
  <c r="P147" i="1" s="1"/>
  <c r="R146" i="1"/>
  <c r="O146" i="1"/>
  <c r="K146" i="1"/>
  <c r="H146" i="1"/>
  <c r="R145" i="1"/>
  <c r="O145" i="1"/>
  <c r="K145" i="1"/>
  <c r="L145" i="1" s="1"/>
  <c r="H145" i="1"/>
  <c r="I145" i="1" s="1"/>
  <c r="R144" i="1"/>
  <c r="O144" i="1"/>
  <c r="K144" i="1"/>
  <c r="L144" i="1" s="1"/>
  <c r="H144" i="1"/>
  <c r="R143" i="1"/>
  <c r="O143" i="1"/>
  <c r="K143" i="1"/>
  <c r="L143" i="1" s="1"/>
  <c r="H143" i="1"/>
  <c r="P143" i="1" s="1"/>
  <c r="R142" i="1"/>
  <c r="O142" i="1"/>
  <c r="K142" i="1"/>
  <c r="H142" i="1"/>
  <c r="P142" i="1" s="1"/>
  <c r="Q142" i="1" s="1"/>
  <c r="R141" i="1"/>
  <c r="O141" i="1"/>
  <c r="L141" i="1"/>
  <c r="H141" i="1"/>
  <c r="P141" i="1" s="1"/>
  <c r="R140" i="1"/>
  <c r="O140" i="1"/>
  <c r="L140" i="1"/>
  <c r="H140" i="1"/>
  <c r="I140" i="1" s="1"/>
  <c r="R139" i="1"/>
  <c r="O139" i="1"/>
  <c r="K139" i="1"/>
  <c r="L139" i="1" s="1"/>
  <c r="I139" i="1"/>
  <c r="H139" i="1"/>
  <c r="R138" i="1"/>
  <c r="O138" i="1"/>
  <c r="K138" i="1"/>
  <c r="L138" i="1" s="1"/>
  <c r="H138" i="1"/>
  <c r="R137" i="1"/>
  <c r="O137" i="1"/>
  <c r="L137" i="1"/>
  <c r="K137" i="1"/>
  <c r="H137" i="1"/>
  <c r="P137" i="1" s="1"/>
  <c r="R136" i="1"/>
  <c r="N136" i="1"/>
  <c r="O136" i="1" s="1"/>
  <c r="K136" i="1"/>
  <c r="H136" i="1"/>
  <c r="R135" i="1"/>
  <c r="N135" i="1"/>
  <c r="O135" i="1" s="1"/>
  <c r="K135" i="1"/>
  <c r="H135" i="1"/>
  <c r="R134" i="1"/>
  <c r="N134" i="1"/>
  <c r="O134" i="1" s="1"/>
  <c r="K134" i="1"/>
  <c r="L134" i="1" s="1"/>
  <c r="H134" i="1"/>
  <c r="R133" i="1"/>
  <c r="N133" i="1"/>
  <c r="O133" i="1" s="1"/>
  <c r="K133" i="1"/>
  <c r="H133" i="1"/>
  <c r="P133" i="1" s="1"/>
  <c r="Q133" i="1" s="1"/>
  <c r="R132" i="1"/>
  <c r="N132" i="1"/>
  <c r="K132" i="1"/>
  <c r="L132" i="1" s="1"/>
  <c r="H132" i="1"/>
  <c r="R131" i="1"/>
  <c r="N131" i="1"/>
  <c r="O131" i="1" s="1"/>
  <c r="K131" i="1"/>
  <c r="H131" i="1"/>
  <c r="P131" i="1" s="1"/>
  <c r="Q131" i="1" s="1"/>
  <c r="R130" i="1"/>
  <c r="O130" i="1"/>
  <c r="K130" i="1"/>
  <c r="H130" i="1"/>
  <c r="R129" i="1"/>
  <c r="O129" i="1"/>
  <c r="K129" i="1"/>
  <c r="L129" i="1" s="1"/>
  <c r="H129" i="1"/>
  <c r="R128" i="1"/>
  <c r="O128" i="1"/>
  <c r="K128" i="1"/>
  <c r="L128" i="1" s="1"/>
  <c r="H128" i="1"/>
  <c r="R127" i="1"/>
  <c r="O127" i="1"/>
  <c r="K127" i="1"/>
  <c r="L127" i="1" s="1"/>
  <c r="H127" i="1"/>
  <c r="P127" i="1" s="1"/>
  <c r="R126" i="1"/>
  <c r="O126" i="1"/>
  <c r="K126" i="1"/>
  <c r="H126" i="1"/>
  <c r="R125" i="1"/>
  <c r="O125" i="1"/>
  <c r="K125" i="1"/>
  <c r="L125" i="1" s="1"/>
  <c r="I125" i="1"/>
  <c r="H125" i="1"/>
  <c r="R124" i="1"/>
  <c r="O124" i="1"/>
  <c r="L124" i="1"/>
  <c r="K124" i="1"/>
  <c r="H124" i="1"/>
  <c r="R123" i="1"/>
  <c r="O123" i="1"/>
  <c r="K123" i="1"/>
  <c r="L123" i="1" s="1"/>
  <c r="H123" i="1"/>
  <c r="P123" i="1" s="1"/>
  <c r="R122" i="1"/>
  <c r="O122" i="1"/>
  <c r="K122" i="1"/>
  <c r="H122" i="1"/>
  <c r="I122" i="1" s="1"/>
  <c r="R121" i="1"/>
  <c r="O121" i="1"/>
  <c r="K121" i="1"/>
  <c r="L121" i="1" s="1"/>
  <c r="H121" i="1"/>
  <c r="R120" i="1"/>
  <c r="O120" i="1"/>
  <c r="K120" i="1"/>
  <c r="L120" i="1" s="1"/>
  <c r="H120" i="1"/>
  <c r="R119" i="1"/>
  <c r="O119" i="1"/>
  <c r="K119" i="1"/>
  <c r="H119" i="1"/>
  <c r="R118" i="1"/>
  <c r="O118" i="1"/>
  <c r="L118" i="1"/>
  <c r="H118" i="1"/>
  <c r="P118" i="1" s="1"/>
  <c r="V118" i="1" s="1"/>
  <c r="R117" i="1"/>
  <c r="O117" i="1"/>
  <c r="L117" i="1"/>
  <c r="H117" i="1"/>
  <c r="I117" i="1" s="1"/>
  <c r="R116" i="1"/>
  <c r="O116" i="1"/>
  <c r="K116" i="1"/>
  <c r="H116" i="1"/>
  <c r="R115" i="1"/>
  <c r="O115" i="1"/>
  <c r="K115" i="1"/>
  <c r="L115" i="1" s="1"/>
  <c r="H115" i="1"/>
  <c r="U114" i="1"/>
  <c r="R114" i="1"/>
  <c r="P114" i="1"/>
  <c r="W114" i="1" s="1"/>
  <c r="O114" i="1"/>
  <c r="L114" i="1"/>
  <c r="I114" i="1"/>
  <c r="R113" i="1"/>
  <c r="O113" i="1"/>
  <c r="K113" i="1"/>
  <c r="L113" i="1" s="1"/>
  <c r="H113" i="1"/>
  <c r="I113" i="1" s="1"/>
  <c r="R112" i="1"/>
  <c r="O112" i="1"/>
  <c r="K112" i="1"/>
  <c r="L112" i="1" s="1"/>
  <c r="H112" i="1"/>
  <c r="R111" i="1"/>
  <c r="O111" i="1"/>
  <c r="L111" i="1"/>
  <c r="K111" i="1"/>
  <c r="H111" i="1"/>
  <c r="P111" i="1" s="1"/>
  <c r="R110" i="1"/>
  <c r="O110" i="1"/>
  <c r="L110" i="1"/>
  <c r="H110" i="1"/>
  <c r="P110" i="1" s="1"/>
  <c r="V110" i="1" s="1"/>
  <c r="R109" i="1"/>
  <c r="O109" i="1"/>
  <c r="L109" i="1"/>
  <c r="H109" i="1"/>
  <c r="I109" i="1" s="1"/>
  <c r="R108" i="1"/>
  <c r="O108" i="1"/>
  <c r="L108" i="1"/>
  <c r="H108" i="1"/>
  <c r="P108" i="1" s="1"/>
  <c r="V108" i="1" s="1"/>
  <c r="R107" i="1"/>
  <c r="P107" i="1"/>
  <c r="O107" i="1"/>
  <c r="L107" i="1"/>
  <c r="I107" i="1"/>
  <c r="R106" i="1"/>
  <c r="O106" i="1"/>
  <c r="L106" i="1"/>
  <c r="H106" i="1"/>
  <c r="P106" i="1" s="1"/>
  <c r="R105" i="1"/>
  <c r="O105" i="1"/>
  <c r="L105" i="1"/>
  <c r="H105" i="1"/>
  <c r="I105" i="1" s="1"/>
  <c r="R104" i="1"/>
  <c r="O104" i="1"/>
  <c r="L104" i="1"/>
  <c r="H104" i="1"/>
  <c r="P104" i="1" s="1"/>
  <c r="V104" i="1" s="1"/>
  <c r="R103" i="1"/>
  <c r="O103" i="1"/>
  <c r="L103" i="1"/>
  <c r="H103" i="1"/>
  <c r="I103" i="1" s="1"/>
  <c r="R102" i="1"/>
  <c r="O102" i="1"/>
  <c r="L102" i="1"/>
  <c r="H102" i="1"/>
  <c r="P102" i="1" s="1"/>
  <c r="R101" i="1"/>
  <c r="P101" i="1"/>
  <c r="O101" i="1"/>
  <c r="L101" i="1"/>
  <c r="I101" i="1"/>
  <c r="R100" i="1"/>
  <c r="O100" i="1"/>
  <c r="L100" i="1"/>
  <c r="H100" i="1"/>
  <c r="I100" i="1" s="1"/>
  <c r="N99" i="1"/>
  <c r="O99" i="1" s="1"/>
  <c r="K99" i="1"/>
  <c r="L99" i="1" s="1"/>
  <c r="H99" i="1"/>
  <c r="F99" i="1"/>
  <c r="R99" i="1" s="1"/>
  <c r="R98" i="1"/>
  <c r="N98" i="1"/>
  <c r="K98" i="1"/>
  <c r="L98" i="1" s="1"/>
  <c r="H98" i="1"/>
  <c r="R97" i="1"/>
  <c r="N97" i="1"/>
  <c r="K97" i="1"/>
  <c r="L97" i="1" s="1"/>
  <c r="H97" i="1"/>
  <c r="R96" i="1"/>
  <c r="N96" i="1"/>
  <c r="K96" i="1"/>
  <c r="L96" i="1" s="1"/>
  <c r="H96" i="1"/>
  <c r="R95" i="1"/>
  <c r="N95" i="1"/>
  <c r="K95" i="1"/>
  <c r="L95" i="1" s="1"/>
  <c r="H95" i="1"/>
  <c r="R94" i="1"/>
  <c r="O94" i="1"/>
  <c r="L94" i="1"/>
  <c r="H94" i="1"/>
  <c r="I94" i="1" s="1"/>
  <c r="R93" i="1"/>
  <c r="O93" i="1"/>
  <c r="L93" i="1"/>
  <c r="H93" i="1"/>
  <c r="P93" i="1" s="1"/>
  <c r="R92" i="1"/>
  <c r="O92" i="1"/>
  <c r="L92" i="1"/>
  <c r="H92" i="1"/>
  <c r="I92" i="1" s="1"/>
  <c r="R91" i="1"/>
  <c r="O91" i="1"/>
  <c r="K91" i="1"/>
  <c r="L91" i="1" s="1"/>
  <c r="H91" i="1"/>
  <c r="P91" i="1" s="1"/>
  <c r="V91" i="1" s="1"/>
  <c r="R90" i="1"/>
  <c r="O90" i="1"/>
  <c r="L90" i="1"/>
  <c r="H90" i="1"/>
  <c r="I90" i="1" s="1"/>
  <c r="R89" i="1"/>
  <c r="O89" i="1"/>
  <c r="L89" i="1"/>
  <c r="H89" i="1"/>
  <c r="P89" i="1" s="1"/>
  <c r="V89" i="1" s="1"/>
  <c r="R88" i="1"/>
  <c r="O88" i="1"/>
  <c r="K88" i="1"/>
  <c r="L88" i="1" s="1"/>
  <c r="H88" i="1"/>
  <c r="R87" i="1"/>
  <c r="O87" i="1"/>
  <c r="K87" i="1"/>
  <c r="H87" i="1"/>
  <c r="P87" i="1" s="1"/>
  <c r="R86" i="1"/>
  <c r="O86" i="1"/>
  <c r="K86" i="1"/>
  <c r="H86" i="1"/>
  <c r="P86" i="1" s="1"/>
  <c r="Q86" i="1" s="1"/>
  <c r="R85" i="1"/>
  <c r="O85" i="1"/>
  <c r="L85" i="1"/>
  <c r="H85" i="1"/>
  <c r="P85" i="1" s="1"/>
  <c r="R84" i="1"/>
  <c r="P84" i="1"/>
  <c r="W84" i="1" s="1"/>
  <c r="O84" i="1"/>
  <c r="L84" i="1"/>
  <c r="I84" i="1"/>
  <c r="R83" i="1"/>
  <c r="O83" i="1"/>
  <c r="L83" i="1"/>
  <c r="H83" i="1"/>
  <c r="I83" i="1" s="1"/>
  <c r="R82" i="1"/>
  <c r="O82" i="1"/>
  <c r="L82" i="1"/>
  <c r="H82" i="1"/>
  <c r="P82" i="1" s="1"/>
  <c r="V82" i="1" s="1"/>
  <c r="R81" i="1"/>
  <c r="O81" i="1"/>
  <c r="K81" i="1"/>
  <c r="L81" i="1" s="1"/>
  <c r="H81" i="1"/>
  <c r="R80" i="1"/>
  <c r="O80" i="1"/>
  <c r="L80" i="1"/>
  <c r="H80" i="1"/>
  <c r="I80" i="1" s="1"/>
  <c r="R79" i="1"/>
  <c r="O79" i="1"/>
  <c r="L79" i="1"/>
  <c r="H79" i="1"/>
  <c r="P79" i="1" s="1"/>
  <c r="R78" i="1"/>
  <c r="O78" i="1"/>
  <c r="L78" i="1"/>
  <c r="H78" i="1"/>
  <c r="I78" i="1" s="1"/>
  <c r="R77" i="1"/>
  <c r="O77" i="1"/>
  <c r="L77" i="1"/>
  <c r="H77" i="1"/>
  <c r="P77" i="1" s="1"/>
  <c r="R76" i="1"/>
  <c r="O76" i="1"/>
  <c r="L76" i="1"/>
  <c r="H76" i="1"/>
  <c r="I76" i="1" s="1"/>
  <c r="R75" i="1"/>
  <c r="O75" i="1"/>
  <c r="L75" i="1"/>
  <c r="H75" i="1"/>
  <c r="P75" i="1" s="1"/>
  <c r="R74" i="1"/>
  <c r="O74" i="1"/>
  <c r="L74" i="1"/>
  <c r="H74" i="1"/>
  <c r="I74" i="1" s="1"/>
  <c r="R73" i="1"/>
  <c r="O73" i="1"/>
  <c r="L73" i="1"/>
  <c r="H73" i="1"/>
  <c r="P73" i="1" s="1"/>
  <c r="R72" i="1"/>
  <c r="P72" i="1"/>
  <c r="W72" i="1" s="1"/>
  <c r="O72" i="1"/>
  <c r="L72" i="1"/>
  <c r="I72" i="1"/>
  <c r="R71" i="1"/>
  <c r="P71" i="1"/>
  <c r="V71" i="1" s="1"/>
  <c r="O71" i="1"/>
  <c r="L71" i="1"/>
  <c r="I71" i="1"/>
  <c r="R70" i="1"/>
  <c r="P70" i="1"/>
  <c r="O70" i="1"/>
  <c r="L70" i="1"/>
  <c r="I70" i="1"/>
  <c r="R69" i="1"/>
  <c r="P69" i="1"/>
  <c r="V69" i="1" s="1"/>
  <c r="O69" i="1"/>
  <c r="L69" i="1"/>
  <c r="I69" i="1"/>
  <c r="R68" i="1"/>
  <c r="P68" i="1"/>
  <c r="W68" i="1" s="1"/>
  <c r="O68" i="1"/>
  <c r="L68" i="1"/>
  <c r="I68" i="1"/>
  <c r="U67" i="1"/>
  <c r="R67" i="1"/>
  <c r="P67" i="1"/>
  <c r="V67" i="1" s="1"/>
  <c r="O67" i="1"/>
  <c r="L67" i="1"/>
  <c r="I67" i="1"/>
  <c r="R66" i="1"/>
  <c r="P66" i="1"/>
  <c r="V66" i="1" s="1"/>
  <c r="O66" i="1"/>
  <c r="L66" i="1"/>
  <c r="I66" i="1"/>
  <c r="W65" i="1"/>
  <c r="R65" i="1"/>
  <c r="P65" i="1"/>
  <c r="V65" i="1" s="1"/>
  <c r="O65" i="1"/>
  <c r="L65" i="1"/>
  <c r="I65" i="1"/>
  <c r="R64" i="1"/>
  <c r="P64" i="1"/>
  <c r="W64" i="1" s="1"/>
  <c r="O64" i="1"/>
  <c r="L64" i="1"/>
  <c r="I64" i="1"/>
  <c r="R63" i="1"/>
  <c r="N63" i="1"/>
  <c r="O63" i="1" s="1"/>
  <c r="K63" i="1"/>
  <c r="H63" i="1"/>
  <c r="R62" i="1"/>
  <c r="P62" i="1"/>
  <c r="W62" i="1" s="1"/>
  <c r="O62" i="1"/>
  <c r="L62" i="1"/>
  <c r="H62" i="1"/>
  <c r="I62" i="1" s="1"/>
  <c r="R61" i="1"/>
  <c r="O61" i="1"/>
  <c r="L61" i="1"/>
  <c r="H61" i="1"/>
  <c r="P61" i="1" s="1"/>
  <c r="V61" i="1" s="1"/>
  <c r="R60" i="1"/>
  <c r="O60" i="1"/>
  <c r="L60" i="1"/>
  <c r="H60" i="1"/>
  <c r="I60" i="1" s="1"/>
  <c r="W59" i="1"/>
  <c r="R59" i="1"/>
  <c r="O59" i="1"/>
  <c r="L59" i="1"/>
  <c r="I59" i="1"/>
  <c r="H59" i="1"/>
  <c r="P59" i="1" s="1"/>
  <c r="V59" i="1" s="1"/>
  <c r="R58" i="1"/>
  <c r="O58" i="1"/>
  <c r="L58" i="1"/>
  <c r="H58" i="1"/>
  <c r="I58" i="1" s="1"/>
  <c r="R57" i="1"/>
  <c r="O57" i="1"/>
  <c r="L57" i="1"/>
  <c r="H57" i="1"/>
  <c r="P57" i="1" s="1"/>
  <c r="V57" i="1" s="1"/>
  <c r="R56" i="1"/>
  <c r="P56" i="1"/>
  <c r="V56" i="1" s="1"/>
  <c r="O56" i="1"/>
  <c r="L56" i="1"/>
  <c r="H56" i="1"/>
  <c r="I56" i="1" s="1"/>
  <c r="R55" i="1"/>
  <c r="O55" i="1"/>
  <c r="L55" i="1"/>
  <c r="H55" i="1"/>
  <c r="P55" i="1" s="1"/>
  <c r="V55" i="1" s="1"/>
  <c r="R54" i="1"/>
  <c r="O54" i="1"/>
  <c r="L54" i="1"/>
  <c r="H54" i="1"/>
  <c r="I54" i="1" s="1"/>
  <c r="R53" i="1"/>
  <c r="O53" i="1"/>
  <c r="L53" i="1"/>
  <c r="H53" i="1"/>
  <c r="P53" i="1" s="1"/>
  <c r="V53" i="1" s="1"/>
  <c r="R52" i="1"/>
  <c r="O52" i="1"/>
  <c r="L52" i="1"/>
  <c r="H52" i="1"/>
  <c r="P52" i="1" s="1"/>
  <c r="R51" i="1"/>
  <c r="O51" i="1"/>
  <c r="L51" i="1"/>
  <c r="H51" i="1"/>
  <c r="P51" i="1" s="1"/>
  <c r="V51" i="1" s="1"/>
  <c r="R50" i="1"/>
  <c r="P50" i="1"/>
  <c r="V50" i="1" s="1"/>
  <c r="O50" i="1"/>
  <c r="L50" i="1"/>
  <c r="H50" i="1"/>
  <c r="I50" i="1" s="1"/>
  <c r="W49" i="1"/>
  <c r="R49" i="1"/>
  <c r="Q49" i="1"/>
  <c r="P49" i="1"/>
  <c r="V49" i="1" s="1"/>
  <c r="O49" i="1"/>
  <c r="L49" i="1"/>
  <c r="I49" i="1"/>
  <c r="R48" i="1"/>
  <c r="O48" i="1"/>
  <c r="L48" i="1"/>
  <c r="H48" i="1"/>
  <c r="I48" i="1" s="1"/>
  <c r="R47" i="1"/>
  <c r="O47" i="1"/>
  <c r="K47" i="1"/>
  <c r="L47" i="1" s="1"/>
  <c r="H47" i="1"/>
  <c r="R46" i="1"/>
  <c r="O46" i="1"/>
  <c r="L46" i="1"/>
  <c r="H46" i="1"/>
  <c r="I46" i="1" s="1"/>
  <c r="R45" i="1"/>
  <c r="O45" i="1"/>
  <c r="K45" i="1"/>
  <c r="H45" i="1"/>
  <c r="I45" i="1" s="1"/>
  <c r="R44" i="1"/>
  <c r="P44" i="1"/>
  <c r="O44" i="1"/>
  <c r="L44" i="1"/>
  <c r="I44" i="1"/>
  <c r="R43" i="1"/>
  <c r="P43" i="1"/>
  <c r="V43" i="1" s="1"/>
  <c r="O43" i="1"/>
  <c r="L43" i="1"/>
  <c r="I43" i="1"/>
  <c r="R42" i="1"/>
  <c r="P42" i="1"/>
  <c r="W42" i="1" s="1"/>
  <c r="O42" i="1"/>
  <c r="L42" i="1"/>
  <c r="I42" i="1"/>
  <c r="U41" i="1"/>
  <c r="R41" i="1"/>
  <c r="P41" i="1"/>
  <c r="W41" i="1" s="1"/>
  <c r="O41" i="1"/>
  <c r="L41" i="1"/>
  <c r="I41" i="1"/>
  <c r="R40" i="1"/>
  <c r="P40" i="1"/>
  <c r="V40" i="1" s="1"/>
  <c r="O40" i="1"/>
  <c r="L40" i="1"/>
  <c r="I40" i="1"/>
  <c r="W39" i="1"/>
  <c r="R39" i="1"/>
  <c r="P39" i="1"/>
  <c r="V39" i="1" s="1"/>
  <c r="O39" i="1"/>
  <c r="L39" i="1"/>
  <c r="I39" i="1"/>
  <c r="R38" i="1"/>
  <c r="P38" i="1"/>
  <c r="W38" i="1" s="1"/>
  <c r="O38" i="1"/>
  <c r="L38" i="1"/>
  <c r="I38" i="1"/>
  <c r="R37" i="1"/>
  <c r="P37" i="1"/>
  <c r="W37" i="1" s="1"/>
  <c r="O37" i="1"/>
  <c r="L37" i="1"/>
  <c r="I37" i="1"/>
  <c r="R36" i="1"/>
  <c r="P36" i="1"/>
  <c r="V36" i="1" s="1"/>
  <c r="O36" i="1"/>
  <c r="L36" i="1"/>
  <c r="I36" i="1"/>
  <c r="R35" i="1"/>
  <c r="P35" i="1"/>
  <c r="V35" i="1" s="1"/>
  <c r="O35" i="1"/>
  <c r="L35" i="1"/>
  <c r="I35" i="1"/>
  <c r="U34" i="1"/>
  <c r="R34" i="1"/>
  <c r="P34" i="1"/>
  <c r="W34" i="1" s="1"/>
  <c r="O34" i="1"/>
  <c r="L34" i="1"/>
  <c r="I34" i="1"/>
  <c r="R33" i="1"/>
  <c r="O33" i="1"/>
  <c r="K33" i="1"/>
  <c r="L33" i="1" s="1"/>
  <c r="H33" i="1"/>
  <c r="R32" i="1"/>
  <c r="O32" i="1"/>
  <c r="K32" i="1"/>
  <c r="L32" i="1" s="1"/>
  <c r="H32" i="1"/>
  <c r="R31" i="1"/>
  <c r="O31" i="1"/>
  <c r="K31" i="1"/>
  <c r="I31" i="1"/>
  <c r="H31" i="1"/>
  <c r="R30" i="1"/>
  <c r="P30" i="1"/>
  <c r="V30" i="1" s="1"/>
  <c r="O30" i="1"/>
  <c r="L30" i="1"/>
  <c r="I30" i="1"/>
  <c r="R29" i="1"/>
  <c r="O29" i="1"/>
  <c r="L29" i="1"/>
  <c r="H29" i="1"/>
  <c r="P29" i="1" s="1"/>
  <c r="V29" i="1" s="1"/>
  <c r="R28" i="1"/>
  <c r="P28" i="1"/>
  <c r="W28" i="1" s="1"/>
  <c r="O28" i="1"/>
  <c r="L28" i="1"/>
  <c r="I28" i="1"/>
  <c r="R27" i="1"/>
  <c r="P27" i="1"/>
  <c r="V27" i="1" s="1"/>
  <c r="O27" i="1"/>
  <c r="L27" i="1"/>
  <c r="I27" i="1"/>
  <c r="R26" i="1"/>
  <c r="P26" i="1"/>
  <c r="V26" i="1" s="1"/>
  <c r="O26" i="1"/>
  <c r="L26" i="1"/>
  <c r="I26" i="1"/>
  <c r="R25" i="1"/>
  <c r="O25" i="1"/>
  <c r="L25" i="1"/>
  <c r="H25" i="1"/>
  <c r="I25" i="1" s="1"/>
  <c r="R24" i="1"/>
  <c r="O24" i="1"/>
  <c r="K24" i="1"/>
  <c r="L24" i="1" s="1"/>
  <c r="H24" i="1"/>
  <c r="I24" i="1" s="1"/>
  <c r="R23" i="1"/>
  <c r="O23" i="1"/>
  <c r="L23" i="1"/>
  <c r="H23" i="1"/>
  <c r="I23" i="1" s="1"/>
  <c r="R22" i="1"/>
  <c r="O22" i="1"/>
  <c r="L22" i="1"/>
  <c r="H22" i="1"/>
  <c r="P22" i="1" s="1"/>
  <c r="V22" i="1" s="1"/>
  <c r="R21" i="1"/>
  <c r="O21" i="1"/>
  <c r="L21" i="1"/>
  <c r="H21" i="1"/>
  <c r="P21" i="1" s="1"/>
  <c r="R20" i="1"/>
  <c r="N20" i="1"/>
  <c r="O20" i="1" s="1"/>
  <c r="L20" i="1"/>
  <c r="H20" i="1"/>
  <c r="R19" i="1"/>
  <c r="O19" i="1"/>
  <c r="L19" i="1"/>
  <c r="H19" i="1"/>
  <c r="P19" i="1" s="1"/>
  <c r="R18" i="1"/>
  <c r="N18" i="1"/>
  <c r="K18" i="1"/>
  <c r="L18" i="1" s="1"/>
  <c r="I18" i="1"/>
  <c r="R17" i="1"/>
  <c r="O17" i="1"/>
  <c r="L17" i="1"/>
  <c r="H17" i="1"/>
  <c r="P17" i="1" s="1"/>
  <c r="V17" i="1" s="1"/>
  <c r="R16" i="1"/>
  <c r="O16" i="1"/>
  <c r="L16" i="1"/>
  <c r="H16" i="1"/>
  <c r="P16" i="1" s="1"/>
  <c r="R15" i="1"/>
  <c r="O15" i="1"/>
  <c r="L15" i="1"/>
  <c r="H15" i="1"/>
  <c r="P15" i="1" s="1"/>
  <c r="V15" i="1" s="1"/>
  <c r="R14" i="1"/>
  <c r="N14" i="1"/>
  <c r="O14" i="1" s="1"/>
  <c r="K14" i="1"/>
  <c r="L14" i="1" s="1"/>
  <c r="I14" i="1"/>
  <c r="H14" i="1"/>
  <c r="R13" i="1"/>
  <c r="N13" i="1"/>
  <c r="K13" i="1"/>
  <c r="H13" i="1"/>
  <c r="I13" i="1" s="1"/>
  <c r="R12" i="1"/>
  <c r="O12" i="1"/>
  <c r="K12" i="1"/>
  <c r="L12" i="1" s="1"/>
  <c r="H12" i="1"/>
  <c r="N323" i="3" l="1"/>
  <c r="O323" i="3"/>
  <c r="U323" i="3" s="1"/>
  <c r="I53" i="1"/>
  <c r="I195" i="1"/>
  <c r="I248" i="1"/>
  <c r="Q304" i="1"/>
  <c r="Q68" i="2"/>
  <c r="I171" i="2"/>
  <c r="P171" i="2"/>
  <c r="V171" i="2" s="1"/>
  <c r="P178" i="2"/>
  <c r="I178" i="2"/>
  <c r="V214" i="2"/>
  <c r="U214" i="2"/>
  <c r="P255" i="2"/>
  <c r="I255" i="2"/>
  <c r="P263" i="2"/>
  <c r="I263" i="2"/>
  <c r="P272" i="2"/>
  <c r="I272" i="2"/>
  <c r="U44" i="3"/>
  <c r="T44" i="3"/>
  <c r="P44" i="3"/>
  <c r="K87" i="3"/>
  <c r="O87" i="3"/>
  <c r="T87" i="3" s="1"/>
  <c r="K130" i="3"/>
  <c r="O130" i="3"/>
  <c r="U203" i="3"/>
  <c r="V203" i="3"/>
  <c r="P203" i="3"/>
  <c r="V239" i="3"/>
  <c r="T239" i="3"/>
  <c r="U329" i="3"/>
  <c r="T329" i="3"/>
  <c r="P329" i="3"/>
  <c r="U66" i="4"/>
  <c r="T66" i="4"/>
  <c r="P66" i="4"/>
  <c r="U187" i="4"/>
  <c r="P187" i="4"/>
  <c r="T187" i="4"/>
  <c r="U203" i="4"/>
  <c r="P203" i="4"/>
  <c r="T203" i="4"/>
  <c r="T209" i="4"/>
  <c r="P209" i="4"/>
  <c r="U209" i="4"/>
  <c r="W122" i="5"/>
  <c r="U122" i="5"/>
  <c r="V306" i="2"/>
  <c r="U306" i="2"/>
  <c r="O283" i="3"/>
  <c r="H283" i="3"/>
  <c r="W24" i="5"/>
  <c r="U24" i="5"/>
  <c r="V128" i="5"/>
  <c r="U128" i="5"/>
  <c r="V160" i="5"/>
  <c r="Q160" i="5"/>
  <c r="U160" i="5"/>
  <c r="W281" i="5"/>
  <c r="U281" i="5"/>
  <c r="W32" i="7"/>
  <c r="R32" i="7"/>
  <c r="I17" i="1"/>
  <c r="P20" i="1"/>
  <c r="V20" i="1" s="1"/>
  <c r="U37" i="1"/>
  <c r="P47" i="1"/>
  <c r="U56" i="1"/>
  <c r="U62" i="1"/>
  <c r="U71" i="1"/>
  <c r="I91" i="1"/>
  <c r="I108" i="1"/>
  <c r="I118" i="1"/>
  <c r="P136" i="1"/>
  <c r="Q136" i="1" s="1"/>
  <c r="P153" i="1"/>
  <c r="V153" i="1" s="1"/>
  <c r="I197" i="1"/>
  <c r="U211" i="1"/>
  <c r="I250" i="1"/>
  <c r="U274" i="1"/>
  <c r="Q310" i="1"/>
  <c r="U30" i="2"/>
  <c r="W38" i="2"/>
  <c r="P81" i="2"/>
  <c r="P128" i="2"/>
  <c r="W128" i="2" s="1"/>
  <c r="P155" i="2"/>
  <c r="Q155" i="2" s="1"/>
  <c r="P156" i="2"/>
  <c r="P236" i="2"/>
  <c r="I236" i="2"/>
  <c r="O99" i="3"/>
  <c r="V185" i="3"/>
  <c r="T185" i="3"/>
  <c r="O235" i="3"/>
  <c r="U235" i="3" s="1"/>
  <c r="H235" i="3"/>
  <c r="O262" i="3"/>
  <c r="H262" i="3"/>
  <c r="V22" i="4"/>
  <c r="O92" i="4"/>
  <c r="T92" i="4"/>
  <c r="H92" i="4"/>
  <c r="O124" i="4"/>
  <c r="T124" i="4" s="1"/>
  <c r="O130" i="4"/>
  <c r="V130" i="4" s="1"/>
  <c r="U253" i="4"/>
  <c r="V253" i="4"/>
  <c r="W36" i="5"/>
  <c r="U36" i="5"/>
  <c r="W68" i="5"/>
  <c r="U68" i="5"/>
  <c r="V98" i="5"/>
  <c r="W98" i="5"/>
  <c r="Q98" i="5"/>
  <c r="V143" i="5"/>
  <c r="U143" i="5"/>
  <c r="U214" i="4"/>
  <c r="V214" i="4"/>
  <c r="I15" i="1"/>
  <c r="I29" i="1"/>
  <c r="I22" i="1"/>
  <c r="W22" i="1"/>
  <c r="W35" i="1"/>
  <c r="W43" i="1"/>
  <c r="I47" i="1"/>
  <c r="U50" i="1"/>
  <c r="P63" i="1"/>
  <c r="W69" i="1"/>
  <c r="P174" i="1"/>
  <c r="I189" i="1"/>
  <c r="W189" i="1"/>
  <c r="U203" i="1"/>
  <c r="W272" i="1"/>
  <c r="U302" i="1"/>
  <c r="U314" i="1"/>
  <c r="U28" i="2"/>
  <c r="P33" i="2"/>
  <c r="U36" i="2"/>
  <c r="U44" i="2"/>
  <c r="U66" i="2"/>
  <c r="W68" i="2"/>
  <c r="Q111" i="2"/>
  <c r="U114" i="2"/>
  <c r="P151" i="2"/>
  <c r="P160" i="2"/>
  <c r="P163" i="2"/>
  <c r="U163" i="2" s="1"/>
  <c r="U203" i="2"/>
  <c r="P280" i="2"/>
  <c r="V280" i="2" s="1"/>
  <c r="I280" i="2"/>
  <c r="P321" i="2"/>
  <c r="V321" i="2" s="1"/>
  <c r="O321" i="2"/>
  <c r="U28" i="3"/>
  <c r="V28" i="3"/>
  <c r="U40" i="3"/>
  <c r="T40" i="3"/>
  <c r="P40" i="3"/>
  <c r="O50" i="3"/>
  <c r="U50" i="3" s="1"/>
  <c r="H50" i="3"/>
  <c r="O83" i="3"/>
  <c r="H83" i="3"/>
  <c r="O163" i="3"/>
  <c r="V163" i="3" s="1"/>
  <c r="H163" i="3"/>
  <c r="V205" i="3"/>
  <c r="T205" i="3"/>
  <c r="U40" i="4"/>
  <c r="T40" i="4"/>
  <c r="P40" i="4"/>
  <c r="O79" i="4"/>
  <c r="H79" i="4"/>
  <c r="U124" i="4"/>
  <c r="K124" i="4"/>
  <c r="O144" i="4"/>
  <c r="U144" i="4" s="1"/>
  <c r="V26" i="5"/>
  <c r="W26" i="5"/>
  <c r="W132" i="5"/>
  <c r="U132" i="5"/>
  <c r="V266" i="5"/>
  <c r="W266" i="5"/>
  <c r="U166" i="2"/>
  <c r="U201" i="2"/>
  <c r="U310" i="2"/>
  <c r="W329" i="2"/>
  <c r="O111" i="3"/>
  <c r="O124" i="3"/>
  <c r="O164" i="3"/>
  <c r="T303" i="3"/>
  <c r="T305" i="3"/>
  <c r="T308" i="3"/>
  <c r="T70" i="4"/>
  <c r="T101" i="4"/>
  <c r="O139" i="4"/>
  <c r="O160" i="4"/>
  <c r="U160" i="4" s="1"/>
  <c r="H160" i="4"/>
  <c r="O248" i="4"/>
  <c r="U248" i="4" s="1"/>
  <c r="H248" i="4"/>
  <c r="O280" i="4"/>
  <c r="U280" i="4" s="1"/>
  <c r="H280" i="4"/>
  <c r="O296" i="4"/>
  <c r="V296" i="4" s="1"/>
  <c r="H296" i="4"/>
  <c r="U302" i="4"/>
  <c r="P302" i="4"/>
  <c r="T302" i="4"/>
  <c r="W14" i="5"/>
  <c r="U89" i="5"/>
  <c r="V173" i="5"/>
  <c r="W173" i="5"/>
  <c r="Q173" i="5"/>
  <c r="U241" i="5"/>
  <c r="U253" i="5"/>
  <c r="W275" i="5"/>
  <c r="W18" i="7"/>
  <c r="R18" i="7"/>
  <c r="W46" i="7"/>
  <c r="R46" i="7"/>
  <c r="O173" i="4"/>
  <c r="U173" i="4" s="1"/>
  <c r="H173" i="4"/>
  <c r="P207" i="4"/>
  <c r="V207" i="4"/>
  <c r="O212" i="4"/>
  <c r="O221" i="4"/>
  <c r="U221" i="4" s="1"/>
  <c r="H221" i="4"/>
  <c r="O288" i="4"/>
  <c r="U288" i="4" s="1"/>
  <c r="H288" i="4"/>
  <c r="O325" i="4"/>
  <c r="H325" i="4"/>
  <c r="V42" i="5"/>
  <c r="W42" i="5"/>
  <c r="Q42" i="5"/>
  <c r="V106" i="5"/>
  <c r="Q106" i="5"/>
  <c r="W120" i="5"/>
  <c r="Q120" i="5"/>
  <c r="V149" i="5"/>
  <c r="Q149" i="5"/>
  <c r="W149" i="5"/>
  <c r="W152" i="5"/>
  <c r="Q152" i="5"/>
  <c r="U190" i="5"/>
  <c r="V190" i="5"/>
  <c r="Q190" i="5"/>
  <c r="V221" i="5"/>
  <c r="W221" i="5"/>
  <c r="Q221" i="5"/>
  <c r="V262" i="5"/>
  <c r="Q262" i="5"/>
  <c r="W262" i="5"/>
  <c r="W282" i="5"/>
  <c r="Q282" i="5"/>
  <c r="V19" i="7"/>
  <c r="R19" i="7"/>
  <c r="W47" i="7"/>
  <c r="R47" i="7"/>
  <c r="P164" i="2"/>
  <c r="P173" i="2"/>
  <c r="V173" i="2" s="1"/>
  <c r="U210" i="2"/>
  <c r="I221" i="2"/>
  <c r="I259" i="2"/>
  <c r="W259" i="2"/>
  <c r="I267" i="2"/>
  <c r="W267" i="2"/>
  <c r="I288" i="2"/>
  <c r="Q310" i="2"/>
  <c r="U316" i="2"/>
  <c r="P318" i="2"/>
  <c r="I326" i="2"/>
  <c r="W326" i="2"/>
  <c r="H58" i="3"/>
  <c r="H77" i="3"/>
  <c r="H94" i="3"/>
  <c r="O127" i="3"/>
  <c r="V127" i="3" s="1"/>
  <c r="O152" i="3"/>
  <c r="H178" i="3"/>
  <c r="O181" i="3"/>
  <c r="O182" i="3"/>
  <c r="P182" i="3" s="1"/>
  <c r="H254" i="3"/>
  <c r="H273" i="3"/>
  <c r="H291" i="3"/>
  <c r="P305" i="3"/>
  <c r="V17" i="4"/>
  <c r="V29" i="4"/>
  <c r="P70" i="4"/>
  <c r="H78" i="4"/>
  <c r="T78" i="4"/>
  <c r="H93" i="4"/>
  <c r="P101" i="4"/>
  <c r="H103" i="4"/>
  <c r="H124" i="4"/>
  <c r="H130" i="4"/>
  <c r="H144" i="4"/>
  <c r="O182" i="4"/>
  <c r="V182" i="4" s="1"/>
  <c r="H182" i="4"/>
  <c r="O195" i="4"/>
  <c r="H195" i="4"/>
  <c r="O315" i="4"/>
  <c r="U315" i="4" s="1"/>
  <c r="H315" i="4"/>
  <c r="U45" i="5"/>
  <c r="U57" i="5"/>
  <c r="V86" i="5"/>
  <c r="W86" i="5"/>
  <c r="Q86" i="5"/>
  <c r="V107" i="5"/>
  <c r="Q107" i="5"/>
  <c r="U183" i="5"/>
  <c r="U192" i="5"/>
  <c r="V196" i="5"/>
  <c r="U196" i="5"/>
  <c r="Q196" i="5"/>
  <c r="V199" i="5"/>
  <c r="U224" i="5"/>
  <c r="U248" i="5"/>
  <c r="W249" i="5"/>
  <c r="Q249" i="5"/>
  <c r="U274" i="5"/>
  <c r="W24" i="7"/>
  <c r="R24" i="7"/>
  <c r="W58" i="7"/>
  <c r="R58" i="7"/>
  <c r="V58" i="7"/>
  <c r="V275" i="4"/>
  <c r="T279" i="4"/>
  <c r="T306" i="4"/>
  <c r="T312" i="4"/>
  <c r="U21" i="5"/>
  <c r="U28" i="5"/>
  <c r="W34" i="5"/>
  <c r="U48" i="5"/>
  <c r="W54" i="5"/>
  <c r="U65" i="5"/>
  <c r="U77" i="5"/>
  <c r="U92" i="5"/>
  <c r="U110" i="5"/>
  <c r="U114" i="5"/>
  <c r="W145" i="5"/>
  <c r="U156" i="5"/>
  <c r="U164" i="5"/>
  <c r="U168" i="5"/>
  <c r="V174" i="5"/>
  <c r="U184" i="5"/>
  <c r="U204" i="5"/>
  <c r="W222" i="5"/>
  <c r="W229" i="5"/>
  <c r="U236" i="5"/>
  <c r="U244" i="5"/>
  <c r="U256" i="5"/>
  <c r="U278" i="5"/>
  <c r="U291" i="5"/>
  <c r="O269" i="4"/>
  <c r="Q63" i="1"/>
  <c r="U63" i="1"/>
  <c r="L163" i="1"/>
  <c r="P238" i="1"/>
  <c r="V238" i="1" s="1"/>
  <c r="I238" i="1"/>
  <c r="O13" i="4"/>
  <c r="H13" i="4"/>
  <c r="T201" i="4"/>
  <c r="U201" i="4"/>
  <c r="P201" i="4"/>
  <c r="I20" i="1"/>
  <c r="V87" i="1"/>
  <c r="P99" i="1"/>
  <c r="Q99" i="1" s="1"/>
  <c r="W101" i="1"/>
  <c r="U101" i="1"/>
  <c r="L119" i="1"/>
  <c r="W136" i="1"/>
  <c r="U149" i="1"/>
  <c r="I149" i="1"/>
  <c r="U161" i="1"/>
  <c r="I161" i="1"/>
  <c r="V168" i="1"/>
  <c r="L168" i="1"/>
  <c r="V176" i="1"/>
  <c r="L176" i="1"/>
  <c r="W187" i="1"/>
  <c r="U187" i="1"/>
  <c r="V200" i="1"/>
  <c r="W200" i="1"/>
  <c r="V208" i="1"/>
  <c r="W208" i="1"/>
  <c r="P230" i="1"/>
  <c r="V230" i="1" s="1"/>
  <c r="U232" i="1"/>
  <c r="P325" i="1"/>
  <c r="V325" i="1" s="1"/>
  <c r="I325" i="1"/>
  <c r="W41" i="2"/>
  <c r="U41" i="2"/>
  <c r="W70" i="2"/>
  <c r="U70" i="2"/>
  <c r="L95" i="2"/>
  <c r="P103" i="2"/>
  <c r="V103" i="2" s="1"/>
  <c r="I103" i="2"/>
  <c r="W202" i="2"/>
  <c r="U202" i="2"/>
  <c r="V207" i="2"/>
  <c r="U207" i="2"/>
  <c r="Q207" i="2"/>
  <c r="V228" i="2"/>
  <c r="W228" i="2"/>
  <c r="Q228" i="2"/>
  <c r="P294" i="2"/>
  <c r="I294" i="2"/>
  <c r="Q324" i="2"/>
  <c r="U324" i="2"/>
  <c r="K177" i="3"/>
  <c r="O177" i="3"/>
  <c r="P177" i="3" s="1"/>
  <c r="O142" i="4"/>
  <c r="V142" i="4" s="1"/>
  <c r="H142" i="4"/>
  <c r="W63" i="1"/>
  <c r="I121" i="1"/>
  <c r="I268" i="1"/>
  <c r="P282" i="1"/>
  <c r="V282" i="1" s="1"/>
  <c r="V72" i="2"/>
  <c r="W72" i="2"/>
  <c r="Q72" i="2"/>
  <c r="L98" i="2"/>
  <c r="W147" i="2"/>
  <c r="Q147" i="2"/>
  <c r="P234" i="2"/>
  <c r="I234" i="2"/>
  <c r="P250" i="2"/>
  <c r="I250" i="2"/>
  <c r="V318" i="2"/>
  <c r="Q318" i="2"/>
  <c r="V186" i="3"/>
  <c r="T186" i="3"/>
  <c r="U279" i="3"/>
  <c r="V279" i="3"/>
  <c r="P279" i="3"/>
  <c r="O289" i="3"/>
  <c r="H289" i="3"/>
  <c r="V307" i="3"/>
  <c r="T307" i="3"/>
  <c r="O15" i="4"/>
  <c r="T15" i="4" s="1"/>
  <c r="H15" i="4"/>
  <c r="H192" i="4"/>
  <c r="O192" i="4"/>
  <c r="U192" i="4" s="1"/>
  <c r="H194" i="4"/>
  <c r="O194" i="4"/>
  <c r="T205" i="4"/>
  <c r="U205" i="4"/>
  <c r="P205" i="4"/>
  <c r="P212" i="4"/>
  <c r="T212" i="4"/>
  <c r="U212" i="4"/>
  <c r="W13" i="1"/>
  <c r="W20" i="1"/>
  <c r="Q26" i="1"/>
  <c r="O13" i="1"/>
  <c r="U24" i="1"/>
  <c r="P24" i="1"/>
  <c r="U28" i="1"/>
  <c r="Q35" i="1"/>
  <c r="U38" i="1"/>
  <c r="U42" i="1"/>
  <c r="I51" i="1"/>
  <c r="P54" i="1"/>
  <c r="I55" i="1"/>
  <c r="W55" i="1"/>
  <c r="I57" i="1"/>
  <c r="W57" i="1"/>
  <c r="I61" i="1"/>
  <c r="W61" i="1"/>
  <c r="I63" i="1"/>
  <c r="U64" i="1"/>
  <c r="U68" i="1"/>
  <c r="U72" i="1"/>
  <c r="I82" i="1"/>
  <c r="L87" i="1"/>
  <c r="I89" i="1"/>
  <c r="W107" i="1"/>
  <c r="U107" i="1"/>
  <c r="I110" i="1"/>
  <c r="P116" i="1"/>
  <c r="Q116" i="1" s="1"/>
  <c r="I116" i="1"/>
  <c r="W133" i="1"/>
  <c r="L135" i="1"/>
  <c r="V136" i="1"/>
  <c r="L136" i="1"/>
  <c r="V147" i="1"/>
  <c r="L147" i="1"/>
  <c r="V155" i="1"/>
  <c r="L155" i="1"/>
  <c r="V159" i="1"/>
  <c r="L159" i="1"/>
  <c r="V172" i="1"/>
  <c r="I180" i="1"/>
  <c r="I193" i="1"/>
  <c r="W193" i="1"/>
  <c r="Q200" i="1"/>
  <c r="W206" i="1"/>
  <c r="U206" i="1"/>
  <c r="Q208" i="1"/>
  <c r="P292" i="1"/>
  <c r="V292" i="1" s="1"/>
  <c r="I292" i="1"/>
  <c r="P316" i="1"/>
  <c r="U316" i="1" s="1"/>
  <c r="O316" i="1"/>
  <c r="R334" i="2"/>
  <c r="P74" i="2"/>
  <c r="I74" i="2"/>
  <c r="P78" i="2"/>
  <c r="I78" i="2"/>
  <c r="O134" i="2"/>
  <c r="P134" i="2"/>
  <c r="W205" i="2"/>
  <c r="U205" i="2"/>
  <c r="P238" i="2"/>
  <c r="I238" i="2"/>
  <c r="P282" i="2"/>
  <c r="V282" i="2" s="1"/>
  <c r="I282" i="2"/>
  <c r="V299" i="2"/>
  <c r="W299" i="2"/>
  <c r="Q299" i="2"/>
  <c r="W330" i="2"/>
  <c r="U330" i="2"/>
  <c r="K14" i="3"/>
  <c r="O19" i="3"/>
  <c r="H19" i="3"/>
  <c r="V35" i="3"/>
  <c r="T35" i="3"/>
  <c r="U67" i="3"/>
  <c r="P67" i="3"/>
  <c r="V67" i="3"/>
  <c r="U70" i="3"/>
  <c r="T70" i="3"/>
  <c r="P70" i="3"/>
  <c r="V70" i="3"/>
  <c r="T121" i="3"/>
  <c r="O121" i="3"/>
  <c r="H121" i="3"/>
  <c r="K128" i="3"/>
  <c r="O74" i="4"/>
  <c r="H74" i="4"/>
  <c r="O94" i="4"/>
  <c r="V94" i="4" s="1"/>
  <c r="H94" i="4"/>
  <c r="O105" i="4"/>
  <c r="H105" i="4"/>
  <c r="O116" i="4"/>
  <c r="V116" i="4" s="1"/>
  <c r="H116" i="4"/>
  <c r="V24" i="1"/>
  <c r="O132" i="1"/>
  <c r="L151" i="1"/>
  <c r="W202" i="1"/>
  <c r="U202" i="1"/>
  <c r="W210" i="1"/>
  <c r="U210" i="1"/>
  <c r="P25" i="2"/>
  <c r="I25" i="2"/>
  <c r="P242" i="2"/>
  <c r="I242" i="2"/>
  <c r="P277" i="2"/>
  <c r="I277" i="2"/>
  <c r="P290" i="2"/>
  <c r="V290" i="2" s="1"/>
  <c r="I290" i="2"/>
  <c r="V49" i="3"/>
  <c r="T49" i="3"/>
  <c r="O271" i="3"/>
  <c r="U271" i="3" s="1"/>
  <c r="H271" i="3"/>
  <c r="O284" i="4"/>
  <c r="U284" i="4" s="1"/>
  <c r="H284" i="4"/>
  <c r="P13" i="1"/>
  <c r="V13" i="1" s="1"/>
  <c r="P14" i="1"/>
  <c r="P23" i="1"/>
  <c r="V23" i="1" s="1"/>
  <c r="W26" i="1"/>
  <c r="P32" i="1"/>
  <c r="Q39" i="1"/>
  <c r="Q43" i="1"/>
  <c r="P45" i="1"/>
  <c r="Q45" i="1" s="1"/>
  <c r="P46" i="1"/>
  <c r="V46" i="1" s="1"/>
  <c r="V63" i="1"/>
  <c r="Q65" i="1"/>
  <c r="Q69" i="1"/>
  <c r="U84" i="1"/>
  <c r="P121" i="1"/>
  <c r="U121" i="1" s="1"/>
  <c r="V133" i="1"/>
  <c r="L133" i="1"/>
  <c r="P151" i="1"/>
  <c r="V151" i="1" s="1"/>
  <c r="U153" i="1"/>
  <c r="I153" i="1"/>
  <c r="P163" i="1"/>
  <c r="V163" i="1" s="1"/>
  <c r="P165" i="1"/>
  <c r="V165" i="1" s="1"/>
  <c r="I165" i="1"/>
  <c r="P170" i="1"/>
  <c r="L172" i="1"/>
  <c r="I184" i="1"/>
  <c r="V204" i="1"/>
  <c r="W204" i="1"/>
  <c r="V212" i="1"/>
  <c r="W212" i="1"/>
  <c r="U215" i="1"/>
  <c r="P224" i="1"/>
  <c r="I224" i="1"/>
  <c r="I244" i="1"/>
  <c r="P246" i="1"/>
  <c r="V246" i="1" s="1"/>
  <c r="I246" i="1"/>
  <c r="P268" i="1"/>
  <c r="W268" i="1" s="1"/>
  <c r="Q319" i="1"/>
  <c r="U319" i="1"/>
  <c r="P32" i="2"/>
  <c r="W32" i="2" s="1"/>
  <c r="I32" i="2"/>
  <c r="W37" i="2"/>
  <c r="U37" i="2"/>
  <c r="V101" i="2"/>
  <c r="W101" i="2"/>
  <c r="Q101" i="2"/>
  <c r="W123" i="2"/>
  <c r="Q123" i="2"/>
  <c r="P199" i="2"/>
  <c r="W199" i="2" s="1"/>
  <c r="I199" i="2"/>
  <c r="P223" i="2"/>
  <c r="V223" i="2" s="1"/>
  <c r="I223" i="2"/>
  <c r="P230" i="2"/>
  <c r="U230" i="2" s="1"/>
  <c r="I230" i="2"/>
  <c r="W279" i="2"/>
  <c r="U279" i="2"/>
  <c r="P298" i="2"/>
  <c r="U298" i="2" s="1"/>
  <c r="I298" i="2"/>
  <c r="N13" i="3"/>
  <c r="V26" i="3"/>
  <c r="T26" i="3"/>
  <c r="O52" i="3"/>
  <c r="U52" i="3" s="1"/>
  <c r="H52" i="3"/>
  <c r="V65" i="3"/>
  <c r="T65" i="3"/>
  <c r="O90" i="3"/>
  <c r="T90" i="3" s="1"/>
  <c r="H90" i="3"/>
  <c r="O91" i="3"/>
  <c r="T91" i="3"/>
  <c r="U101" i="3"/>
  <c r="V101" i="3"/>
  <c r="P101" i="3"/>
  <c r="U257" i="1"/>
  <c r="U286" i="1"/>
  <c r="U31" i="2"/>
  <c r="P31" i="2"/>
  <c r="P45" i="2"/>
  <c r="V45" i="2" s="1"/>
  <c r="P86" i="2"/>
  <c r="P96" i="2"/>
  <c r="W96" i="2" s="1"/>
  <c r="P116" i="2"/>
  <c r="W116" i="2" s="1"/>
  <c r="U122" i="2"/>
  <c r="P122" i="2"/>
  <c r="P146" i="2"/>
  <c r="W146" i="2" s="1"/>
  <c r="P162" i="2"/>
  <c r="U162" i="2" s="1"/>
  <c r="P167" i="2"/>
  <c r="W167" i="2" s="1"/>
  <c r="W211" i="2"/>
  <c r="W214" i="2"/>
  <c r="W306" i="2"/>
  <c r="W312" i="2"/>
  <c r="O13" i="3"/>
  <c r="P13" i="3" s="1"/>
  <c r="U24" i="3"/>
  <c r="V30" i="3"/>
  <c r="U37" i="3"/>
  <c r="P37" i="3"/>
  <c r="O56" i="3"/>
  <c r="U56" i="3" s="1"/>
  <c r="H56" i="3"/>
  <c r="O73" i="3"/>
  <c r="H73" i="3"/>
  <c r="O85" i="3"/>
  <c r="H85" i="3"/>
  <c r="H87" i="3"/>
  <c r="O92" i="3"/>
  <c r="H92" i="3"/>
  <c r="H93" i="3"/>
  <c r="O93" i="3"/>
  <c r="V93" i="3" s="1"/>
  <c r="V111" i="3"/>
  <c r="P111" i="3"/>
  <c r="K134" i="3"/>
  <c r="O134" i="3"/>
  <c r="T134" i="3" s="1"/>
  <c r="O256" i="3"/>
  <c r="H256" i="3"/>
  <c r="V316" i="3"/>
  <c r="T316" i="3"/>
  <c r="U38" i="4"/>
  <c r="T38" i="4"/>
  <c r="P38" i="4"/>
  <c r="U44" i="4"/>
  <c r="T44" i="4"/>
  <c r="P44" i="4"/>
  <c r="V91" i="4"/>
  <c r="P91" i="4"/>
  <c r="O162" i="4"/>
  <c r="V162" i="4" s="1"/>
  <c r="H162" i="4"/>
  <c r="O178" i="4"/>
  <c r="H178" i="4"/>
  <c r="O184" i="4"/>
  <c r="V184" i="4" s="1"/>
  <c r="H184" i="4"/>
  <c r="O197" i="4"/>
  <c r="T197" i="4" s="1"/>
  <c r="H197" i="4"/>
  <c r="U208" i="4"/>
  <c r="V208" i="4"/>
  <c r="P208" i="4"/>
  <c r="V99" i="1"/>
  <c r="V111" i="1"/>
  <c r="P113" i="1"/>
  <c r="P115" i="1"/>
  <c r="V115" i="1" s="1"/>
  <c r="P129" i="1"/>
  <c r="V129" i="1" s="1"/>
  <c r="V131" i="1"/>
  <c r="P132" i="1"/>
  <c r="Q132" i="1" s="1"/>
  <c r="P134" i="1"/>
  <c r="Q134" i="1" s="1"/>
  <c r="V143" i="1"/>
  <c r="P145" i="1"/>
  <c r="U157" i="1"/>
  <c r="P157" i="1"/>
  <c r="V177" i="1"/>
  <c r="V181" i="1"/>
  <c r="P183" i="1"/>
  <c r="U183" i="1" s="1"/>
  <c r="U219" i="1"/>
  <c r="P225" i="1"/>
  <c r="U259" i="1"/>
  <c r="U270" i="1"/>
  <c r="I275" i="1"/>
  <c r="I294" i="1"/>
  <c r="W300" i="1"/>
  <c r="W304" i="1"/>
  <c r="W308" i="1"/>
  <c r="W310" i="1"/>
  <c r="W319" i="1"/>
  <c r="P320" i="1"/>
  <c r="U320" i="1" s="1"/>
  <c r="I31" i="2"/>
  <c r="Q34" i="2"/>
  <c r="I45" i="2"/>
  <c r="I48" i="2"/>
  <c r="W48" i="2"/>
  <c r="Q84" i="2"/>
  <c r="I90" i="2"/>
  <c r="I94" i="2"/>
  <c r="W94" i="2"/>
  <c r="P97" i="2"/>
  <c r="W97" i="2" s="1"/>
  <c r="I105" i="2"/>
  <c r="I116" i="2"/>
  <c r="I122" i="2"/>
  <c r="P126" i="2"/>
  <c r="V126" i="2" s="1"/>
  <c r="I140" i="2"/>
  <c r="P142" i="2"/>
  <c r="U142" i="2" s="1"/>
  <c r="I146" i="2"/>
  <c r="P150" i="2"/>
  <c r="W150" i="2" s="1"/>
  <c r="P152" i="2"/>
  <c r="P158" i="2"/>
  <c r="V158" i="2" s="1"/>
  <c r="I162" i="2"/>
  <c r="I167" i="2"/>
  <c r="P184" i="2"/>
  <c r="U184" i="2" s="1"/>
  <c r="W203" i="2"/>
  <c r="Q211" i="2"/>
  <c r="Q214" i="2"/>
  <c r="Q215" i="2"/>
  <c r="I217" i="2"/>
  <c r="I246" i="2"/>
  <c r="W253" i="2"/>
  <c r="I257" i="2"/>
  <c r="W257" i="2"/>
  <c r="I261" i="2"/>
  <c r="W261" i="2"/>
  <c r="I265" i="2"/>
  <c r="W265" i="2"/>
  <c r="I269" i="2"/>
  <c r="U274" i="2"/>
  <c r="W275" i="2"/>
  <c r="I284" i="2"/>
  <c r="I292" i="2"/>
  <c r="U302" i="2"/>
  <c r="W303" i="2"/>
  <c r="Q306" i="2"/>
  <c r="Q307" i="2"/>
  <c r="Q312" i="2"/>
  <c r="I315" i="2"/>
  <c r="W315" i="2"/>
  <c r="W324" i="2"/>
  <c r="I327" i="2"/>
  <c r="Q329" i="2"/>
  <c r="U13" i="3"/>
  <c r="H16" i="3"/>
  <c r="V16" i="3"/>
  <c r="K24" i="3"/>
  <c r="V27" i="3"/>
  <c r="P30" i="3"/>
  <c r="U36" i="3"/>
  <c r="P36" i="3"/>
  <c r="O60" i="3"/>
  <c r="U60" i="3" s="1"/>
  <c r="H60" i="3"/>
  <c r="U66" i="3"/>
  <c r="P66" i="3"/>
  <c r="T66" i="3"/>
  <c r="U71" i="3"/>
  <c r="V71" i="3"/>
  <c r="P71" i="3"/>
  <c r="U87" i="3"/>
  <c r="O103" i="3"/>
  <c r="T103" i="3" s="1"/>
  <c r="H103" i="3"/>
  <c r="H104" i="3"/>
  <c r="O104" i="3"/>
  <c r="U104" i="3" s="1"/>
  <c r="O105" i="3"/>
  <c r="U105" i="3" s="1"/>
  <c r="H105" i="3"/>
  <c r="O115" i="3"/>
  <c r="H115" i="3"/>
  <c r="T158" i="3"/>
  <c r="H158" i="3"/>
  <c r="V166" i="3"/>
  <c r="T166" i="3"/>
  <c r="O227" i="3"/>
  <c r="T227" i="3" s="1"/>
  <c r="N227" i="3"/>
  <c r="O233" i="3"/>
  <c r="U233" i="3" s="1"/>
  <c r="H233" i="3"/>
  <c r="V253" i="3"/>
  <c r="T253" i="3"/>
  <c r="O281" i="3"/>
  <c r="H281" i="3"/>
  <c r="N321" i="3"/>
  <c r="O321" i="3"/>
  <c r="O24" i="4"/>
  <c r="H24" i="4"/>
  <c r="K63" i="4"/>
  <c r="O63" i="4"/>
  <c r="P63" i="4" s="1"/>
  <c r="O80" i="4"/>
  <c r="H80" i="4"/>
  <c r="O86" i="4"/>
  <c r="V86" i="4" s="1"/>
  <c r="H86" i="4"/>
  <c r="O158" i="4"/>
  <c r="V158" i="4" s="1"/>
  <c r="H158" i="4"/>
  <c r="O171" i="4"/>
  <c r="V171" i="4" s="1"/>
  <c r="H171" i="4"/>
  <c r="O199" i="4"/>
  <c r="T199" i="4" s="1"/>
  <c r="H199" i="4"/>
  <c r="I115" i="1"/>
  <c r="P119" i="1"/>
  <c r="V119" i="1" s="1"/>
  <c r="P125" i="1"/>
  <c r="V125" i="1" s="1"/>
  <c r="I129" i="1"/>
  <c r="L131" i="1"/>
  <c r="P135" i="1"/>
  <c r="Q135" i="1" s="1"/>
  <c r="V137" i="1"/>
  <c r="P139" i="1"/>
  <c r="V139" i="1" s="1"/>
  <c r="I157" i="1"/>
  <c r="P172" i="1"/>
  <c r="L181" i="1"/>
  <c r="I191" i="1"/>
  <c r="W191" i="1"/>
  <c r="I235" i="1"/>
  <c r="Q272" i="1"/>
  <c r="U277" i="1"/>
  <c r="U291" i="1"/>
  <c r="U299" i="1"/>
  <c r="U303" i="1"/>
  <c r="U307" i="1"/>
  <c r="U313" i="1"/>
  <c r="O319" i="1"/>
  <c r="U328" i="1"/>
  <c r="P20" i="2"/>
  <c r="P24" i="2"/>
  <c r="V31" i="2"/>
  <c r="Q38" i="2"/>
  <c r="Q42" i="2"/>
  <c r="Q64" i="2"/>
  <c r="U67" i="2"/>
  <c r="I76" i="2"/>
  <c r="W76" i="2"/>
  <c r="I80" i="2"/>
  <c r="W80" i="2"/>
  <c r="P88" i="2"/>
  <c r="U88" i="2" s="1"/>
  <c r="P95" i="2"/>
  <c r="V95" i="2" s="1"/>
  <c r="P98" i="2"/>
  <c r="V98" i="2" s="1"/>
  <c r="U107" i="2"/>
  <c r="V122" i="2"/>
  <c r="I126" i="2"/>
  <c r="P130" i="2"/>
  <c r="U130" i="2" s="1"/>
  <c r="U154" i="2"/>
  <c r="P154" i="2"/>
  <c r="V162" i="2"/>
  <c r="P168" i="2"/>
  <c r="Q168" i="2" s="1"/>
  <c r="P169" i="2"/>
  <c r="W169" i="2" s="1"/>
  <c r="P176" i="2"/>
  <c r="P177" i="2"/>
  <c r="P180" i="2"/>
  <c r="W180" i="2" s="1"/>
  <c r="I184" i="2"/>
  <c r="U186" i="2"/>
  <c r="W187" i="2"/>
  <c r="U198" i="2"/>
  <c r="Q203" i="2"/>
  <c r="U209" i="2"/>
  <c r="W232" i="2"/>
  <c r="W274" i="2"/>
  <c r="U301" i="2"/>
  <c r="W302" i="2"/>
  <c r="U309" i="2"/>
  <c r="W310" i="2"/>
  <c r="W318" i="2"/>
  <c r="O14" i="3"/>
  <c r="H21" i="3"/>
  <c r="P27" i="3"/>
  <c r="P28" i="3"/>
  <c r="O32" i="3"/>
  <c r="V32" i="3" s="1"/>
  <c r="V37" i="3"/>
  <c r="P63" i="3"/>
  <c r="V63" i="3"/>
  <c r="T107" i="3"/>
  <c r="T130" i="3"/>
  <c r="H130" i="3"/>
  <c r="V198" i="3"/>
  <c r="T198" i="3"/>
  <c r="V210" i="3"/>
  <c r="T210" i="3"/>
  <c r="O218" i="3"/>
  <c r="H218" i="3"/>
  <c r="O222" i="3"/>
  <c r="H222" i="3"/>
  <c r="O251" i="3"/>
  <c r="H251" i="3"/>
  <c r="O264" i="3"/>
  <c r="H264" i="3"/>
  <c r="U309" i="3"/>
  <c r="T309" i="3"/>
  <c r="P309" i="3"/>
  <c r="U26" i="4"/>
  <c r="T26" i="4"/>
  <c r="P26" i="4"/>
  <c r="V38" i="4"/>
  <c r="V44" i="4"/>
  <c r="O48" i="4"/>
  <c r="H48" i="4"/>
  <c r="O77" i="4"/>
  <c r="H77" i="4"/>
  <c r="O102" i="4"/>
  <c r="H102" i="4"/>
  <c r="O112" i="4"/>
  <c r="H112" i="4"/>
  <c r="O138" i="4"/>
  <c r="U138" i="4" s="1"/>
  <c r="H138" i="4"/>
  <c r="V139" i="4"/>
  <c r="P139" i="4"/>
  <c r="O146" i="4"/>
  <c r="V146" i="4" s="1"/>
  <c r="H146" i="4"/>
  <c r="T43" i="3"/>
  <c r="V44" i="3"/>
  <c r="U47" i="3"/>
  <c r="P127" i="3"/>
  <c r="O137" i="3"/>
  <c r="O138" i="3"/>
  <c r="O144" i="3"/>
  <c r="O148" i="3"/>
  <c r="V148" i="3" s="1"/>
  <c r="U160" i="3"/>
  <c r="T162" i="3"/>
  <c r="O162" i="3"/>
  <c r="U164" i="3"/>
  <c r="O169" i="3"/>
  <c r="O173" i="3"/>
  <c r="U173" i="3" s="1"/>
  <c r="P176" i="3"/>
  <c r="U182" i="3"/>
  <c r="O184" i="3"/>
  <c r="V184" i="3" s="1"/>
  <c r="V187" i="3"/>
  <c r="T202" i="3"/>
  <c r="T206" i="3"/>
  <c r="T215" i="3"/>
  <c r="T228" i="3"/>
  <c r="V301" i="3"/>
  <c r="T312" i="3"/>
  <c r="V329" i="3"/>
  <c r="O14" i="4"/>
  <c r="P14" i="4" s="1"/>
  <c r="V16" i="4"/>
  <c r="V28" i="4"/>
  <c r="V34" i="4"/>
  <c r="T36" i="4"/>
  <c r="V40" i="4"/>
  <c r="T45" i="4"/>
  <c r="V66" i="4"/>
  <c r="T68" i="4"/>
  <c r="V72" i="4"/>
  <c r="T81" i="4"/>
  <c r="V84" i="4"/>
  <c r="O125" i="4"/>
  <c r="O129" i="4"/>
  <c r="T129" i="4" s="1"/>
  <c r="T130" i="4"/>
  <c r="T152" i="4"/>
  <c r="O153" i="4"/>
  <c r="V166" i="4"/>
  <c r="T185" i="4"/>
  <c r="O190" i="4"/>
  <c r="O196" i="4"/>
  <c r="U196" i="4" s="1"/>
  <c r="V203" i="4"/>
  <c r="U206" i="4"/>
  <c r="U207" i="4"/>
  <c r="T207" i="4"/>
  <c r="T215" i="4"/>
  <c r="P215" i="4"/>
  <c r="O230" i="4"/>
  <c r="H230" i="4"/>
  <c r="O238" i="4"/>
  <c r="P238" i="4" s="1"/>
  <c r="H238" i="4"/>
  <c r="V301" i="4"/>
  <c r="T301" i="4"/>
  <c r="N320" i="4"/>
  <c r="O320" i="4"/>
  <c r="P320" i="4" s="1"/>
  <c r="U138" i="3"/>
  <c r="O146" i="3"/>
  <c r="U146" i="3" s="1"/>
  <c r="O155" i="3"/>
  <c r="V155" i="3" s="1"/>
  <c r="U158" i="3"/>
  <c r="O180" i="3"/>
  <c r="T180" i="3" s="1"/>
  <c r="V312" i="3"/>
  <c r="V36" i="4"/>
  <c r="V68" i="4"/>
  <c r="T122" i="4"/>
  <c r="V185" i="4"/>
  <c r="V213" i="4"/>
  <c r="T213" i="4"/>
  <c r="U228" i="4"/>
  <c r="P228" i="4"/>
  <c r="O272" i="4"/>
  <c r="T272" i="4" s="1"/>
  <c r="H272" i="4"/>
  <c r="O292" i="4"/>
  <c r="U292" i="4" s="1"/>
  <c r="H292" i="4"/>
  <c r="V324" i="4"/>
  <c r="N324" i="4"/>
  <c r="O324" i="4"/>
  <c r="U324" i="4" s="1"/>
  <c r="O327" i="4"/>
  <c r="H327" i="4"/>
  <c r="V40" i="3"/>
  <c r="U63" i="3"/>
  <c r="T114" i="3"/>
  <c r="O122" i="3"/>
  <c r="P122" i="3" s="1"/>
  <c r="O126" i="3"/>
  <c r="T126" i="3" s="1"/>
  <c r="O128" i="3"/>
  <c r="U128" i="3" s="1"/>
  <c r="K138" i="3"/>
  <c r="H140" i="3"/>
  <c r="O142" i="3"/>
  <c r="T142" i="3" s="1"/>
  <c r="H146" i="3"/>
  <c r="T150" i="3"/>
  <c r="O150" i="3"/>
  <c r="U150" i="3" s="1"/>
  <c r="O154" i="3"/>
  <c r="U154" i="3" s="1"/>
  <c r="H155" i="3"/>
  <c r="O156" i="3"/>
  <c r="U156" i="3" s="1"/>
  <c r="O159" i="3"/>
  <c r="T167" i="3"/>
  <c r="O167" i="3"/>
  <c r="O171" i="3"/>
  <c r="T171" i="3" s="1"/>
  <c r="H180" i="3"/>
  <c r="P187" i="3"/>
  <c r="H216" i="3"/>
  <c r="V216" i="3"/>
  <c r="H220" i="3"/>
  <c r="V220" i="3"/>
  <c r="V225" i="3"/>
  <c r="H229" i="3"/>
  <c r="H237" i="3"/>
  <c r="H260" i="3"/>
  <c r="H268" i="3"/>
  <c r="T276" i="3"/>
  <c r="H285" i="3"/>
  <c r="T293" i="3"/>
  <c r="T299" i="3"/>
  <c r="T304" i="3"/>
  <c r="V305" i="3"/>
  <c r="P312" i="3"/>
  <c r="O319" i="3"/>
  <c r="U319" i="3" s="1"/>
  <c r="K13" i="4"/>
  <c r="H17" i="4"/>
  <c r="T17" i="4"/>
  <c r="H22" i="4"/>
  <c r="T22" i="4"/>
  <c r="V23" i="4"/>
  <c r="H29" i="4"/>
  <c r="T29" i="4"/>
  <c r="T32" i="4"/>
  <c r="P36" i="4"/>
  <c r="V42" i="4"/>
  <c r="V64" i="4"/>
  <c r="P68" i="4"/>
  <c r="V70" i="4"/>
  <c r="H73" i="4"/>
  <c r="H85" i="4"/>
  <c r="U95" i="4"/>
  <c r="U96" i="4"/>
  <c r="U97" i="4"/>
  <c r="U98" i="4"/>
  <c r="V101" i="4"/>
  <c r="H104" i="4"/>
  <c r="H122" i="4"/>
  <c r="O122" i="4"/>
  <c r="V122" i="4" s="1"/>
  <c r="H128" i="4"/>
  <c r="O128" i="4"/>
  <c r="T128" i="4" s="1"/>
  <c r="K138" i="4"/>
  <c r="H141" i="4"/>
  <c r="T144" i="4"/>
  <c r="O145" i="4"/>
  <c r="U145" i="4" s="1"/>
  <c r="H150" i="4"/>
  <c r="O150" i="4"/>
  <c r="V150" i="4" s="1"/>
  <c r="H154" i="4"/>
  <c r="O154" i="4"/>
  <c r="V154" i="4" s="1"/>
  <c r="T160" i="4"/>
  <c r="O161" i="4"/>
  <c r="H167" i="4"/>
  <c r="O167" i="4"/>
  <c r="V167" i="4" s="1"/>
  <c r="T173" i="4"/>
  <c r="O174" i="4"/>
  <c r="H180" i="4"/>
  <c r="O180" i="4"/>
  <c r="V180" i="4" s="1"/>
  <c r="P185" i="4"/>
  <c r="V187" i="4"/>
  <c r="H193" i="4"/>
  <c r="V193" i="4"/>
  <c r="T196" i="4"/>
  <c r="H223" i="4"/>
  <c r="O234" i="4"/>
  <c r="P234" i="4" s="1"/>
  <c r="H234" i="4"/>
  <c r="H240" i="4"/>
  <c r="O250" i="4"/>
  <c r="H250" i="4"/>
  <c r="P274" i="4"/>
  <c r="P275" i="4"/>
  <c r="H286" i="4"/>
  <c r="V299" i="4"/>
  <c r="V302" i="4"/>
  <c r="P306" i="4"/>
  <c r="P307" i="4"/>
  <c r="T310" i="4"/>
  <c r="P313" i="4"/>
  <c r="N318" i="4"/>
  <c r="V330" i="4"/>
  <c r="W17" i="5"/>
  <c r="W29" i="5"/>
  <c r="W37" i="5"/>
  <c r="W49" i="5"/>
  <c r="W61" i="5"/>
  <c r="W69" i="5"/>
  <c r="W81" i="5"/>
  <c r="W93" i="5"/>
  <c r="V101" i="5"/>
  <c r="U101" i="5"/>
  <c r="V123" i="5"/>
  <c r="U123" i="5"/>
  <c r="V141" i="5"/>
  <c r="Q141" i="5"/>
  <c r="U166" i="5"/>
  <c r="V166" i="5"/>
  <c r="V177" i="5"/>
  <c r="W177" i="5"/>
  <c r="V180" i="5"/>
  <c r="Q180" i="5"/>
  <c r="V188" i="5"/>
  <c r="U188" i="5"/>
  <c r="V200" i="5"/>
  <c r="U200" i="5"/>
  <c r="V206" i="5"/>
  <c r="W206" i="5"/>
  <c r="V208" i="5"/>
  <c r="Q208" i="5"/>
  <c r="V213" i="5"/>
  <c r="Q213" i="5"/>
  <c r="V225" i="5"/>
  <c r="W225" i="5"/>
  <c r="V238" i="5"/>
  <c r="W238" i="5"/>
  <c r="V258" i="5"/>
  <c r="W258" i="5"/>
  <c r="W260" i="5"/>
  <c r="U260" i="5"/>
  <c r="V271" i="5"/>
  <c r="W271" i="5"/>
  <c r="V295" i="5"/>
  <c r="U295" i="5"/>
  <c r="V212" i="4"/>
  <c r="P214" i="4"/>
  <c r="H242" i="4"/>
  <c r="H246" i="4"/>
  <c r="H252" i="4"/>
  <c r="P253" i="4"/>
  <c r="H255" i="4"/>
  <c r="V255" i="4"/>
  <c r="H259" i="4"/>
  <c r="V259" i="4"/>
  <c r="H263" i="4"/>
  <c r="V263" i="4"/>
  <c r="H267" i="4"/>
  <c r="V267" i="4"/>
  <c r="T309" i="4"/>
  <c r="V310" i="4"/>
  <c r="H317" i="4"/>
  <c r="P330" i="4"/>
  <c r="Q17" i="5"/>
  <c r="Q18" i="5"/>
  <c r="W25" i="5"/>
  <c r="Q29" i="5"/>
  <c r="Q30" i="5"/>
  <c r="Q37" i="5"/>
  <c r="Q38" i="5"/>
  <c r="Q49" i="5"/>
  <c r="Q50" i="5"/>
  <c r="W57" i="5"/>
  <c r="Q61" i="5"/>
  <c r="Q62" i="5"/>
  <c r="Q69" i="5"/>
  <c r="Q70" i="5"/>
  <c r="Q81" i="5"/>
  <c r="Q82" i="5"/>
  <c r="W89" i="5"/>
  <c r="Q93" i="5"/>
  <c r="Q94" i="5"/>
  <c r="Q101" i="5"/>
  <c r="U117" i="5"/>
  <c r="V117" i="5"/>
  <c r="U121" i="5"/>
  <c r="V121" i="5"/>
  <c r="U133" i="5"/>
  <c r="V133" i="5"/>
  <c r="V137" i="5"/>
  <c r="W137" i="5"/>
  <c r="V140" i="5"/>
  <c r="Q140" i="5"/>
  <c r="V159" i="5"/>
  <c r="U159" i="5"/>
  <c r="Q166" i="5"/>
  <c r="V176" i="5"/>
  <c r="U176" i="5"/>
  <c r="Q177" i="5"/>
  <c r="U182" i="5"/>
  <c r="V182" i="5"/>
  <c r="Q188" i="5"/>
  <c r="Q200" i="5"/>
  <c r="Q206" i="5"/>
  <c r="V210" i="5"/>
  <c r="W210" i="5"/>
  <c r="V212" i="5"/>
  <c r="Q212" i="5"/>
  <c r="V217" i="5"/>
  <c r="Q217" i="5"/>
  <c r="Q225" i="5"/>
  <c r="W232" i="5"/>
  <c r="U232" i="5"/>
  <c r="Q238" i="5"/>
  <c r="W252" i="5"/>
  <c r="U252" i="5"/>
  <c r="V257" i="5"/>
  <c r="U257" i="5"/>
  <c r="Q258" i="5"/>
  <c r="W264" i="5"/>
  <c r="U264" i="5"/>
  <c r="V270" i="5"/>
  <c r="U270" i="5"/>
  <c r="Q271" i="5"/>
  <c r="W285" i="5"/>
  <c r="U285" i="5"/>
  <c r="V293" i="5"/>
  <c r="W293" i="5"/>
  <c r="Q295" i="5"/>
  <c r="U12" i="5"/>
  <c r="W13" i="5"/>
  <c r="U20" i="5"/>
  <c r="W21" i="5"/>
  <c r="Q25" i="5"/>
  <c r="Q26" i="5"/>
  <c r="U32" i="5"/>
  <c r="W33" i="5"/>
  <c r="U44" i="5"/>
  <c r="W45" i="5"/>
  <c r="U52" i="5"/>
  <c r="W53" i="5"/>
  <c r="Q57" i="5"/>
  <c r="Q58" i="5"/>
  <c r="U64" i="5"/>
  <c r="W65" i="5"/>
  <c r="U73" i="5"/>
  <c r="U76" i="5"/>
  <c r="W77" i="5"/>
  <c r="U84" i="5"/>
  <c r="W85" i="5"/>
  <c r="Q89" i="5"/>
  <c r="Q90" i="5"/>
  <c r="U96" i="5"/>
  <c r="W97" i="5"/>
  <c r="W109" i="5"/>
  <c r="U109" i="5"/>
  <c r="V115" i="5"/>
  <c r="Q115" i="5"/>
  <c r="V119" i="5"/>
  <c r="V120" i="5"/>
  <c r="U120" i="5"/>
  <c r="W126" i="5"/>
  <c r="U126" i="5"/>
  <c r="W130" i="5"/>
  <c r="U130" i="5"/>
  <c r="V132" i="5"/>
  <c r="Q132" i="5"/>
  <c r="V135" i="5"/>
  <c r="V136" i="5"/>
  <c r="U136" i="5"/>
  <c r="Q137" i="5"/>
  <c r="W141" i="5"/>
  <c r="U142" i="5"/>
  <c r="V142" i="5"/>
  <c r="V153" i="5"/>
  <c r="W153" i="5"/>
  <c r="V165" i="5"/>
  <c r="Q165" i="5"/>
  <c r="Q176" i="5"/>
  <c r="U180" i="5"/>
  <c r="Q182" i="5"/>
  <c r="V193" i="5"/>
  <c r="Q193" i="5"/>
  <c r="V205" i="5"/>
  <c r="Q205" i="5"/>
  <c r="U208" i="5"/>
  <c r="Q210" i="5"/>
  <c r="W213" i="5"/>
  <c r="V214" i="5"/>
  <c r="W214" i="5"/>
  <c r="V216" i="5"/>
  <c r="Q216" i="5"/>
  <c r="V230" i="5"/>
  <c r="Q230" i="5"/>
  <c r="V237" i="5"/>
  <c r="Q237" i="5"/>
  <c r="V246" i="5"/>
  <c r="Q246" i="5"/>
  <c r="V250" i="5"/>
  <c r="W250" i="5"/>
  <c r="Q257" i="5"/>
  <c r="Q270" i="5"/>
  <c r="V279" i="5"/>
  <c r="Q279" i="5"/>
  <c r="V283" i="5"/>
  <c r="W283" i="5"/>
  <c r="Q288" i="5"/>
  <c r="Q293" i="5"/>
  <c r="V274" i="4"/>
  <c r="V306" i="4"/>
  <c r="V313" i="4"/>
  <c r="V318" i="4"/>
  <c r="T330" i="4"/>
  <c r="Q13" i="5"/>
  <c r="Q14" i="5"/>
  <c r="U17" i="5"/>
  <c r="W18" i="5"/>
  <c r="Q21" i="5"/>
  <c r="Q22" i="5"/>
  <c r="U29" i="5"/>
  <c r="W30" i="5"/>
  <c r="Q33" i="5"/>
  <c r="Q34" i="5"/>
  <c r="U37" i="5"/>
  <c r="W38" i="5"/>
  <c r="U40" i="5"/>
  <c r="W41" i="5"/>
  <c r="Q45" i="5"/>
  <c r="Q46" i="5"/>
  <c r="U49" i="5"/>
  <c r="W50" i="5"/>
  <c r="Q53" i="5"/>
  <c r="Q54" i="5"/>
  <c r="U61" i="5"/>
  <c r="W62" i="5"/>
  <c r="Q65" i="5"/>
  <c r="Q66" i="5"/>
  <c r="U69" i="5"/>
  <c r="W70" i="5"/>
  <c r="U72" i="5"/>
  <c r="W73" i="5"/>
  <c r="Q77" i="5"/>
  <c r="Q78" i="5"/>
  <c r="U81" i="5"/>
  <c r="W82" i="5"/>
  <c r="Q85" i="5"/>
  <c r="U93" i="5"/>
  <c r="W94" i="5"/>
  <c r="W101" i="5"/>
  <c r="V102" i="5"/>
  <c r="W102" i="5"/>
  <c r="W105" i="5"/>
  <c r="U105" i="5"/>
  <c r="V114" i="5"/>
  <c r="Q114" i="5"/>
  <c r="U140" i="5"/>
  <c r="V151" i="5"/>
  <c r="V152" i="5"/>
  <c r="U152" i="5"/>
  <c r="U158" i="5"/>
  <c r="Q158" i="5"/>
  <c r="V164" i="5"/>
  <c r="Q164" i="5"/>
  <c r="W180" i="5"/>
  <c r="V181" i="5"/>
  <c r="Q181" i="5"/>
  <c r="W188" i="5"/>
  <c r="V189" i="5"/>
  <c r="W189" i="5"/>
  <c r="V192" i="5"/>
  <c r="Q192" i="5"/>
  <c r="W200" i="5"/>
  <c r="V201" i="5"/>
  <c r="W201" i="5"/>
  <c r="V204" i="5"/>
  <c r="Q204" i="5"/>
  <c r="W208" i="5"/>
  <c r="V209" i="5"/>
  <c r="Q209" i="5"/>
  <c r="U212" i="5"/>
  <c r="W217" i="5"/>
  <c r="V218" i="5"/>
  <c r="W218" i="5"/>
  <c r="W220" i="5"/>
  <c r="U220" i="5"/>
  <c r="W228" i="5"/>
  <c r="U228" i="5"/>
  <c r="W240" i="5"/>
  <c r="U240" i="5"/>
  <c r="V245" i="5"/>
  <c r="Q245" i="5"/>
  <c r="V249" i="5"/>
  <c r="U249" i="5"/>
  <c r="W273" i="5"/>
  <c r="U273" i="5"/>
  <c r="V278" i="5"/>
  <c r="Q278" i="5"/>
  <c r="V282" i="5"/>
  <c r="U282" i="5"/>
  <c r="W295" i="5"/>
  <c r="U106" i="5"/>
  <c r="W107" i="5"/>
  <c r="W110" i="5"/>
  <c r="W128" i="5"/>
  <c r="W144" i="5"/>
  <c r="W156" i="5"/>
  <c r="W168" i="5"/>
  <c r="W184" i="5"/>
  <c r="W241" i="5"/>
  <c r="W253" i="5"/>
  <c r="W265" i="5"/>
  <c r="W274" i="5"/>
  <c r="W286" i="5"/>
  <c r="W291" i="5"/>
  <c r="W106" i="5"/>
  <c r="Q110" i="5"/>
  <c r="W124" i="5"/>
  <c r="Q128" i="5"/>
  <c r="Q144" i="5"/>
  <c r="Q145" i="5"/>
  <c r="W148" i="5"/>
  <c r="Q150" i="5"/>
  <c r="Q156" i="5"/>
  <c r="Q157" i="5"/>
  <c r="W160" i="5"/>
  <c r="Q168" i="5"/>
  <c r="Q169" i="5"/>
  <c r="W172" i="5"/>
  <c r="Q174" i="5"/>
  <c r="Q184" i="5"/>
  <c r="Q185" i="5"/>
  <c r="W196" i="5"/>
  <c r="Q198" i="5"/>
  <c r="Q222" i="5"/>
  <c r="Q229" i="5"/>
  <c r="Q234" i="5"/>
  <c r="Q241" i="5"/>
  <c r="Q242" i="5"/>
  <c r="Q253" i="5"/>
  <c r="Q254" i="5"/>
  <c r="W261" i="5"/>
  <c r="Q265" i="5"/>
  <c r="Q266" i="5"/>
  <c r="Q274" i="5"/>
  <c r="Q275" i="5"/>
  <c r="Q286" i="5"/>
  <c r="Q287" i="5"/>
  <c r="Q289" i="5"/>
  <c r="Q291" i="5"/>
  <c r="Q292" i="5"/>
  <c r="X14" i="7"/>
  <c r="X22" i="7"/>
  <c r="X26" i="7"/>
  <c r="X30" i="7"/>
  <c r="X34" i="7"/>
  <c r="X38" i="7"/>
  <c r="X42" i="7"/>
  <c r="R12" i="7"/>
  <c r="R14" i="7"/>
  <c r="R15" i="7"/>
  <c r="X16" i="7"/>
  <c r="V18" i="7"/>
  <c r="R20" i="7"/>
  <c r="R22" i="7"/>
  <c r="R23" i="7"/>
  <c r="R26" i="7"/>
  <c r="R27" i="7"/>
  <c r="R30" i="7"/>
  <c r="R31" i="7"/>
  <c r="R34" i="7"/>
  <c r="R35" i="7"/>
  <c r="R38" i="7"/>
  <c r="R39" i="7"/>
  <c r="W40" i="7"/>
  <c r="R42" i="7"/>
  <c r="R43" i="7"/>
  <c r="V46" i="7"/>
  <c r="X47" i="7"/>
  <c r="V49" i="7"/>
  <c r="V50" i="7"/>
  <c r="X51" i="7"/>
  <c r="X60" i="7"/>
  <c r="V62" i="7"/>
  <c r="X18" i="7"/>
  <c r="V24" i="7"/>
  <c r="V28" i="7"/>
  <c r="V32" i="7"/>
  <c r="V36" i="7"/>
  <c r="X46" i="7"/>
  <c r="X50" i="7"/>
  <c r="V54" i="7"/>
  <c r="X55" i="7"/>
  <c r="V57" i="7"/>
  <c r="X62" i="7"/>
  <c r="X12" i="7"/>
  <c r="V14" i="7"/>
  <c r="X20" i="7"/>
  <c r="V22" i="7"/>
  <c r="W23" i="7"/>
  <c r="X24" i="7"/>
  <c r="V26" i="7"/>
  <c r="W27" i="7"/>
  <c r="X28" i="7"/>
  <c r="V30" i="7"/>
  <c r="W31" i="7"/>
  <c r="X32" i="7"/>
  <c r="V34" i="7"/>
  <c r="W35" i="7"/>
  <c r="X36" i="7"/>
  <c r="V38" i="7"/>
  <c r="X39" i="7"/>
  <c r="V42" i="7"/>
  <c r="X43" i="7"/>
  <c r="X54" i="7"/>
  <c r="X58" i="7"/>
  <c r="R62" i="7"/>
  <c r="W106" i="1"/>
  <c r="Q106" i="1"/>
  <c r="V106" i="1"/>
  <c r="W73" i="1"/>
  <c r="Q73" i="1"/>
  <c r="V73" i="1"/>
  <c r="W141" i="1"/>
  <c r="Q141" i="1"/>
  <c r="V141" i="1"/>
  <c r="Q19" i="1"/>
  <c r="W19" i="1"/>
  <c r="V19" i="1"/>
  <c r="Q77" i="1"/>
  <c r="W77" i="1"/>
  <c r="V77" i="1"/>
  <c r="W85" i="1"/>
  <c r="Q85" i="1"/>
  <c r="V85" i="1"/>
  <c r="W93" i="1"/>
  <c r="Q93" i="1"/>
  <c r="V93" i="1"/>
  <c r="W102" i="1"/>
  <c r="Q102" i="1"/>
  <c r="V102" i="1"/>
  <c r="W21" i="1"/>
  <c r="Q21" i="1"/>
  <c r="V21" i="1"/>
  <c r="U44" i="1"/>
  <c r="W44" i="1"/>
  <c r="Q44" i="1"/>
  <c r="U47" i="1"/>
  <c r="U70" i="1"/>
  <c r="W70" i="1"/>
  <c r="Q70" i="1"/>
  <c r="W79" i="1"/>
  <c r="Q79" i="1"/>
  <c r="Q82" i="1"/>
  <c r="Q89" i="1"/>
  <c r="W113" i="1"/>
  <c r="Q113" i="1"/>
  <c r="Q118" i="1"/>
  <c r="U145" i="1"/>
  <c r="L158" i="1"/>
  <c r="W170" i="1"/>
  <c r="Q170" i="1"/>
  <c r="U174" i="1"/>
  <c r="W238" i="1"/>
  <c r="V275" i="1"/>
  <c r="W275" i="1"/>
  <c r="Q275" i="1"/>
  <c r="V294" i="1"/>
  <c r="Q294" i="1"/>
  <c r="W294" i="1"/>
  <c r="W317" i="2"/>
  <c r="Q317" i="2"/>
  <c r="V317" i="2"/>
  <c r="O18" i="1"/>
  <c r="Q20" i="1"/>
  <c r="Q22" i="1"/>
  <c r="P31" i="1"/>
  <c r="V32" i="1"/>
  <c r="P33" i="1"/>
  <c r="U33" i="1" s="1"/>
  <c r="I33" i="1"/>
  <c r="V45" i="1"/>
  <c r="L45" i="1"/>
  <c r="W45" i="1"/>
  <c r="Q55" i="1"/>
  <c r="U75" i="1"/>
  <c r="I75" i="1"/>
  <c r="U79" i="1"/>
  <c r="I79" i="1"/>
  <c r="V86" i="1"/>
  <c r="L86" i="1"/>
  <c r="W86" i="1"/>
  <c r="P95" i="1"/>
  <c r="Q95" i="1" s="1"/>
  <c r="U95" i="1"/>
  <c r="I95" i="1"/>
  <c r="P96" i="1"/>
  <c r="Q96" i="1" s="1"/>
  <c r="I96" i="1"/>
  <c r="P97" i="1"/>
  <c r="Q97" i="1" s="1"/>
  <c r="I97" i="1"/>
  <c r="P98" i="1"/>
  <c r="Q98" i="1" s="1"/>
  <c r="I98" i="1"/>
  <c r="U104" i="1"/>
  <c r="I104" i="1"/>
  <c r="W108" i="1"/>
  <c r="W110" i="1"/>
  <c r="V123" i="1"/>
  <c r="P124" i="1"/>
  <c r="I124" i="1"/>
  <c r="V127" i="1"/>
  <c r="P128" i="1"/>
  <c r="U128" i="1" s="1"/>
  <c r="I128" i="1"/>
  <c r="P130" i="1"/>
  <c r="U130" i="1" s="1"/>
  <c r="W131" i="1"/>
  <c r="V134" i="1"/>
  <c r="W137" i="1"/>
  <c r="Q137" i="1"/>
  <c r="V142" i="1"/>
  <c r="L142" i="1"/>
  <c r="W142" i="1"/>
  <c r="W147" i="1"/>
  <c r="Q147" i="1"/>
  <c r="W151" i="1"/>
  <c r="Q151" i="1"/>
  <c r="W155" i="1"/>
  <c r="Q155" i="1"/>
  <c r="W159" i="1"/>
  <c r="Q159" i="1"/>
  <c r="W163" i="1"/>
  <c r="Q163" i="1"/>
  <c r="W165" i="1"/>
  <c r="U166" i="1"/>
  <c r="W166" i="1"/>
  <c r="Q166" i="1"/>
  <c r="V167" i="1"/>
  <c r="L167" i="1"/>
  <c r="W167" i="1"/>
  <c r="W172" i="1"/>
  <c r="Q172" i="1"/>
  <c r="U179" i="1"/>
  <c r="I179" i="1"/>
  <c r="V180" i="1"/>
  <c r="L180" i="1"/>
  <c r="W180" i="1"/>
  <c r="V184" i="1"/>
  <c r="L184" i="1"/>
  <c r="W184" i="1"/>
  <c r="U185" i="1"/>
  <c r="W185" i="1"/>
  <c r="Q185" i="1"/>
  <c r="V195" i="1"/>
  <c r="Q195" i="1"/>
  <c r="W195" i="1"/>
  <c r="Q225" i="1"/>
  <c r="W225" i="1"/>
  <c r="W235" i="1"/>
  <c r="Q235" i="1"/>
  <c r="V235" i="1"/>
  <c r="U235" i="1"/>
  <c r="V240" i="1"/>
  <c r="Q240" i="1"/>
  <c r="W240" i="1"/>
  <c r="V248" i="1"/>
  <c r="Q248" i="1"/>
  <c r="W248" i="1"/>
  <c r="V296" i="1"/>
  <c r="W296" i="1"/>
  <c r="Q296" i="1"/>
  <c r="V317" i="1"/>
  <c r="U317" i="1"/>
  <c r="W317" i="1"/>
  <c r="Q317" i="1"/>
  <c r="V321" i="1"/>
  <c r="U321" i="1"/>
  <c r="Q321" i="1"/>
  <c r="W321" i="1"/>
  <c r="W197" i="2"/>
  <c r="Q197" i="2"/>
  <c r="V197" i="2"/>
  <c r="Q15" i="1"/>
  <c r="Q17" i="1"/>
  <c r="U21" i="1"/>
  <c r="Q29" i="1"/>
  <c r="W32" i="1"/>
  <c r="Q32" i="1"/>
  <c r="W47" i="1"/>
  <c r="Q47" i="1"/>
  <c r="Q75" i="1"/>
  <c r="W75" i="1"/>
  <c r="U91" i="1"/>
  <c r="U113" i="1"/>
  <c r="W123" i="1"/>
  <c r="Q123" i="1"/>
  <c r="W127" i="1"/>
  <c r="Q127" i="1"/>
  <c r="W145" i="1"/>
  <c r="Q145" i="1"/>
  <c r="L146" i="1"/>
  <c r="L150" i="1"/>
  <c r="L154" i="1"/>
  <c r="W157" i="1"/>
  <c r="Q157" i="1"/>
  <c r="L162" i="1"/>
  <c r="U170" i="1"/>
  <c r="L171" i="1"/>
  <c r="W174" i="1"/>
  <c r="Q174" i="1"/>
  <c r="W179" i="1"/>
  <c r="Q179" i="1"/>
  <c r="V224" i="1"/>
  <c r="Q224" i="1"/>
  <c r="W224" i="1"/>
  <c r="W193" i="2"/>
  <c r="Q193" i="2"/>
  <c r="V193" i="2"/>
  <c r="R332" i="1"/>
  <c r="W15" i="1"/>
  <c r="W17" i="1"/>
  <c r="Q24" i="1"/>
  <c r="W24" i="1"/>
  <c r="W29" i="1"/>
  <c r="U30" i="1"/>
  <c r="W30" i="1"/>
  <c r="Q30" i="1"/>
  <c r="U36" i="1"/>
  <c r="Q36" i="1"/>
  <c r="W36" i="1"/>
  <c r="V44" i="1"/>
  <c r="V47" i="1"/>
  <c r="W51" i="1"/>
  <c r="W53" i="1"/>
  <c r="Q57" i="1"/>
  <c r="Q59" i="1"/>
  <c r="Q61" i="1"/>
  <c r="V70" i="1"/>
  <c r="V75" i="1"/>
  <c r="V79" i="1"/>
  <c r="W82" i="1"/>
  <c r="U85" i="1"/>
  <c r="I85" i="1"/>
  <c r="W87" i="1"/>
  <c r="Q87" i="1"/>
  <c r="W89" i="1"/>
  <c r="W111" i="1"/>
  <c r="Q111" i="1"/>
  <c r="V113" i="1"/>
  <c r="L116" i="1"/>
  <c r="W118" i="1"/>
  <c r="P126" i="1"/>
  <c r="W129" i="1"/>
  <c r="Q129" i="1"/>
  <c r="V130" i="1"/>
  <c r="L130" i="1"/>
  <c r="W134" i="1"/>
  <c r="P138" i="1"/>
  <c r="U138" i="1" s="1"/>
  <c r="I138" i="1"/>
  <c r="U141" i="1"/>
  <c r="I141" i="1"/>
  <c r="W143" i="1"/>
  <c r="Q143" i="1"/>
  <c r="V145" i="1"/>
  <c r="P148" i="1"/>
  <c r="U148" i="1" s="1"/>
  <c r="I148" i="1"/>
  <c r="P150" i="1"/>
  <c r="V150" i="1" s="1"/>
  <c r="P152" i="1"/>
  <c r="U152" i="1" s="1"/>
  <c r="I152" i="1"/>
  <c r="P154" i="1"/>
  <c r="P156" i="1"/>
  <c r="I156" i="1"/>
  <c r="V157" i="1"/>
  <c r="P160" i="1"/>
  <c r="I160" i="1"/>
  <c r="U160" i="1"/>
  <c r="P162" i="1"/>
  <c r="P164" i="1"/>
  <c r="I164" i="1"/>
  <c r="U164" i="1"/>
  <c r="W168" i="1"/>
  <c r="Q168" i="1"/>
  <c r="V170" i="1"/>
  <c r="P173" i="1"/>
  <c r="I173" i="1"/>
  <c r="V174" i="1"/>
  <c r="W176" i="1"/>
  <c r="Q176" i="1"/>
  <c r="U177" i="1"/>
  <c r="W177" i="1"/>
  <c r="Q177" i="1"/>
  <c r="V179" i="1"/>
  <c r="W181" i="1"/>
  <c r="Q181" i="1"/>
  <c r="Q189" i="1"/>
  <c r="Q191" i="1"/>
  <c r="Q193" i="1"/>
  <c r="V197" i="1"/>
  <c r="W197" i="1"/>
  <c r="Q197" i="1"/>
  <c r="V225" i="1"/>
  <c r="V242" i="1"/>
  <c r="Q242" i="1"/>
  <c r="W242" i="1"/>
  <c r="V250" i="1"/>
  <c r="Q250" i="1"/>
  <c r="W250" i="1"/>
  <c r="U261" i="1"/>
  <c r="W24" i="2"/>
  <c r="Q24" i="2"/>
  <c r="U24" i="2"/>
  <c r="V24" i="2"/>
  <c r="Q51" i="1"/>
  <c r="Q53" i="1"/>
  <c r="W91" i="1"/>
  <c r="Q91" i="1"/>
  <c r="W104" i="1"/>
  <c r="Q104" i="1"/>
  <c r="P120" i="1"/>
  <c r="I120" i="1"/>
  <c r="P188" i="1"/>
  <c r="I188" i="1"/>
  <c r="I12" i="1"/>
  <c r="P12" i="1"/>
  <c r="U12" i="1" s="1"/>
  <c r="W16" i="1"/>
  <c r="Q16" i="1"/>
  <c r="V16" i="1"/>
  <c r="U16" i="1"/>
  <c r="U19" i="1"/>
  <c r="I19" i="1"/>
  <c r="U27" i="1"/>
  <c r="W27" i="1"/>
  <c r="Q27" i="1"/>
  <c r="V31" i="1"/>
  <c r="L31" i="1"/>
  <c r="U40" i="1"/>
  <c r="W40" i="1"/>
  <c r="Q40" i="1"/>
  <c r="W52" i="1"/>
  <c r="Q52" i="1"/>
  <c r="V52" i="1"/>
  <c r="U52" i="1"/>
  <c r="U66" i="1"/>
  <c r="W66" i="1"/>
  <c r="Q66" i="1"/>
  <c r="U73" i="1"/>
  <c r="I73" i="1"/>
  <c r="U77" i="1"/>
  <c r="I77" i="1"/>
  <c r="P81" i="1"/>
  <c r="U81" i="1" s="1"/>
  <c r="I81" i="1"/>
  <c r="P88" i="1"/>
  <c r="U88" i="1" s="1"/>
  <c r="I88" i="1"/>
  <c r="U93" i="1"/>
  <c r="I93" i="1"/>
  <c r="W95" i="1"/>
  <c r="O95" i="1"/>
  <c r="O96" i="1"/>
  <c r="O97" i="1"/>
  <c r="O98" i="1"/>
  <c r="U102" i="1"/>
  <c r="I102" i="1"/>
  <c r="U106" i="1"/>
  <c r="I106" i="1"/>
  <c r="Q108" i="1"/>
  <c r="Q110" i="1"/>
  <c r="P112" i="1"/>
  <c r="I112" i="1"/>
  <c r="W119" i="1"/>
  <c r="Q119" i="1"/>
  <c r="P122" i="1"/>
  <c r="L122" i="1"/>
  <c r="L126" i="1"/>
  <c r="W139" i="1"/>
  <c r="Q139" i="1"/>
  <c r="P144" i="1"/>
  <c r="U144" i="1" s="1"/>
  <c r="I144" i="1"/>
  <c r="P146" i="1"/>
  <c r="W149" i="1"/>
  <c r="Q149" i="1"/>
  <c r="W153" i="1"/>
  <c r="Q153" i="1"/>
  <c r="P158" i="1"/>
  <c r="U158" i="1" s="1"/>
  <c r="W161" i="1"/>
  <c r="Q161" i="1"/>
  <c r="Q165" i="1"/>
  <c r="P169" i="1"/>
  <c r="U169" i="1" s="1"/>
  <c r="I169" i="1"/>
  <c r="P171" i="1"/>
  <c r="V171" i="1" s="1"/>
  <c r="P182" i="1"/>
  <c r="U182" i="1" s="1"/>
  <c r="I182" i="1"/>
  <c r="V244" i="1"/>
  <c r="W244" i="1"/>
  <c r="Q244" i="1"/>
  <c r="W189" i="2"/>
  <c r="Q189" i="2"/>
  <c r="V189" i="2"/>
  <c r="V198" i="1"/>
  <c r="V213" i="1"/>
  <c r="P217" i="1"/>
  <c r="P222" i="1"/>
  <c r="U222" i="1" s="1"/>
  <c r="V222" i="1"/>
  <c r="V226" i="1"/>
  <c r="P234" i="1"/>
  <c r="P253" i="1"/>
  <c r="P265" i="1"/>
  <c r="V268" i="1"/>
  <c r="V270" i="1"/>
  <c r="V273" i="1"/>
  <c r="P280" i="1"/>
  <c r="P284" i="1"/>
  <c r="U284" i="1" s="1"/>
  <c r="V286" i="1"/>
  <c r="P290" i="1"/>
  <c r="U290" i="1" s="1"/>
  <c r="V305" i="1"/>
  <c r="P12" i="2"/>
  <c r="U12" i="2" s="1"/>
  <c r="I12" i="2"/>
  <c r="U15" i="2"/>
  <c r="W15" i="2"/>
  <c r="W27" i="2"/>
  <c r="Q27" i="2"/>
  <c r="W33" i="2"/>
  <c r="Q33" i="2"/>
  <c r="U39" i="2"/>
  <c r="W39" i="2"/>
  <c r="Q39" i="2"/>
  <c r="I51" i="2"/>
  <c r="U86" i="2"/>
  <c r="L87" i="2"/>
  <c r="Q105" i="2"/>
  <c r="I110" i="2"/>
  <c r="P115" i="2"/>
  <c r="U115" i="2" s="1"/>
  <c r="I115" i="2"/>
  <c r="I118" i="2"/>
  <c r="L119" i="2"/>
  <c r="P129" i="2"/>
  <c r="I129" i="2"/>
  <c r="V140" i="2"/>
  <c r="U140" i="2"/>
  <c r="Q142" i="2"/>
  <c r="L143" i="2"/>
  <c r="L159" i="2"/>
  <c r="W165" i="2"/>
  <c r="Q165" i="2"/>
  <c r="L172" i="2"/>
  <c r="W184" i="2"/>
  <c r="Q184" i="2"/>
  <c r="Q219" i="2"/>
  <c r="Q221" i="2"/>
  <c r="Q288" i="2"/>
  <c r="W331" i="2"/>
  <c r="Q331" i="2"/>
  <c r="O31" i="3"/>
  <c r="T31" i="3" s="1"/>
  <c r="H31" i="3"/>
  <c r="P58" i="3"/>
  <c r="V77" i="3"/>
  <c r="P77" i="3"/>
  <c r="U77" i="3"/>
  <c r="T77" i="3"/>
  <c r="H80" i="3"/>
  <c r="K168" i="3"/>
  <c r="H252" i="3"/>
  <c r="O252" i="3"/>
  <c r="T252" i="3" s="1"/>
  <c r="U260" i="3"/>
  <c r="V260" i="3"/>
  <c r="U264" i="3"/>
  <c r="V264" i="3"/>
  <c r="P264" i="3"/>
  <c r="O320" i="3"/>
  <c r="V320" i="3" s="1"/>
  <c r="N320" i="3"/>
  <c r="U85" i="4"/>
  <c r="T85" i="4"/>
  <c r="V85" i="4"/>
  <c r="U99" i="5"/>
  <c r="W99" i="5"/>
  <c r="Q99" i="5"/>
  <c r="V99" i="5"/>
  <c r="V37" i="1"/>
  <c r="P83" i="1"/>
  <c r="U87" i="1"/>
  <c r="P90" i="1"/>
  <c r="P100" i="1"/>
  <c r="V107" i="1"/>
  <c r="P109" i="1"/>
  <c r="U111" i="1"/>
  <c r="V114" i="1"/>
  <c r="P117" i="1"/>
  <c r="U119" i="1"/>
  <c r="U123" i="1"/>
  <c r="U127" i="1"/>
  <c r="U137" i="1"/>
  <c r="U143" i="1"/>
  <c r="U147" i="1"/>
  <c r="U151" i="1"/>
  <c r="U155" i="1"/>
  <c r="U159" i="1"/>
  <c r="U163" i="1"/>
  <c r="U168" i="1"/>
  <c r="U172" i="1"/>
  <c r="U176" i="1"/>
  <c r="U181" i="1"/>
  <c r="V186" i="1"/>
  <c r="P190" i="1"/>
  <c r="P192" i="1"/>
  <c r="P194" i="1"/>
  <c r="P196" i="1"/>
  <c r="Q198" i="1"/>
  <c r="W198" i="1"/>
  <c r="Q201" i="1"/>
  <c r="W201" i="1"/>
  <c r="V202" i="1"/>
  <c r="Q205" i="1"/>
  <c r="W205" i="1"/>
  <c r="V206" i="1"/>
  <c r="Q209" i="1"/>
  <c r="W209" i="1"/>
  <c r="V210" i="1"/>
  <c r="Q213" i="1"/>
  <c r="W213" i="1"/>
  <c r="I215" i="1"/>
  <c r="Q215" i="1"/>
  <c r="W215" i="1"/>
  <c r="I217" i="1"/>
  <c r="I219" i="1"/>
  <c r="Q219" i="1"/>
  <c r="W219" i="1"/>
  <c r="I221" i="1"/>
  <c r="V223" i="1"/>
  <c r="Q226" i="1"/>
  <c r="W226" i="1"/>
  <c r="I228" i="1"/>
  <c r="I230" i="1"/>
  <c r="Q230" i="1"/>
  <c r="I232" i="1"/>
  <c r="Q232" i="1"/>
  <c r="W232" i="1"/>
  <c r="I234" i="1"/>
  <c r="I236" i="1"/>
  <c r="V237" i="1"/>
  <c r="P239" i="1"/>
  <c r="P241" i="1"/>
  <c r="P243" i="1"/>
  <c r="P245" i="1"/>
  <c r="P247" i="1"/>
  <c r="P249" i="1"/>
  <c r="Q251" i="1"/>
  <c r="W251" i="1"/>
  <c r="I253" i="1"/>
  <c r="I255" i="1"/>
  <c r="I257" i="1"/>
  <c r="Q257" i="1"/>
  <c r="W257" i="1"/>
  <c r="I259" i="1"/>
  <c r="Q259" i="1"/>
  <c r="W259" i="1"/>
  <c r="I261" i="1"/>
  <c r="I263" i="1"/>
  <c r="I265" i="1"/>
  <c r="I267" i="1"/>
  <c r="P267" i="1"/>
  <c r="W267" i="1" s="1"/>
  <c r="Q268" i="1"/>
  <c r="I270" i="1"/>
  <c r="Q270" i="1"/>
  <c r="Q273" i="1"/>
  <c r="W273" i="1"/>
  <c r="V274" i="1"/>
  <c r="P276" i="1"/>
  <c r="I278" i="1"/>
  <c r="I280" i="1"/>
  <c r="I282" i="1"/>
  <c r="W282" i="1"/>
  <c r="I284" i="1"/>
  <c r="I286" i="1"/>
  <c r="Q286" i="1"/>
  <c r="I288" i="1"/>
  <c r="I290" i="1"/>
  <c r="V291" i="1"/>
  <c r="P293" i="1"/>
  <c r="P295" i="1"/>
  <c r="Q297" i="1"/>
  <c r="W297" i="1"/>
  <c r="V298" i="1"/>
  <c r="Q301" i="1"/>
  <c r="W301" i="1"/>
  <c r="V302" i="1"/>
  <c r="Q305" i="1"/>
  <c r="W305" i="1"/>
  <c r="V306" i="1"/>
  <c r="P309" i="1"/>
  <c r="V311" i="1"/>
  <c r="P312" i="1"/>
  <c r="V312" i="1" s="1"/>
  <c r="I313" i="1"/>
  <c r="Q313" i="1"/>
  <c r="W313" i="1"/>
  <c r="P315" i="1"/>
  <c r="Q316" i="1"/>
  <c r="W316" i="1"/>
  <c r="O318" i="1"/>
  <c r="V319" i="1"/>
  <c r="O322" i="1"/>
  <c r="P323" i="1"/>
  <c r="I324" i="1"/>
  <c r="Q327" i="1"/>
  <c r="W327" i="1"/>
  <c r="P329" i="1"/>
  <c r="V12" i="2"/>
  <c r="P14" i="2"/>
  <c r="Q14" i="2" s="1"/>
  <c r="I15" i="2"/>
  <c r="Q15" i="2"/>
  <c r="W19" i="2"/>
  <c r="Q19" i="2"/>
  <c r="Q26" i="2"/>
  <c r="W29" i="2"/>
  <c r="Q29" i="2"/>
  <c r="Q32" i="2"/>
  <c r="V33" i="2"/>
  <c r="U43" i="2"/>
  <c r="W43" i="2"/>
  <c r="Q43" i="2"/>
  <c r="P47" i="2"/>
  <c r="U47" i="2" s="1"/>
  <c r="I47" i="2"/>
  <c r="U49" i="2"/>
  <c r="W49" i="2"/>
  <c r="Q49" i="2"/>
  <c r="W53" i="2"/>
  <c r="Q53" i="2"/>
  <c r="W57" i="2"/>
  <c r="Q57" i="2"/>
  <c r="W61" i="2"/>
  <c r="Q61" i="2"/>
  <c r="W81" i="2"/>
  <c r="Q81" i="2"/>
  <c r="W82" i="2"/>
  <c r="Q82" i="2"/>
  <c r="W89" i="2"/>
  <c r="Q89" i="2"/>
  <c r="P91" i="2"/>
  <c r="U91" i="2" s="1"/>
  <c r="I91" i="2"/>
  <c r="V97" i="2"/>
  <c r="W108" i="2"/>
  <c r="Q108" i="2"/>
  <c r="V112" i="2"/>
  <c r="P113" i="2"/>
  <c r="U113" i="2" s="1"/>
  <c r="I113" i="2"/>
  <c r="W120" i="2"/>
  <c r="Q120" i="2"/>
  <c r="P125" i="2"/>
  <c r="U125" i="2" s="1"/>
  <c r="I125" i="2"/>
  <c r="W130" i="2"/>
  <c r="Q130" i="2"/>
  <c r="W132" i="2"/>
  <c r="Q132" i="2"/>
  <c r="W134" i="2"/>
  <c r="Q134" i="2"/>
  <c r="W136" i="2"/>
  <c r="Q136" i="2"/>
  <c r="V137" i="2"/>
  <c r="L137" i="2"/>
  <c r="W137" i="2"/>
  <c r="W144" i="2"/>
  <c r="Q144" i="2"/>
  <c r="V144" i="2"/>
  <c r="P149" i="2"/>
  <c r="I149" i="2"/>
  <c r="W154" i="2"/>
  <c r="Q154" i="2"/>
  <c r="V155" i="2"/>
  <c r="L155" i="2"/>
  <c r="W155" i="2"/>
  <c r="W160" i="2"/>
  <c r="Q160" i="2"/>
  <c r="V160" i="2"/>
  <c r="U165" i="2"/>
  <c r="I165" i="2"/>
  <c r="V168" i="2"/>
  <c r="L168" i="2"/>
  <c r="Q173" i="2"/>
  <c r="V178" i="2"/>
  <c r="U178" i="2"/>
  <c r="Q178" i="2"/>
  <c r="V181" i="2"/>
  <c r="L181" i="2"/>
  <c r="W181" i="2"/>
  <c r="O188" i="2"/>
  <c r="U191" i="2"/>
  <c r="I191" i="2"/>
  <c r="U195" i="2"/>
  <c r="I195" i="2"/>
  <c r="U200" i="2"/>
  <c r="W200" i="2"/>
  <c r="Q200" i="2"/>
  <c r="U208" i="2"/>
  <c r="W208" i="2"/>
  <c r="Q208" i="2"/>
  <c r="U225" i="2"/>
  <c r="W225" i="2"/>
  <c r="Q225" i="2"/>
  <c r="P227" i="2"/>
  <c r="Q227" i="2" s="1"/>
  <c r="I227" i="2"/>
  <c r="W244" i="2"/>
  <c r="Q244" i="2"/>
  <c r="V244" i="2"/>
  <c r="U244" i="2"/>
  <c r="W245" i="2"/>
  <c r="Q245" i="2"/>
  <c r="U247" i="2"/>
  <c r="I247" i="2"/>
  <c r="W252" i="2"/>
  <c r="Q252" i="2"/>
  <c r="V252" i="2"/>
  <c r="U252" i="2"/>
  <c r="W294" i="2"/>
  <c r="Q294" i="2"/>
  <c r="V294" i="2"/>
  <c r="U294" i="2"/>
  <c r="W295" i="2"/>
  <c r="Q295" i="2"/>
  <c r="U297" i="2"/>
  <c r="I297" i="2"/>
  <c r="U304" i="2"/>
  <c r="W304" i="2"/>
  <c r="Q304" i="2"/>
  <c r="U311" i="2"/>
  <c r="I311" i="2"/>
  <c r="W327" i="2"/>
  <c r="Q327" i="2"/>
  <c r="V327" i="2"/>
  <c r="U327" i="2"/>
  <c r="U331" i="2"/>
  <c r="I331" i="2"/>
  <c r="P333" i="2"/>
  <c r="W333" i="2" s="1"/>
  <c r="O333" i="2"/>
  <c r="V19" i="3"/>
  <c r="P19" i="3"/>
  <c r="U19" i="3"/>
  <c r="T19" i="3"/>
  <c r="T42" i="3"/>
  <c r="V42" i="3"/>
  <c r="P42" i="3"/>
  <c r="T64" i="3"/>
  <c r="V64" i="3"/>
  <c r="P64" i="3"/>
  <c r="V75" i="3"/>
  <c r="P75" i="3"/>
  <c r="U75" i="3"/>
  <c r="T75" i="3"/>
  <c r="V76" i="3"/>
  <c r="P76" i="3"/>
  <c r="T78" i="3"/>
  <c r="H78" i="3"/>
  <c r="T99" i="3"/>
  <c r="H102" i="3"/>
  <c r="O102" i="3"/>
  <c r="T102" i="3" s="1"/>
  <c r="V115" i="3"/>
  <c r="P115" i="3"/>
  <c r="U115" i="3"/>
  <c r="T115" i="3"/>
  <c r="O129" i="3"/>
  <c r="H129" i="3"/>
  <c r="K143" i="3"/>
  <c r="O161" i="3"/>
  <c r="H161" i="3"/>
  <c r="V167" i="3"/>
  <c r="P167" i="3"/>
  <c r="U167" i="3"/>
  <c r="K172" i="3"/>
  <c r="H191" i="3"/>
  <c r="O191" i="3"/>
  <c r="T191" i="3" s="1"/>
  <c r="V240" i="3"/>
  <c r="P240" i="3"/>
  <c r="U240" i="3"/>
  <c r="V242" i="3"/>
  <c r="P242" i="3"/>
  <c r="U242" i="3"/>
  <c r="V248" i="3"/>
  <c r="P248" i="3"/>
  <c r="U248" i="3"/>
  <c r="V250" i="3"/>
  <c r="P250" i="3"/>
  <c r="U250" i="3"/>
  <c r="U281" i="3"/>
  <c r="V281" i="3"/>
  <c r="P281" i="3"/>
  <c r="U285" i="3"/>
  <c r="T285" i="3"/>
  <c r="V285" i="3"/>
  <c r="P285" i="3"/>
  <c r="U289" i="3"/>
  <c r="T289" i="3"/>
  <c r="V289" i="3"/>
  <c r="P289" i="3"/>
  <c r="H46" i="4"/>
  <c r="O46" i="4"/>
  <c r="T46" i="4" s="1"/>
  <c r="V53" i="4"/>
  <c r="P53" i="4"/>
  <c r="U53" i="4"/>
  <c r="V61" i="4"/>
  <c r="P61" i="4"/>
  <c r="U61" i="4"/>
  <c r="V205" i="1"/>
  <c r="V209" i="1"/>
  <c r="P228" i="1"/>
  <c r="P236" i="1"/>
  <c r="P255" i="1"/>
  <c r="U255" i="1" s="1"/>
  <c r="P261" i="1"/>
  <c r="P263" i="1"/>
  <c r="P288" i="1"/>
  <c r="V301" i="1"/>
  <c r="V316" i="1"/>
  <c r="P324" i="1"/>
  <c r="V327" i="1"/>
  <c r="W14" i="2"/>
  <c r="W26" i="2"/>
  <c r="I59" i="2"/>
  <c r="P63" i="2"/>
  <c r="Q63" i="2" s="1"/>
  <c r="I63" i="2"/>
  <c r="W86" i="2"/>
  <c r="Q86" i="2"/>
  <c r="Q97" i="2"/>
  <c r="Q140" i="2"/>
  <c r="W148" i="2"/>
  <c r="Q148" i="2"/>
  <c r="V148" i="2"/>
  <c r="U171" i="2"/>
  <c r="Q217" i="2"/>
  <c r="W226" i="2"/>
  <c r="Q226" i="2"/>
  <c r="V226" i="2"/>
  <c r="U226" i="2"/>
  <c r="O227" i="2"/>
  <c r="W246" i="2"/>
  <c r="Q246" i="2"/>
  <c r="V246" i="2"/>
  <c r="U246" i="2"/>
  <c r="W247" i="2"/>
  <c r="Q247" i="2"/>
  <c r="I249" i="2"/>
  <c r="V270" i="2"/>
  <c r="P270" i="2"/>
  <c r="L270" i="2"/>
  <c r="Q284" i="2"/>
  <c r="Q286" i="2"/>
  <c r="W296" i="2"/>
  <c r="Q296" i="2"/>
  <c r="V296" i="2"/>
  <c r="U296" i="2"/>
  <c r="W311" i="2"/>
  <c r="Q311" i="2"/>
  <c r="P21" i="3"/>
  <c r="P23" i="3"/>
  <c r="P52" i="3"/>
  <c r="P54" i="3"/>
  <c r="P56" i="3"/>
  <c r="T68" i="3"/>
  <c r="V68" i="3"/>
  <c r="P68" i="3"/>
  <c r="V78" i="3"/>
  <c r="P78" i="3"/>
  <c r="O86" i="3"/>
  <c r="T86" i="3" s="1"/>
  <c r="H86" i="3"/>
  <c r="N97" i="3"/>
  <c r="V99" i="3"/>
  <c r="P99" i="3"/>
  <c r="U140" i="3"/>
  <c r="V140" i="3"/>
  <c r="P163" i="3"/>
  <c r="U256" i="3"/>
  <c r="V256" i="3"/>
  <c r="P260" i="3"/>
  <c r="U35" i="5"/>
  <c r="W35" i="5"/>
  <c r="Q35" i="5"/>
  <c r="V35" i="5"/>
  <c r="U67" i="5"/>
  <c r="W67" i="5"/>
  <c r="Q67" i="5"/>
  <c r="V67" i="5"/>
  <c r="U146" i="5"/>
  <c r="V146" i="5"/>
  <c r="Q146" i="5"/>
  <c r="W146" i="5"/>
  <c r="U267" i="5"/>
  <c r="W267" i="5"/>
  <c r="Q267" i="5"/>
  <c r="V267" i="5"/>
  <c r="V28" i="1"/>
  <c r="U32" i="1"/>
  <c r="V41" i="1"/>
  <c r="P58" i="1"/>
  <c r="P60" i="1"/>
  <c r="V62" i="1"/>
  <c r="L13" i="1"/>
  <c r="U15" i="1"/>
  <c r="I16" i="1"/>
  <c r="U17" i="1"/>
  <c r="P18" i="1"/>
  <c r="W18" i="1" s="1"/>
  <c r="U20" i="1"/>
  <c r="I21" i="1"/>
  <c r="U22" i="1"/>
  <c r="Q23" i="1"/>
  <c r="W23" i="1"/>
  <c r="P25" i="1"/>
  <c r="U26" i="1"/>
  <c r="Q28" i="1"/>
  <c r="U29" i="1"/>
  <c r="U31" i="1"/>
  <c r="I32" i="1"/>
  <c r="V34" i="1"/>
  <c r="U35" i="1"/>
  <c r="Q37" i="1"/>
  <c r="V38" i="1"/>
  <c r="U39" i="1"/>
  <c r="Q41" i="1"/>
  <c r="V42" i="1"/>
  <c r="U43" i="1"/>
  <c r="U45" i="1"/>
  <c r="Q46" i="1"/>
  <c r="W46" i="1"/>
  <c r="P48" i="1"/>
  <c r="U49" i="1"/>
  <c r="Q50" i="1"/>
  <c r="W50" i="1"/>
  <c r="U51" i="1"/>
  <c r="I52" i="1"/>
  <c r="U53" i="1"/>
  <c r="Q54" i="1"/>
  <c r="W54" i="1"/>
  <c r="U55" i="1"/>
  <c r="Q56" i="1"/>
  <c r="W56" i="1"/>
  <c r="U57" i="1"/>
  <c r="U59" i="1"/>
  <c r="U61" i="1"/>
  <c r="Q62" i="1"/>
  <c r="L63" i="1"/>
  <c r="V64" i="1"/>
  <c r="U65" i="1"/>
  <c r="Q67" i="1"/>
  <c r="W67" i="1"/>
  <c r="V68" i="1"/>
  <c r="U69" i="1"/>
  <c r="Q71" i="1"/>
  <c r="W71" i="1"/>
  <c r="V72" i="1"/>
  <c r="P74" i="1"/>
  <c r="P76" i="1"/>
  <c r="P78" i="1"/>
  <c r="P80" i="1"/>
  <c r="U82" i="1"/>
  <c r="V84" i="1"/>
  <c r="U86" i="1"/>
  <c r="I87" i="1"/>
  <c r="U89" i="1"/>
  <c r="P92" i="1"/>
  <c r="P94" i="1"/>
  <c r="V95" i="1"/>
  <c r="V98" i="1"/>
  <c r="I99" i="1"/>
  <c r="V101" i="1"/>
  <c r="P103" i="1"/>
  <c r="P105" i="1"/>
  <c r="Q107" i="1"/>
  <c r="U108" i="1"/>
  <c r="U110" i="1"/>
  <c r="I111" i="1"/>
  <c r="Q114" i="1"/>
  <c r="U118" i="1"/>
  <c r="I119" i="1"/>
  <c r="I123" i="1"/>
  <c r="I127" i="1"/>
  <c r="I131" i="1"/>
  <c r="U131" i="1"/>
  <c r="I132" i="1"/>
  <c r="I133" i="1"/>
  <c r="U133" i="1"/>
  <c r="I134" i="1"/>
  <c r="U134" i="1"/>
  <c r="I135" i="1"/>
  <c r="I136" i="1"/>
  <c r="U136" i="1"/>
  <c r="I137" i="1"/>
  <c r="P140" i="1"/>
  <c r="U142" i="1"/>
  <c r="I143" i="1"/>
  <c r="U146" i="1"/>
  <c r="I147" i="1"/>
  <c r="U150" i="1"/>
  <c r="I151" i="1"/>
  <c r="U154" i="1"/>
  <c r="I155" i="1"/>
  <c r="I159" i="1"/>
  <c r="I163" i="1"/>
  <c r="U165" i="1"/>
  <c r="U167" i="1"/>
  <c r="I168" i="1"/>
  <c r="U171" i="1"/>
  <c r="I172" i="1"/>
  <c r="I176" i="1"/>
  <c r="P178" i="1"/>
  <c r="U180" i="1"/>
  <c r="I181" i="1"/>
  <c r="U184" i="1"/>
  <c r="Q186" i="1"/>
  <c r="V187" i="1"/>
  <c r="U189" i="1"/>
  <c r="U191" i="1"/>
  <c r="U193" i="1"/>
  <c r="U195" i="1"/>
  <c r="U197" i="1"/>
  <c r="P199" i="1"/>
  <c r="U200" i="1"/>
  <c r="Q202" i="1"/>
  <c r="V203" i="1"/>
  <c r="U204" i="1"/>
  <c r="Q206" i="1"/>
  <c r="V207" i="1"/>
  <c r="U208" i="1"/>
  <c r="Q210" i="1"/>
  <c r="V211" i="1"/>
  <c r="U212" i="1"/>
  <c r="P214" i="1"/>
  <c r="P216" i="1"/>
  <c r="P218" i="1"/>
  <c r="P220" i="1"/>
  <c r="Q223" i="1"/>
  <c r="U224" i="1"/>
  <c r="I225" i="1"/>
  <c r="U225" i="1"/>
  <c r="P227" i="1"/>
  <c r="P229" i="1"/>
  <c r="P231" i="1"/>
  <c r="P233" i="1"/>
  <c r="Q237" i="1"/>
  <c r="U240" i="1"/>
  <c r="U242" i="1"/>
  <c r="U244" i="1"/>
  <c r="U248" i="1"/>
  <c r="U250" i="1"/>
  <c r="P252" i="1"/>
  <c r="P254" i="1"/>
  <c r="P256" i="1"/>
  <c r="P258" i="1"/>
  <c r="P260" i="1"/>
  <c r="P262" i="1"/>
  <c r="P264" i="1"/>
  <c r="P266" i="1"/>
  <c r="P269" i="1"/>
  <c r="P271" i="1"/>
  <c r="U272" i="1"/>
  <c r="Q274" i="1"/>
  <c r="U275" i="1"/>
  <c r="V277" i="1"/>
  <c r="P279" i="1"/>
  <c r="P281" i="1"/>
  <c r="P283" i="1"/>
  <c r="P285" i="1"/>
  <c r="P287" i="1"/>
  <c r="P289" i="1"/>
  <c r="Q291" i="1"/>
  <c r="U294" i="1"/>
  <c r="U296" i="1"/>
  <c r="Q298" i="1"/>
  <c r="V299" i="1"/>
  <c r="U300" i="1"/>
  <c r="Q302" i="1"/>
  <c r="V303" i="1"/>
  <c r="U304" i="1"/>
  <c r="Q306" i="1"/>
  <c r="V307" i="1"/>
  <c r="U308" i="1"/>
  <c r="U310" i="1"/>
  <c r="Q311" i="1"/>
  <c r="V314" i="1"/>
  <c r="O317" i="1"/>
  <c r="P318" i="1"/>
  <c r="W318" i="1" s="1"/>
  <c r="O321" i="1"/>
  <c r="P322" i="1"/>
  <c r="P326" i="1"/>
  <c r="V328" i="1"/>
  <c r="O331" i="1"/>
  <c r="P13" i="2"/>
  <c r="O13" i="2"/>
  <c r="I14" i="2"/>
  <c r="P17" i="2"/>
  <c r="U17" i="2" s="1"/>
  <c r="I24" i="2"/>
  <c r="Q25" i="2"/>
  <c r="U27" i="2"/>
  <c r="U29" i="2"/>
  <c r="I29" i="2"/>
  <c r="W31" i="2"/>
  <c r="Q31" i="2"/>
  <c r="V39" i="2"/>
  <c r="U53" i="2"/>
  <c r="I53" i="2"/>
  <c r="U57" i="2"/>
  <c r="I57" i="2"/>
  <c r="U61" i="2"/>
  <c r="I61" i="2"/>
  <c r="O63" i="2"/>
  <c r="U65" i="2"/>
  <c r="W65" i="2"/>
  <c r="Q65" i="2"/>
  <c r="Q74" i="2"/>
  <c r="Q76" i="2"/>
  <c r="Q78" i="2"/>
  <c r="Q80" i="2"/>
  <c r="V81" i="2"/>
  <c r="U82" i="2"/>
  <c r="I82" i="2"/>
  <c r="V86" i="2"/>
  <c r="U89" i="2"/>
  <c r="I89" i="2"/>
  <c r="P99" i="2"/>
  <c r="W99" i="2" s="1"/>
  <c r="W105" i="2"/>
  <c r="U108" i="2"/>
  <c r="I108" i="2"/>
  <c r="P119" i="2"/>
  <c r="V119" i="2" s="1"/>
  <c r="V120" i="2"/>
  <c r="P121" i="2"/>
  <c r="U121" i="2" s="1"/>
  <c r="I121" i="2"/>
  <c r="W126" i="2"/>
  <c r="Q126" i="2"/>
  <c r="V127" i="2"/>
  <c r="L127" i="2"/>
  <c r="U132" i="2"/>
  <c r="U134" i="2"/>
  <c r="U136" i="2"/>
  <c r="W138" i="2"/>
  <c r="Q138" i="2"/>
  <c r="V138" i="2"/>
  <c r="W140" i="2"/>
  <c r="P145" i="2"/>
  <c r="I145" i="2"/>
  <c r="U145" i="2"/>
  <c r="V151" i="2"/>
  <c r="L151" i="2"/>
  <c r="W156" i="2"/>
  <c r="Q156" i="2"/>
  <c r="V156" i="2"/>
  <c r="P161" i="2"/>
  <c r="I161" i="2"/>
  <c r="V165" i="2"/>
  <c r="V169" i="2"/>
  <c r="P174" i="2"/>
  <c r="I174" i="2"/>
  <c r="P175" i="2"/>
  <c r="V175" i="2" s="1"/>
  <c r="V176" i="2"/>
  <c r="L176" i="2"/>
  <c r="W182" i="2"/>
  <c r="Q182" i="2"/>
  <c r="V182" i="2"/>
  <c r="V184" i="2"/>
  <c r="W217" i="2"/>
  <c r="W219" i="2"/>
  <c r="W221" i="2"/>
  <c r="W223" i="2"/>
  <c r="Q232" i="2"/>
  <c r="Q234" i="2"/>
  <c r="Q236" i="2"/>
  <c r="Q238" i="2"/>
  <c r="W242" i="2"/>
  <c r="Q242" i="2"/>
  <c r="V242" i="2"/>
  <c r="U242" i="2"/>
  <c r="W243" i="2"/>
  <c r="Q243" i="2"/>
  <c r="U245" i="2"/>
  <c r="I245" i="2"/>
  <c r="V247" i="2"/>
  <c r="W250" i="2"/>
  <c r="Q250" i="2"/>
  <c r="V250" i="2"/>
  <c r="U250" i="2"/>
  <c r="W251" i="2"/>
  <c r="Q251" i="2"/>
  <c r="Q255" i="2"/>
  <c r="Q257" i="2"/>
  <c r="Q259" i="2"/>
  <c r="Q261" i="2"/>
  <c r="Q265" i="2"/>
  <c r="Q267" i="2"/>
  <c r="U269" i="2"/>
  <c r="U270" i="2"/>
  <c r="Q272" i="2"/>
  <c r="W280" i="2"/>
  <c r="W284" i="2"/>
  <c r="W286" i="2"/>
  <c r="W288" i="2"/>
  <c r="W290" i="2"/>
  <c r="W292" i="2"/>
  <c r="U293" i="2"/>
  <c r="W293" i="2"/>
  <c r="Q293" i="2"/>
  <c r="U295" i="2"/>
  <c r="I295" i="2"/>
  <c r="U300" i="2"/>
  <c r="W300" i="2"/>
  <c r="Q300" i="2"/>
  <c r="V311" i="2"/>
  <c r="Q315" i="2"/>
  <c r="P319" i="2"/>
  <c r="O319" i="2"/>
  <c r="W323" i="2"/>
  <c r="P323" i="2"/>
  <c r="O323" i="2"/>
  <c r="Q326" i="2"/>
  <c r="V331" i="2"/>
  <c r="O12" i="3"/>
  <c r="K12" i="3"/>
  <c r="P16" i="3"/>
  <c r="O18" i="3"/>
  <c r="O20" i="3"/>
  <c r="V20" i="3" s="1"/>
  <c r="H20" i="3"/>
  <c r="V21" i="3"/>
  <c r="V23" i="3"/>
  <c r="T38" i="3"/>
  <c r="V38" i="3"/>
  <c r="P38" i="3"/>
  <c r="O45" i="3"/>
  <c r="H45" i="3"/>
  <c r="V46" i="3"/>
  <c r="V50" i="3"/>
  <c r="V52" i="3"/>
  <c r="V54" i="3"/>
  <c r="V56" i="3"/>
  <c r="V58" i="3"/>
  <c r="V62" i="3"/>
  <c r="U68" i="3"/>
  <c r="V73" i="3"/>
  <c r="P73" i="3"/>
  <c r="U73" i="3"/>
  <c r="T73" i="3"/>
  <c r="V74" i="3"/>
  <c r="P74" i="3"/>
  <c r="T76" i="3"/>
  <c r="H76" i="3"/>
  <c r="U78" i="3"/>
  <c r="P83" i="3"/>
  <c r="P87" i="3"/>
  <c r="O98" i="3"/>
  <c r="P98" i="3" s="1"/>
  <c r="H98" i="3"/>
  <c r="U99" i="3"/>
  <c r="H106" i="3"/>
  <c r="O106" i="3"/>
  <c r="T106" i="3" s="1"/>
  <c r="V121" i="3"/>
  <c r="P121" i="3"/>
  <c r="U121" i="3"/>
  <c r="V142" i="3"/>
  <c r="P142" i="3"/>
  <c r="U142" i="3"/>
  <c r="V152" i="3"/>
  <c r="P152" i="3"/>
  <c r="P181" i="3"/>
  <c r="V181" i="3"/>
  <c r="N188" i="3"/>
  <c r="H195" i="3"/>
  <c r="O195" i="3"/>
  <c r="T195" i="3" s="1"/>
  <c r="T200" i="3"/>
  <c r="V200" i="3"/>
  <c r="P200" i="3"/>
  <c r="U200" i="3"/>
  <c r="V226" i="3"/>
  <c r="P226" i="3"/>
  <c r="U226" i="3"/>
  <c r="U254" i="3"/>
  <c r="V254" i="3"/>
  <c r="P254" i="3"/>
  <c r="U258" i="3"/>
  <c r="V258" i="3"/>
  <c r="P258" i="3"/>
  <c r="U262" i="3"/>
  <c r="V262" i="3"/>
  <c r="P262" i="3"/>
  <c r="U266" i="3"/>
  <c r="V266" i="3"/>
  <c r="P266" i="3"/>
  <c r="H327" i="3"/>
  <c r="O327" i="3"/>
  <c r="T327" i="3" s="1"/>
  <c r="V24" i="4"/>
  <c r="P24" i="4"/>
  <c r="U24" i="4"/>
  <c r="V120" i="4"/>
  <c r="P120" i="4"/>
  <c r="U120" i="4"/>
  <c r="V201" i="1"/>
  <c r="P221" i="1"/>
  <c r="V251" i="1"/>
  <c r="P278" i="1"/>
  <c r="V297" i="1"/>
  <c r="I55" i="2"/>
  <c r="W90" i="2"/>
  <c r="Q90" i="2"/>
  <c r="V90" i="2"/>
  <c r="U90" i="2"/>
  <c r="W112" i="2"/>
  <c r="Q112" i="2"/>
  <c r="W124" i="2"/>
  <c r="Q124" i="2"/>
  <c r="V124" i="2"/>
  <c r="P153" i="2"/>
  <c r="U153" i="2" s="1"/>
  <c r="I153" i="2"/>
  <c r="W164" i="2"/>
  <c r="Q164" i="2"/>
  <c r="V164" i="2"/>
  <c r="W171" i="2"/>
  <c r="Q171" i="2"/>
  <c r="W191" i="2"/>
  <c r="Q191" i="2"/>
  <c r="W195" i="2"/>
  <c r="Q195" i="2"/>
  <c r="Q223" i="2"/>
  <c r="U239" i="2"/>
  <c r="W239" i="2"/>
  <c r="Q239" i="2"/>
  <c r="I241" i="2"/>
  <c r="U276" i="2"/>
  <c r="W276" i="2"/>
  <c r="Q276" i="2"/>
  <c r="I278" i="2"/>
  <c r="Q280" i="2"/>
  <c r="Q290" i="2"/>
  <c r="Q292" i="2"/>
  <c r="W297" i="2"/>
  <c r="Q297" i="2"/>
  <c r="U308" i="2"/>
  <c r="W308" i="2"/>
  <c r="Q308" i="2"/>
  <c r="U313" i="2"/>
  <c r="W313" i="2"/>
  <c r="Q313" i="2"/>
  <c r="V322" i="2"/>
  <c r="U322" i="2"/>
  <c r="I325" i="2"/>
  <c r="H25" i="3"/>
  <c r="P46" i="3"/>
  <c r="H48" i="3"/>
  <c r="P50" i="3"/>
  <c r="P60" i="3"/>
  <c r="P62" i="3"/>
  <c r="O81" i="3"/>
  <c r="T81" i="3" s="1"/>
  <c r="K81" i="3"/>
  <c r="T84" i="3"/>
  <c r="V84" i="3"/>
  <c r="P84" i="3"/>
  <c r="U94" i="3"/>
  <c r="V94" i="3"/>
  <c r="T211" i="3"/>
  <c r="V211" i="3"/>
  <c r="P211" i="3"/>
  <c r="U211" i="3"/>
  <c r="P256" i="3"/>
  <c r="U268" i="3"/>
  <c r="V268" i="3"/>
  <c r="H296" i="3"/>
  <c r="O296" i="3"/>
  <c r="T296" i="3" s="1"/>
  <c r="U182" i="4"/>
  <c r="Q34" i="1"/>
  <c r="Q38" i="1"/>
  <c r="Q42" i="1"/>
  <c r="Q64" i="1"/>
  <c r="Q68" i="1"/>
  <c r="Q72" i="1"/>
  <c r="Q84" i="1"/>
  <c r="I86" i="1"/>
  <c r="Q101" i="1"/>
  <c r="I126" i="1"/>
  <c r="I130" i="1"/>
  <c r="I142" i="1"/>
  <c r="I146" i="1"/>
  <c r="I158" i="1"/>
  <c r="I167" i="1"/>
  <c r="I171" i="1"/>
  <c r="P175" i="1"/>
  <c r="Q187" i="1"/>
  <c r="Q203" i="1"/>
  <c r="Q207" i="1"/>
  <c r="Q211" i="1"/>
  <c r="I222" i="1"/>
  <c r="Q277" i="1"/>
  <c r="Q299" i="1"/>
  <c r="Q303" i="1"/>
  <c r="Q307" i="1"/>
  <c r="Q314" i="1"/>
  <c r="Q328" i="1"/>
  <c r="P331" i="1"/>
  <c r="U14" i="2"/>
  <c r="U19" i="2"/>
  <c r="P22" i="2"/>
  <c r="U22" i="2" s="1"/>
  <c r="V26" i="2"/>
  <c r="V27" i="2"/>
  <c r="V29" i="2"/>
  <c r="V32" i="2"/>
  <c r="L32" i="2"/>
  <c r="U35" i="2"/>
  <c r="W35" i="2"/>
  <c r="Q35" i="2"/>
  <c r="V43" i="2"/>
  <c r="Q48" i="2"/>
  <c r="V49" i="2"/>
  <c r="P51" i="2"/>
  <c r="V53" i="2"/>
  <c r="P55" i="2"/>
  <c r="U55" i="2" s="1"/>
  <c r="V57" i="2"/>
  <c r="P59" i="2"/>
  <c r="V61" i="2"/>
  <c r="U69" i="2"/>
  <c r="W69" i="2"/>
  <c r="Q69" i="2"/>
  <c r="V82" i="2"/>
  <c r="P87" i="2"/>
  <c r="U87" i="2" s="1"/>
  <c r="V89" i="2"/>
  <c r="Q92" i="2"/>
  <c r="Q94" i="2"/>
  <c r="V108" i="2"/>
  <c r="P110" i="2"/>
  <c r="V111" i="2"/>
  <c r="L111" i="2"/>
  <c r="P118" i="2"/>
  <c r="W122" i="2"/>
  <c r="Q122" i="2"/>
  <c r="V123" i="2"/>
  <c r="L123" i="2"/>
  <c r="V130" i="2"/>
  <c r="P131" i="2"/>
  <c r="U131" i="2" s="1"/>
  <c r="V132" i="2"/>
  <c r="P133" i="2"/>
  <c r="V133" i="2" s="1"/>
  <c r="V134" i="2"/>
  <c r="P135" i="2"/>
  <c r="V135" i="2" s="1"/>
  <c r="V136" i="2"/>
  <c r="P139" i="2"/>
  <c r="I139" i="2"/>
  <c r="U139" i="2"/>
  <c r="P143" i="2"/>
  <c r="V143" i="2" s="1"/>
  <c r="V147" i="2"/>
  <c r="L147" i="2"/>
  <c r="W152" i="2"/>
  <c r="Q152" i="2"/>
  <c r="V152" i="2"/>
  <c r="V154" i="2"/>
  <c r="P157" i="2"/>
  <c r="U157" i="2" s="1"/>
  <c r="I157" i="2"/>
  <c r="P159" i="2"/>
  <c r="U159" i="2" s="1"/>
  <c r="W162" i="2"/>
  <c r="Q162" i="2"/>
  <c r="L163" i="2"/>
  <c r="P170" i="2"/>
  <c r="U170" i="2" s="1"/>
  <c r="I170" i="2"/>
  <c r="P172" i="2"/>
  <c r="W178" i="2"/>
  <c r="P183" i="2"/>
  <c r="U183" i="2" s="1"/>
  <c r="I183" i="2"/>
  <c r="P188" i="2"/>
  <c r="U188" i="2" s="1"/>
  <c r="U189" i="2"/>
  <c r="I189" i="2"/>
  <c r="U193" i="2"/>
  <c r="I193" i="2"/>
  <c r="U197" i="2"/>
  <c r="I197" i="2"/>
  <c r="U199" i="2"/>
  <c r="V200" i="2"/>
  <c r="U204" i="2"/>
  <c r="W204" i="2"/>
  <c r="Q204" i="2"/>
  <c r="V208" i="2"/>
  <c r="U212" i="2"/>
  <c r="W212" i="2"/>
  <c r="Q212" i="2"/>
  <c r="V225" i="2"/>
  <c r="W240" i="2"/>
  <c r="Q240" i="2"/>
  <c r="V240" i="2"/>
  <c r="U240" i="2"/>
  <c r="P241" i="2"/>
  <c r="U243" i="2"/>
  <c r="I243" i="2"/>
  <c r="V245" i="2"/>
  <c r="W248" i="2"/>
  <c r="Q248" i="2"/>
  <c r="V248" i="2"/>
  <c r="U248" i="2"/>
  <c r="P249" i="2"/>
  <c r="U249" i="2" s="1"/>
  <c r="U251" i="2"/>
  <c r="I251" i="2"/>
  <c r="W269" i="2"/>
  <c r="Q269" i="2"/>
  <c r="W277" i="2"/>
  <c r="Q277" i="2"/>
  <c r="V277" i="2"/>
  <c r="U277" i="2"/>
  <c r="P278" i="2"/>
  <c r="V295" i="2"/>
  <c r="V298" i="2"/>
  <c r="V304" i="2"/>
  <c r="P314" i="2"/>
  <c r="V314" i="2" s="1"/>
  <c r="U317" i="2"/>
  <c r="I317" i="2"/>
  <c r="Q321" i="2"/>
  <c r="W322" i="2"/>
  <c r="P325" i="2"/>
  <c r="U325" i="2" s="1"/>
  <c r="V24" i="3"/>
  <c r="P24" i="3"/>
  <c r="O25" i="3"/>
  <c r="O33" i="3"/>
  <c r="T33" i="3" s="1"/>
  <c r="K33" i="3"/>
  <c r="T34" i="3"/>
  <c r="V34" i="3"/>
  <c r="P34" i="3"/>
  <c r="U42" i="3"/>
  <c r="T45" i="3"/>
  <c r="V47" i="3"/>
  <c r="P47" i="3"/>
  <c r="O48" i="3"/>
  <c r="U64" i="3"/>
  <c r="T72" i="3"/>
  <c r="V72" i="3"/>
  <c r="P72" i="3"/>
  <c r="T74" i="3"/>
  <c r="H74" i="3"/>
  <c r="U76" i="3"/>
  <c r="V79" i="3"/>
  <c r="P79" i="3"/>
  <c r="U79" i="3"/>
  <c r="T79" i="3"/>
  <c r="O80" i="3"/>
  <c r="T80" i="3" s="1"/>
  <c r="V85" i="3"/>
  <c r="P85" i="3"/>
  <c r="U85" i="3"/>
  <c r="T85" i="3"/>
  <c r="U88" i="3"/>
  <c r="O88" i="3"/>
  <c r="T88" i="3" s="1"/>
  <c r="K88" i="3"/>
  <c r="V91" i="3"/>
  <c r="P91" i="3"/>
  <c r="U91" i="3"/>
  <c r="V124" i="3"/>
  <c r="P124" i="3"/>
  <c r="P137" i="3"/>
  <c r="V137" i="3"/>
  <c r="T165" i="3"/>
  <c r="H165" i="3"/>
  <c r="O165" i="3"/>
  <c r="K175" i="3"/>
  <c r="O175" i="3"/>
  <c r="V244" i="3"/>
  <c r="P244" i="3"/>
  <c r="U244" i="3"/>
  <c r="V246" i="3"/>
  <c r="P246" i="3"/>
  <c r="U246" i="3"/>
  <c r="U283" i="3"/>
  <c r="T283" i="3"/>
  <c r="V283" i="3"/>
  <c r="P283" i="3"/>
  <c r="U287" i="3"/>
  <c r="T287" i="3"/>
  <c r="V287" i="3"/>
  <c r="P287" i="3"/>
  <c r="U291" i="3"/>
  <c r="T291" i="3"/>
  <c r="V291" i="3"/>
  <c r="P291" i="3"/>
  <c r="O324" i="3"/>
  <c r="V324" i="3" s="1"/>
  <c r="N324" i="3"/>
  <c r="P333" i="3"/>
  <c r="T333" i="3"/>
  <c r="U333" i="3"/>
  <c r="K18" i="4"/>
  <c r="O18" i="4"/>
  <c r="U18" i="4" s="1"/>
  <c r="K115" i="4"/>
  <c r="K170" i="4"/>
  <c r="V30" i="2"/>
  <c r="U33" i="2"/>
  <c r="V36" i="2"/>
  <c r="V40" i="2"/>
  <c r="V44" i="2"/>
  <c r="V66" i="2"/>
  <c r="V70" i="2"/>
  <c r="P73" i="2"/>
  <c r="P75" i="2"/>
  <c r="P77" i="2"/>
  <c r="P79" i="2"/>
  <c r="U81" i="2"/>
  <c r="P85" i="2"/>
  <c r="P93" i="2"/>
  <c r="P102" i="2"/>
  <c r="P104" i="2"/>
  <c r="P106" i="2"/>
  <c r="U112" i="2"/>
  <c r="U120" i="2"/>
  <c r="U124" i="2"/>
  <c r="U128" i="2"/>
  <c r="U138" i="2"/>
  <c r="P141" i="2"/>
  <c r="U144" i="2"/>
  <c r="U148" i="2"/>
  <c r="U152" i="2"/>
  <c r="U156" i="2"/>
  <c r="U160" i="2"/>
  <c r="U164" i="2"/>
  <c r="V166" i="2"/>
  <c r="V177" i="2"/>
  <c r="P179" i="2"/>
  <c r="U182" i="2"/>
  <c r="V185" i="2"/>
  <c r="V198" i="2"/>
  <c r="V201" i="2"/>
  <c r="V205" i="2"/>
  <c r="V209" i="2"/>
  <c r="V213" i="2"/>
  <c r="P216" i="2"/>
  <c r="P218" i="2"/>
  <c r="P220" i="2"/>
  <c r="P222" i="2"/>
  <c r="P229" i="2"/>
  <c r="P231" i="2"/>
  <c r="P233" i="2"/>
  <c r="P235" i="2"/>
  <c r="P237" i="2"/>
  <c r="P254" i="2"/>
  <c r="P256" i="2"/>
  <c r="P258" i="2"/>
  <c r="P260" i="2"/>
  <c r="P262" i="2"/>
  <c r="P264" i="2"/>
  <c r="P266" i="2"/>
  <c r="P268" i="2"/>
  <c r="P271" i="2"/>
  <c r="P273" i="2"/>
  <c r="V279" i="2"/>
  <c r="P281" i="2"/>
  <c r="P283" i="2"/>
  <c r="P285" i="2"/>
  <c r="P287" i="2"/>
  <c r="P289" i="2"/>
  <c r="P291" i="2"/>
  <c r="V301" i="2"/>
  <c r="V305" i="2"/>
  <c r="V309" i="2"/>
  <c r="V316" i="2"/>
  <c r="P320" i="2"/>
  <c r="W320" i="2" s="1"/>
  <c r="V324" i="2"/>
  <c r="P328" i="2"/>
  <c r="V330" i="2"/>
  <c r="Q334" i="3"/>
  <c r="O15" i="3"/>
  <c r="O17" i="3"/>
  <c r="O22" i="3"/>
  <c r="T24" i="3"/>
  <c r="U26" i="3"/>
  <c r="O29" i="3"/>
  <c r="U35" i="3"/>
  <c r="U39" i="3"/>
  <c r="U43" i="3"/>
  <c r="T47" i="3"/>
  <c r="U49" i="3"/>
  <c r="O51" i="3"/>
  <c r="O53" i="3"/>
  <c r="O55" i="3"/>
  <c r="O57" i="3"/>
  <c r="O59" i="3"/>
  <c r="O61" i="3"/>
  <c r="U65" i="3"/>
  <c r="U69" i="3"/>
  <c r="O82" i="3"/>
  <c r="O89" i="3"/>
  <c r="O97" i="3"/>
  <c r="P97" i="3" s="1"/>
  <c r="H97" i="3"/>
  <c r="P104" i="3"/>
  <c r="P105" i="3"/>
  <c r="O108" i="3"/>
  <c r="T108" i="3" s="1"/>
  <c r="U111" i="3"/>
  <c r="O113" i="3"/>
  <c r="O118" i="3"/>
  <c r="O120" i="3"/>
  <c r="U120" i="3" s="1"/>
  <c r="H120" i="3"/>
  <c r="U124" i="3"/>
  <c r="O125" i="3"/>
  <c r="H125" i="3"/>
  <c r="V130" i="3"/>
  <c r="P130" i="3"/>
  <c r="V132" i="3"/>
  <c r="P132" i="3"/>
  <c r="P134" i="3"/>
  <c r="V136" i="3"/>
  <c r="P136" i="3"/>
  <c r="U137" i="3"/>
  <c r="K137" i="3"/>
  <c r="V144" i="3"/>
  <c r="P144" i="3"/>
  <c r="O149" i="3"/>
  <c r="H149" i="3"/>
  <c r="U152" i="3"/>
  <c r="O153" i="3"/>
  <c r="H153" i="3"/>
  <c r="T153" i="3"/>
  <c r="O157" i="3"/>
  <c r="T157" i="3" s="1"/>
  <c r="H157" i="3"/>
  <c r="V162" i="3"/>
  <c r="P162" i="3"/>
  <c r="V169" i="3"/>
  <c r="P169" i="3"/>
  <c r="P178" i="3"/>
  <c r="V180" i="3"/>
  <c r="P180" i="3"/>
  <c r="U181" i="3"/>
  <c r="K181" i="3"/>
  <c r="V189" i="3"/>
  <c r="P189" i="3"/>
  <c r="V193" i="3"/>
  <c r="P193" i="3"/>
  <c r="V197" i="3"/>
  <c r="P197" i="3"/>
  <c r="T204" i="3"/>
  <c r="V204" i="3"/>
  <c r="P204" i="3"/>
  <c r="O212" i="3"/>
  <c r="V212" i="3" s="1"/>
  <c r="N212" i="3"/>
  <c r="T214" i="3"/>
  <c r="V214" i="3"/>
  <c r="P214" i="3"/>
  <c r="T226" i="3"/>
  <c r="H226" i="3"/>
  <c r="P229" i="3"/>
  <c r="P231" i="3"/>
  <c r="P233" i="3"/>
  <c r="P235" i="3"/>
  <c r="P237" i="3"/>
  <c r="T242" i="3"/>
  <c r="H242" i="3"/>
  <c r="T246" i="3"/>
  <c r="H246" i="3"/>
  <c r="T250" i="3"/>
  <c r="H250" i="3"/>
  <c r="N269" i="3"/>
  <c r="P271" i="3"/>
  <c r="P273" i="3"/>
  <c r="V277" i="3"/>
  <c r="P277" i="3"/>
  <c r="V294" i="3"/>
  <c r="P294" i="3"/>
  <c r="V298" i="3"/>
  <c r="P298" i="3"/>
  <c r="T306" i="3"/>
  <c r="V306" i="3"/>
  <c r="P306" i="3"/>
  <c r="T313" i="3"/>
  <c r="V313" i="3"/>
  <c r="P313" i="3"/>
  <c r="V317" i="3"/>
  <c r="P317" i="3"/>
  <c r="T321" i="3"/>
  <c r="V321" i="3"/>
  <c r="P321" i="3"/>
  <c r="V325" i="3"/>
  <c r="P325" i="3"/>
  <c r="T330" i="3"/>
  <c r="V330" i="3"/>
  <c r="P330" i="3"/>
  <c r="V51" i="4"/>
  <c r="P51" i="4"/>
  <c r="U51" i="4"/>
  <c r="V59" i="4"/>
  <c r="P59" i="4"/>
  <c r="U59" i="4"/>
  <c r="U77" i="4"/>
  <c r="T77" i="4"/>
  <c r="V77" i="4"/>
  <c r="P77" i="4"/>
  <c r="T114" i="4"/>
  <c r="V114" i="4"/>
  <c r="P114" i="4"/>
  <c r="U114" i="4"/>
  <c r="O143" i="4"/>
  <c r="U143" i="4" s="1"/>
  <c r="H143" i="4"/>
  <c r="O151" i="4"/>
  <c r="H151" i="4"/>
  <c r="T151" i="4"/>
  <c r="O159" i="4"/>
  <c r="T159" i="4" s="1"/>
  <c r="H159" i="4"/>
  <c r="V169" i="4"/>
  <c r="P169" i="4"/>
  <c r="U169" i="4"/>
  <c r="V190" i="4"/>
  <c r="P190" i="4"/>
  <c r="U190" i="4"/>
  <c r="T190" i="4"/>
  <c r="H243" i="4"/>
  <c r="O243" i="4"/>
  <c r="T243" i="4" s="1"/>
  <c r="V247" i="4"/>
  <c r="P247" i="4"/>
  <c r="U247" i="4"/>
  <c r="P248" i="4"/>
  <c r="V249" i="4"/>
  <c r="P249" i="4"/>
  <c r="U249" i="4"/>
  <c r="T322" i="4"/>
  <c r="P322" i="4"/>
  <c r="U322" i="4"/>
  <c r="V14" i="2"/>
  <c r="P16" i="2"/>
  <c r="P21" i="2"/>
  <c r="P23" i="2"/>
  <c r="U25" i="2"/>
  <c r="V28" i="2"/>
  <c r="Q30" i="2"/>
  <c r="U32" i="2"/>
  <c r="I33" i="2"/>
  <c r="U34" i="2"/>
  <c r="Q36" i="2"/>
  <c r="V37" i="2"/>
  <c r="U38" i="2"/>
  <c r="Q40" i="2"/>
  <c r="V41" i="2"/>
  <c r="U42" i="2"/>
  <c r="Q44" i="2"/>
  <c r="P46" i="2"/>
  <c r="U48" i="2"/>
  <c r="P50" i="2"/>
  <c r="P52" i="2"/>
  <c r="P54" i="2"/>
  <c r="P56" i="2"/>
  <c r="P58" i="2"/>
  <c r="P60" i="2"/>
  <c r="P62" i="2"/>
  <c r="V63" i="2"/>
  <c r="U64" i="2"/>
  <c r="Q66" i="2"/>
  <c r="V67" i="2"/>
  <c r="U68" i="2"/>
  <c r="Q70" i="2"/>
  <c r="V71" i="2"/>
  <c r="U72" i="2"/>
  <c r="U74" i="2"/>
  <c r="U76" i="2"/>
  <c r="U78" i="2"/>
  <c r="U80" i="2"/>
  <c r="I81" i="2"/>
  <c r="P83" i="2"/>
  <c r="U84" i="2"/>
  <c r="I88" i="2"/>
  <c r="U92" i="2"/>
  <c r="U94" i="2"/>
  <c r="I95" i="2"/>
  <c r="U95" i="2"/>
  <c r="I96" i="2"/>
  <c r="I97" i="2"/>
  <c r="U97" i="2"/>
  <c r="I98" i="2"/>
  <c r="U98" i="2"/>
  <c r="P100" i="2"/>
  <c r="U101" i="2"/>
  <c r="U105" i="2"/>
  <c r="V107" i="2"/>
  <c r="P109" i="2"/>
  <c r="U111" i="2"/>
  <c r="I112" i="2"/>
  <c r="V114" i="2"/>
  <c r="P117" i="2"/>
  <c r="U119" i="2"/>
  <c r="I120" i="2"/>
  <c r="U123" i="2"/>
  <c r="I124" i="2"/>
  <c r="U127" i="2"/>
  <c r="I128" i="2"/>
  <c r="U137" i="2"/>
  <c r="I138" i="2"/>
  <c r="I144" i="2"/>
  <c r="U147" i="2"/>
  <c r="I148" i="2"/>
  <c r="U151" i="2"/>
  <c r="I152" i="2"/>
  <c r="U155" i="2"/>
  <c r="I156" i="2"/>
  <c r="I160" i="2"/>
  <c r="I164" i="2"/>
  <c r="Q166" i="2"/>
  <c r="I169" i="2"/>
  <c r="U172" i="2"/>
  <c r="I173" i="2"/>
  <c r="U176" i="2"/>
  <c r="Q177" i="2"/>
  <c r="U181" i="2"/>
  <c r="I182" i="2"/>
  <c r="Q185" i="2"/>
  <c r="V186" i="2"/>
  <c r="I188" i="2"/>
  <c r="P190" i="2"/>
  <c r="P192" i="2"/>
  <c r="P194" i="2"/>
  <c r="P196" i="2"/>
  <c r="Q198" i="2"/>
  <c r="Q201" i="2"/>
  <c r="V202" i="2"/>
  <c r="Q205" i="2"/>
  <c r="V206" i="2"/>
  <c r="Q209" i="2"/>
  <c r="V210" i="2"/>
  <c r="Q213" i="2"/>
  <c r="U215" i="2"/>
  <c r="U217" i="2"/>
  <c r="U219" i="2"/>
  <c r="U221" i="2"/>
  <c r="U223" i="2"/>
  <c r="I224" i="2"/>
  <c r="U228" i="2"/>
  <c r="U232" i="2"/>
  <c r="U234" i="2"/>
  <c r="U236" i="2"/>
  <c r="U238" i="2"/>
  <c r="U253" i="2"/>
  <c r="U255" i="2"/>
  <c r="U257" i="2"/>
  <c r="U259" i="2"/>
  <c r="U261" i="2"/>
  <c r="U265" i="2"/>
  <c r="U267" i="2"/>
  <c r="U272" i="2"/>
  <c r="U275" i="2"/>
  <c r="Q279" i="2"/>
  <c r="U280" i="2"/>
  <c r="U284" i="2"/>
  <c r="U286" i="2"/>
  <c r="U288" i="2"/>
  <c r="U290" i="2"/>
  <c r="U292" i="2"/>
  <c r="U299" i="2"/>
  <c r="Q301" i="2"/>
  <c r="U303" i="2"/>
  <c r="Q305" i="2"/>
  <c r="U307" i="2"/>
  <c r="Q309" i="2"/>
  <c r="U315" i="2"/>
  <c r="Q316" i="2"/>
  <c r="U318" i="2"/>
  <c r="O322" i="2"/>
  <c r="U326" i="2"/>
  <c r="U329" i="2"/>
  <c r="Q330" i="2"/>
  <c r="H13" i="3"/>
  <c r="H14" i="3"/>
  <c r="T14" i="3"/>
  <c r="T16" i="3"/>
  <c r="T21" i="3"/>
  <c r="T23" i="3"/>
  <c r="H24" i="3"/>
  <c r="P26" i="3"/>
  <c r="T28" i="3"/>
  <c r="P35" i="3"/>
  <c r="T37" i="3"/>
  <c r="P39" i="3"/>
  <c r="T41" i="3"/>
  <c r="P43" i="3"/>
  <c r="T46" i="3"/>
  <c r="H47" i="3"/>
  <c r="P49" i="3"/>
  <c r="T50" i="3"/>
  <c r="T52" i="3"/>
  <c r="T54" i="3"/>
  <c r="T56" i="3"/>
  <c r="T58" i="3"/>
  <c r="T62" i="3"/>
  <c r="H63" i="3"/>
  <c r="T63" i="3"/>
  <c r="P65" i="3"/>
  <c r="T67" i="3"/>
  <c r="P69" i="3"/>
  <c r="T71" i="3"/>
  <c r="T83" i="3"/>
  <c r="H91" i="3"/>
  <c r="P92" i="3"/>
  <c r="O96" i="3"/>
  <c r="U96" i="3" s="1"/>
  <c r="T96" i="3"/>
  <c r="H96" i="3"/>
  <c r="K99" i="3"/>
  <c r="H108" i="3"/>
  <c r="K111" i="3"/>
  <c r="H113" i="3"/>
  <c r="U116" i="3"/>
  <c r="H118" i="3"/>
  <c r="O119" i="3"/>
  <c r="U119" i="3" s="1"/>
  <c r="T120" i="3"/>
  <c r="O123" i="3"/>
  <c r="V126" i="3"/>
  <c r="P126" i="3"/>
  <c r="K127" i="3"/>
  <c r="T132" i="3"/>
  <c r="T136" i="3"/>
  <c r="V138" i="3"/>
  <c r="P138" i="3"/>
  <c r="U144" i="3"/>
  <c r="O145" i="3"/>
  <c r="T145" i="3" s="1"/>
  <c r="H145" i="3"/>
  <c r="O147" i="3"/>
  <c r="U147" i="3" s="1"/>
  <c r="T149" i="3"/>
  <c r="O151" i="3"/>
  <c r="V158" i="3"/>
  <c r="P158" i="3"/>
  <c r="U159" i="3"/>
  <c r="K159" i="3"/>
  <c r="U163" i="3"/>
  <c r="K163" i="3"/>
  <c r="U169" i="3"/>
  <c r="O170" i="3"/>
  <c r="H170" i="3"/>
  <c r="O174" i="3"/>
  <c r="T174" i="3" s="1"/>
  <c r="H174" i="3"/>
  <c r="U176" i="3"/>
  <c r="K176" i="3"/>
  <c r="V182" i="3"/>
  <c r="O188" i="3"/>
  <c r="V188" i="3" s="1"/>
  <c r="T189" i="3"/>
  <c r="H189" i="3"/>
  <c r="T193" i="3"/>
  <c r="H193" i="3"/>
  <c r="T197" i="3"/>
  <c r="H197" i="3"/>
  <c r="P199" i="3"/>
  <c r="T208" i="3"/>
  <c r="V208" i="3"/>
  <c r="P208" i="3"/>
  <c r="P216" i="3"/>
  <c r="P218" i="3"/>
  <c r="P220" i="3"/>
  <c r="P222" i="3"/>
  <c r="T277" i="3"/>
  <c r="H277" i="3"/>
  <c r="T294" i="3"/>
  <c r="H294" i="3"/>
  <c r="T298" i="3"/>
  <c r="H298" i="3"/>
  <c r="T317" i="3"/>
  <c r="H317" i="3"/>
  <c r="O318" i="3"/>
  <c r="N318" i="3"/>
  <c r="O322" i="3"/>
  <c r="V322" i="3" s="1"/>
  <c r="N322" i="3"/>
  <c r="T325" i="3"/>
  <c r="H325" i="3"/>
  <c r="O12" i="4"/>
  <c r="T12" i="4" s="1"/>
  <c r="H12" i="4"/>
  <c r="H33" i="4"/>
  <c r="O33" i="4"/>
  <c r="P33" i="4" s="1"/>
  <c r="V49" i="4"/>
  <c r="P49" i="4"/>
  <c r="T49" i="4"/>
  <c r="U49" i="4"/>
  <c r="V57" i="4"/>
  <c r="P57" i="4"/>
  <c r="U57" i="4"/>
  <c r="T67" i="4"/>
  <c r="V67" i="4"/>
  <c r="P67" i="4"/>
  <c r="U67" i="4"/>
  <c r="V80" i="4"/>
  <c r="P80" i="4"/>
  <c r="U80" i="4"/>
  <c r="T80" i="4"/>
  <c r="V88" i="4"/>
  <c r="P88" i="4"/>
  <c r="U88" i="4"/>
  <c r="T94" i="4"/>
  <c r="H109" i="4"/>
  <c r="O109" i="4"/>
  <c r="T109" i="4" s="1"/>
  <c r="K113" i="4"/>
  <c r="O123" i="4"/>
  <c r="T123" i="4" s="1"/>
  <c r="H123" i="4"/>
  <c r="K149" i="4"/>
  <c r="K157" i="4"/>
  <c r="U179" i="4"/>
  <c r="T179" i="4"/>
  <c r="V179" i="4"/>
  <c r="P179" i="4"/>
  <c r="P18" i="2"/>
  <c r="Q28" i="2"/>
  <c r="Q37" i="2"/>
  <c r="Q41" i="2"/>
  <c r="Q67" i="2"/>
  <c r="Q71" i="2"/>
  <c r="I87" i="2"/>
  <c r="I99" i="2"/>
  <c r="Q107" i="2"/>
  <c r="I111" i="2"/>
  <c r="Q114" i="2"/>
  <c r="I123" i="2"/>
  <c r="I127" i="2"/>
  <c r="I131" i="2"/>
  <c r="I132" i="2"/>
  <c r="I133" i="2"/>
  <c r="I134" i="2"/>
  <c r="I135" i="2"/>
  <c r="I136" i="2"/>
  <c r="I137" i="2"/>
  <c r="I143" i="2"/>
  <c r="I147" i="2"/>
  <c r="I151" i="2"/>
  <c r="I155" i="2"/>
  <c r="I159" i="2"/>
  <c r="I163" i="2"/>
  <c r="I168" i="2"/>
  <c r="I172" i="2"/>
  <c r="I176" i="2"/>
  <c r="I181" i="2"/>
  <c r="Q186" i="2"/>
  <c r="Q202" i="2"/>
  <c r="Q206" i="2"/>
  <c r="Q210" i="2"/>
  <c r="P224" i="2"/>
  <c r="U224" i="2" s="1"/>
  <c r="V90" i="3"/>
  <c r="P90" i="3"/>
  <c r="U90" i="3"/>
  <c r="O95" i="3"/>
  <c r="U95" i="3" s="1"/>
  <c r="H95" i="3"/>
  <c r="O110" i="3"/>
  <c r="T110" i="3" s="1"/>
  <c r="O112" i="3"/>
  <c r="H112" i="3"/>
  <c r="O116" i="3"/>
  <c r="T116" i="3" s="1"/>
  <c r="U123" i="3"/>
  <c r="K123" i="3"/>
  <c r="V128" i="3"/>
  <c r="P128" i="3"/>
  <c r="U130" i="3"/>
  <c r="O131" i="3"/>
  <c r="U132" i="3"/>
  <c r="O133" i="3"/>
  <c r="U133" i="3" s="1"/>
  <c r="O135" i="3"/>
  <c r="U135" i="3" s="1"/>
  <c r="U136" i="3"/>
  <c r="O139" i="3"/>
  <c r="H139" i="3"/>
  <c r="O143" i="3"/>
  <c r="T143" i="3" s="1"/>
  <c r="V146" i="3"/>
  <c r="P146" i="3"/>
  <c r="K147" i="3"/>
  <c r="V150" i="3"/>
  <c r="P150" i="3"/>
  <c r="U151" i="3"/>
  <c r="K151" i="3"/>
  <c r="U155" i="3"/>
  <c r="K155" i="3"/>
  <c r="V160" i="3"/>
  <c r="P160" i="3"/>
  <c r="U162" i="3"/>
  <c r="V164" i="3"/>
  <c r="P164" i="3"/>
  <c r="O168" i="3"/>
  <c r="T168" i="3" s="1"/>
  <c r="O172" i="3"/>
  <c r="T172" i="3" s="1"/>
  <c r="V178" i="3"/>
  <c r="U180" i="3"/>
  <c r="O183" i="3"/>
  <c r="T183" i="3" s="1"/>
  <c r="H183" i="3"/>
  <c r="U189" i="3"/>
  <c r="U193" i="3"/>
  <c r="U197" i="3"/>
  <c r="U204" i="3"/>
  <c r="U214" i="3"/>
  <c r="V229" i="3"/>
  <c r="V231" i="3"/>
  <c r="V233" i="3"/>
  <c r="V237" i="3"/>
  <c r="T240" i="3"/>
  <c r="H240" i="3"/>
  <c r="T244" i="3"/>
  <c r="H244" i="3"/>
  <c r="T248" i="3"/>
  <c r="H248" i="3"/>
  <c r="V251" i="3"/>
  <c r="P251" i="3"/>
  <c r="U251" i="3"/>
  <c r="T251" i="3"/>
  <c r="O269" i="3"/>
  <c r="O270" i="3"/>
  <c r="H270" i="3"/>
  <c r="V271" i="3"/>
  <c r="V273" i="3"/>
  <c r="T274" i="3"/>
  <c r="V274" i="3"/>
  <c r="P274" i="3"/>
  <c r="U277" i="3"/>
  <c r="U294" i="3"/>
  <c r="U298" i="3"/>
  <c r="T302" i="3"/>
  <c r="V302" i="3"/>
  <c r="P302" i="3"/>
  <c r="U306" i="3"/>
  <c r="T310" i="3"/>
  <c r="V310" i="3"/>
  <c r="P310" i="3"/>
  <c r="U313" i="3"/>
  <c r="U317" i="3"/>
  <c r="T319" i="3"/>
  <c r="V319" i="3"/>
  <c r="P319" i="3"/>
  <c r="U321" i="3"/>
  <c r="T323" i="3"/>
  <c r="V323" i="3"/>
  <c r="P323" i="3"/>
  <c r="U325" i="3"/>
  <c r="U330" i="3"/>
  <c r="V19" i="4"/>
  <c r="P19" i="4"/>
  <c r="U19" i="4"/>
  <c r="V27" i="4"/>
  <c r="P27" i="4"/>
  <c r="T27" i="4"/>
  <c r="U27" i="4"/>
  <c r="V55" i="4"/>
  <c r="P55" i="4"/>
  <c r="U55" i="4"/>
  <c r="V103" i="4"/>
  <c r="P103" i="4"/>
  <c r="U103" i="4"/>
  <c r="T103" i="4"/>
  <c r="V112" i="4"/>
  <c r="P112" i="4"/>
  <c r="U112" i="4"/>
  <c r="T117" i="4"/>
  <c r="H117" i="4"/>
  <c r="O117" i="4"/>
  <c r="K121" i="4"/>
  <c r="V129" i="4"/>
  <c r="V140" i="4"/>
  <c r="P140" i="4"/>
  <c r="U140" i="4"/>
  <c r="T140" i="4"/>
  <c r="V148" i="4"/>
  <c r="P148" i="4"/>
  <c r="U148" i="4"/>
  <c r="V156" i="4"/>
  <c r="P156" i="4"/>
  <c r="U156" i="4"/>
  <c r="V164" i="4"/>
  <c r="P164" i="4"/>
  <c r="U164" i="4"/>
  <c r="O172" i="4"/>
  <c r="T172" i="4" s="1"/>
  <c r="H172" i="4"/>
  <c r="K183" i="4"/>
  <c r="T124" i="3"/>
  <c r="T128" i="3"/>
  <c r="T138" i="3"/>
  <c r="O141" i="3"/>
  <c r="T144" i="3"/>
  <c r="T152" i="3"/>
  <c r="T160" i="3"/>
  <c r="T164" i="3"/>
  <c r="U166" i="3"/>
  <c r="T169" i="3"/>
  <c r="U177" i="3"/>
  <c r="O179" i="3"/>
  <c r="U185" i="3"/>
  <c r="U198" i="3"/>
  <c r="U201" i="3"/>
  <c r="U205" i="3"/>
  <c r="U209" i="3"/>
  <c r="U215" i="3"/>
  <c r="O217" i="3"/>
  <c r="O219" i="3"/>
  <c r="O221" i="3"/>
  <c r="O223" i="3"/>
  <c r="O224" i="3"/>
  <c r="U228" i="3"/>
  <c r="O230" i="3"/>
  <c r="O232" i="3"/>
  <c r="O234" i="3"/>
  <c r="O236" i="3"/>
  <c r="O238" i="3"/>
  <c r="U253" i="3"/>
  <c r="O255" i="3"/>
  <c r="O257" i="3"/>
  <c r="O259" i="3"/>
  <c r="O261" i="3"/>
  <c r="O263" i="3"/>
  <c r="O265" i="3"/>
  <c r="O267" i="3"/>
  <c r="T269" i="3"/>
  <c r="O272" i="3"/>
  <c r="U275" i="3"/>
  <c r="O280" i="3"/>
  <c r="O282" i="3"/>
  <c r="O284" i="3"/>
  <c r="O286" i="3"/>
  <c r="O288" i="3"/>
  <c r="O290" i="3"/>
  <c r="O292" i="3"/>
  <c r="U299" i="3"/>
  <c r="U303" i="3"/>
  <c r="U307" i="3"/>
  <c r="O315" i="3"/>
  <c r="K12" i="4"/>
  <c r="T14" i="4"/>
  <c r="N18" i="4"/>
  <c r="H19" i="4"/>
  <c r="T19" i="4"/>
  <c r="O31" i="4"/>
  <c r="H31" i="4"/>
  <c r="V32" i="4"/>
  <c r="P32" i="4"/>
  <c r="V35" i="4"/>
  <c r="P35" i="4"/>
  <c r="T35" i="4"/>
  <c r="V39" i="4"/>
  <c r="P39" i="4"/>
  <c r="T39" i="4"/>
  <c r="V43" i="4"/>
  <c r="P43" i="4"/>
  <c r="T43" i="4"/>
  <c r="V45" i="4"/>
  <c r="P45" i="4"/>
  <c r="P48" i="4"/>
  <c r="H51" i="4"/>
  <c r="T51" i="4"/>
  <c r="H53" i="4"/>
  <c r="T53" i="4"/>
  <c r="H55" i="4"/>
  <c r="T55" i="4"/>
  <c r="H57" i="4"/>
  <c r="T57" i="4"/>
  <c r="H59" i="4"/>
  <c r="T59" i="4"/>
  <c r="H61" i="4"/>
  <c r="T61" i="4"/>
  <c r="T63" i="4"/>
  <c r="H63" i="4"/>
  <c r="V74" i="4"/>
  <c r="P74" i="4"/>
  <c r="U74" i="4"/>
  <c r="U79" i="4"/>
  <c r="T79" i="4"/>
  <c r="P79" i="4"/>
  <c r="V83" i="4"/>
  <c r="P83" i="4"/>
  <c r="U93" i="4"/>
  <c r="T93" i="4"/>
  <c r="P93" i="4"/>
  <c r="N99" i="4"/>
  <c r="U102" i="4"/>
  <c r="T102" i="4"/>
  <c r="P102" i="4"/>
  <c r="V105" i="4"/>
  <c r="P105" i="4"/>
  <c r="U105" i="4"/>
  <c r="T107" i="4"/>
  <c r="V107" i="4"/>
  <c r="P107" i="4"/>
  <c r="N126" i="4"/>
  <c r="K129" i="4"/>
  <c r="O131" i="4"/>
  <c r="P131" i="4" s="1"/>
  <c r="H131" i="4"/>
  <c r="O132" i="4"/>
  <c r="P132" i="4" s="1"/>
  <c r="T132" i="4"/>
  <c r="H132" i="4"/>
  <c r="O133" i="4"/>
  <c r="P133" i="4" s="1"/>
  <c r="H133" i="4"/>
  <c r="O134" i="4"/>
  <c r="P134" i="4" s="1"/>
  <c r="H134" i="4"/>
  <c r="O135" i="4"/>
  <c r="P135" i="4" s="1"/>
  <c r="H135" i="4"/>
  <c r="O136" i="4"/>
  <c r="P136" i="4" s="1"/>
  <c r="H136" i="4"/>
  <c r="O137" i="4"/>
  <c r="T137" i="4" s="1"/>
  <c r="H137" i="4"/>
  <c r="N175" i="4"/>
  <c r="O177" i="4"/>
  <c r="U177" i="4" s="1"/>
  <c r="K177" i="4"/>
  <c r="O188" i="4"/>
  <c r="T188" i="4" s="1"/>
  <c r="H188" i="4"/>
  <c r="U195" i="4"/>
  <c r="V195" i="4"/>
  <c r="P195" i="4"/>
  <c r="V240" i="4"/>
  <c r="P240" i="4"/>
  <c r="U240" i="4"/>
  <c r="V241" i="4"/>
  <c r="P241" i="4"/>
  <c r="U241" i="4"/>
  <c r="V328" i="4"/>
  <c r="P328" i="4"/>
  <c r="U328" i="4"/>
  <c r="W195" i="5"/>
  <c r="Q195" i="5"/>
  <c r="V195" i="5"/>
  <c r="U195" i="5"/>
  <c r="T92" i="3"/>
  <c r="T94" i="3"/>
  <c r="O100" i="3"/>
  <c r="T101" i="3"/>
  <c r="U107" i="3"/>
  <c r="O109" i="3"/>
  <c r="T111" i="3"/>
  <c r="U114" i="3"/>
  <c r="O117" i="3"/>
  <c r="T123" i="3"/>
  <c r="H124" i="3"/>
  <c r="T127" i="3"/>
  <c r="H128" i="3"/>
  <c r="T137" i="3"/>
  <c r="H138" i="3"/>
  <c r="T140" i="3"/>
  <c r="H144" i="3"/>
  <c r="H148" i="3"/>
  <c r="T151" i="3"/>
  <c r="H152" i="3"/>
  <c r="H156" i="3"/>
  <c r="T159" i="3"/>
  <c r="H160" i="3"/>
  <c r="T163" i="3"/>
  <c r="H164" i="3"/>
  <c r="P166" i="3"/>
  <c r="H169" i="3"/>
  <c r="H173" i="3"/>
  <c r="T176" i="3"/>
  <c r="T178" i="3"/>
  <c r="T181" i="3"/>
  <c r="H182" i="3"/>
  <c r="P185" i="3"/>
  <c r="U186" i="3"/>
  <c r="T187" i="3"/>
  <c r="H188" i="3"/>
  <c r="O190" i="3"/>
  <c r="O192" i="3"/>
  <c r="O194" i="3"/>
  <c r="O196" i="3"/>
  <c r="P198" i="3"/>
  <c r="T199" i="3"/>
  <c r="P201" i="3"/>
  <c r="U202" i="3"/>
  <c r="T203" i="3"/>
  <c r="P205" i="3"/>
  <c r="U206" i="3"/>
  <c r="T207" i="3"/>
  <c r="P209" i="3"/>
  <c r="U210" i="3"/>
  <c r="T213" i="3"/>
  <c r="P215" i="3"/>
  <c r="T216" i="3"/>
  <c r="T218" i="3"/>
  <c r="T220" i="3"/>
  <c r="T222" i="3"/>
  <c r="P228" i="3"/>
  <c r="T229" i="3"/>
  <c r="T231" i="3"/>
  <c r="T233" i="3"/>
  <c r="T237" i="3"/>
  <c r="U239" i="3"/>
  <c r="O241" i="3"/>
  <c r="O243" i="3"/>
  <c r="O245" i="3"/>
  <c r="O247" i="3"/>
  <c r="O249" i="3"/>
  <c r="P253" i="3"/>
  <c r="T254" i="3"/>
  <c r="T256" i="3"/>
  <c r="T258" i="3"/>
  <c r="T260" i="3"/>
  <c r="T262" i="3"/>
  <c r="T264" i="3"/>
  <c r="T266" i="3"/>
  <c r="T268" i="3"/>
  <c r="H269" i="3"/>
  <c r="T271" i="3"/>
  <c r="T273" i="3"/>
  <c r="P275" i="3"/>
  <c r="U276" i="3"/>
  <c r="O278" i="3"/>
  <c r="T279" i="3"/>
  <c r="T281" i="3"/>
  <c r="U293" i="3"/>
  <c r="O295" i="3"/>
  <c r="O297" i="3"/>
  <c r="P299" i="3"/>
  <c r="U300" i="3"/>
  <c r="P303" i="3"/>
  <c r="U304" i="3"/>
  <c r="P307" i="3"/>
  <c r="U308" i="3"/>
  <c r="O311" i="3"/>
  <c r="U316" i="3"/>
  <c r="O326" i="3"/>
  <c r="O328" i="3"/>
  <c r="O331" i="3"/>
  <c r="V14" i="4"/>
  <c r="V25" i="4"/>
  <c r="P25" i="4"/>
  <c r="V30" i="4"/>
  <c r="P30" i="4"/>
  <c r="T30" i="4"/>
  <c r="K31" i="4"/>
  <c r="U31" i="4"/>
  <c r="T31" i="4"/>
  <c r="N33" i="4"/>
  <c r="O47" i="4"/>
  <c r="T47" i="4" s="1"/>
  <c r="H47" i="4"/>
  <c r="V50" i="4"/>
  <c r="P50" i="4"/>
  <c r="V52" i="4"/>
  <c r="P52" i="4"/>
  <c r="V54" i="4"/>
  <c r="P54" i="4"/>
  <c r="V56" i="4"/>
  <c r="P56" i="4"/>
  <c r="V58" i="4"/>
  <c r="P58" i="4"/>
  <c r="V60" i="4"/>
  <c r="P60" i="4"/>
  <c r="V62" i="4"/>
  <c r="P62" i="4"/>
  <c r="U63" i="4"/>
  <c r="V65" i="4"/>
  <c r="P65" i="4"/>
  <c r="T65" i="4"/>
  <c r="U73" i="4"/>
  <c r="T73" i="4"/>
  <c r="P73" i="4"/>
  <c r="T74" i="4"/>
  <c r="V76" i="4"/>
  <c r="P76" i="4"/>
  <c r="U76" i="4"/>
  <c r="T83" i="4"/>
  <c r="H83" i="4"/>
  <c r="O87" i="4"/>
  <c r="T87" i="4" s="1"/>
  <c r="H87" i="4"/>
  <c r="V90" i="4"/>
  <c r="P90" i="4"/>
  <c r="U91" i="4"/>
  <c r="K91" i="4"/>
  <c r="V95" i="4"/>
  <c r="P95" i="4"/>
  <c r="V96" i="4"/>
  <c r="P96" i="4"/>
  <c r="V97" i="4"/>
  <c r="P97" i="4"/>
  <c r="V98" i="4"/>
  <c r="P98" i="4"/>
  <c r="V100" i="4"/>
  <c r="P100" i="4"/>
  <c r="U104" i="4"/>
  <c r="T104" i="4"/>
  <c r="P104" i="4"/>
  <c r="T105" i="4"/>
  <c r="O111" i="4"/>
  <c r="T111" i="4" s="1"/>
  <c r="H111" i="4"/>
  <c r="O119" i="4"/>
  <c r="T119" i="4" s="1"/>
  <c r="H119" i="4"/>
  <c r="U125" i="4"/>
  <c r="K125" i="4"/>
  <c r="U141" i="4"/>
  <c r="T141" i="4"/>
  <c r="P141" i="4"/>
  <c r="V144" i="4"/>
  <c r="P144" i="4"/>
  <c r="K145" i="4"/>
  <c r="O147" i="4"/>
  <c r="U147" i="4" s="1"/>
  <c r="H147" i="4"/>
  <c r="V152" i="4"/>
  <c r="P152" i="4"/>
  <c r="U153" i="4"/>
  <c r="K153" i="4"/>
  <c r="O155" i="4"/>
  <c r="T155" i="4" s="1"/>
  <c r="H155" i="4"/>
  <c r="V160" i="4"/>
  <c r="P160" i="4"/>
  <c r="U161" i="4"/>
  <c r="K161" i="4"/>
  <c r="O163" i="4"/>
  <c r="H163" i="4"/>
  <c r="O168" i="4"/>
  <c r="T168" i="4" s="1"/>
  <c r="H168" i="4"/>
  <c r="V173" i="4"/>
  <c r="P173" i="4"/>
  <c r="U174" i="4"/>
  <c r="K174" i="4"/>
  <c r="V178" i="4"/>
  <c r="P178" i="4"/>
  <c r="U178" i="4"/>
  <c r="O181" i="4"/>
  <c r="T181" i="4" s="1"/>
  <c r="H181" i="4"/>
  <c r="U191" i="4"/>
  <c r="V191" i="4"/>
  <c r="P191" i="4"/>
  <c r="T198" i="4"/>
  <c r="U198" i="4"/>
  <c r="P198" i="4"/>
  <c r="V269" i="4"/>
  <c r="P269" i="4"/>
  <c r="U269" i="4"/>
  <c r="V297" i="4"/>
  <c r="P297" i="4"/>
  <c r="U297" i="4"/>
  <c r="V298" i="4"/>
  <c r="P298" i="4"/>
  <c r="U298" i="4"/>
  <c r="T298" i="4"/>
  <c r="P315" i="4"/>
  <c r="U19" i="5"/>
  <c r="W19" i="5"/>
  <c r="Q19" i="5"/>
  <c r="V19" i="5"/>
  <c r="U51" i="5"/>
  <c r="W51" i="5"/>
  <c r="Q51" i="5"/>
  <c r="V51" i="5"/>
  <c r="U83" i="5"/>
  <c r="W83" i="5"/>
  <c r="Q83" i="5"/>
  <c r="V83" i="5"/>
  <c r="U178" i="5"/>
  <c r="V178" i="5"/>
  <c r="Q178" i="5"/>
  <c r="W178" i="5"/>
  <c r="H99" i="3"/>
  <c r="P107" i="3"/>
  <c r="H111" i="3"/>
  <c r="P114" i="3"/>
  <c r="H119" i="3"/>
  <c r="H123" i="3"/>
  <c r="H127" i="3"/>
  <c r="H131" i="3"/>
  <c r="H132" i="3"/>
  <c r="H133" i="3"/>
  <c r="H134" i="3"/>
  <c r="H135" i="3"/>
  <c r="H136" i="3"/>
  <c r="H137" i="3"/>
  <c r="H143" i="3"/>
  <c r="H147" i="3"/>
  <c r="H151" i="3"/>
  <c r="H159" i="3"/>
  <c r="H168" i="3"/>
  <c r="H172" i="3"/>
  <c r="H176" i="3"/>
  <c r="H181" i="3"/>
  <c r="P186" i="3"/>
  <c r="P202" i="3"/>
  <c r="P206" i="3"/>
  <c r="P210" i="3"/>
  <c r="P239" i="3"/>
  <c r="P276" i="3"/>
  <c r="P293" i="3"/>
  <c r="P300" i="3"/>
  <c r="P304" i="3"/>
  <c r="P308" i="3"/>
  <c r="O314" i="3"/>
  <c r="P316" i="3"/>
  <c r="H331" i="3"/>
  <c r="V333" i="3"/>
  <c r="N333" i="3"/>
  <c r="U14" i="4"/>
  <c r="P15" i="4"/>
  <c r="P16" i="4"/>
  <c r="P17" i="4"/>
  <c r="O20" i="4"/>
  <c r="H20" i="4"/>
  <c r="P21" i="4"/>
  <c r="P22" i="4"/>
  <c r="P23" i="4"/>
  <c r="T24" i="4"/>
  <c r="T25" i="4"/>
  <c r="H25" i="4"/>
  <c r="P29" i="4"/>
  <c r="U32" i="4"/>
  <c r="U35" i="4"/>
  <c r="T37" i="4"/>
  <c r="V37" i="4"/>
  <c r="P37" i="4"/>
  <c r="U39" i="4"/>
  <c r="T41" i="4"/>
  <c r="V41" i="4"/>
  <c r="P41" i="4"/>
  <c r="U43" i="4"/>
  <c r="U45" i="4"/>
  <c r="K47" i="4"/>
  <c r="T48" i="4"/>
  <c r="T50" i="4"/>
  <c r="H50" i="4"/>
  <c r="T52" i="4"/>
  <c r="H52" i="4"/>
  <c r="T54" i="4"/>
  <c r="H54" i="4"/>
  <c r="T56" i="4"/>
  <c r="H56" i="4"/>
  <c r="T58" i="4"/>
  <c r="H58" i="4"/>
  <c r="T60" i="4"/>
  <c r="H60" i="4"/>
  <c r="T62" i="4"/>
  <c r="H62" i="4"/>
  <c r="N63" i="4"/>
  <c r="V63" i="4"/>
  <c r="T71" i="4"/>
  <c r="V71" i="4"/>
  <c r="P71" i="4"/>
  <c r="U75" i="4"/>
  <c r="T75" i="4"/>
  <c r="P75" i="4"/>
  <c r="T76" i="4"/>
  <c r="V78" i="4"/>
  <c r="P78" i="4"/>
  <c r="U78" i="4"/>
  <c r="V79" i="4"/>
  <c r="V81" i="4"/>
  <c r="P81" i="4"/>
  <c r="U83" i="4"/>
  <c r="T88" i="4"/>
  <c r="T90" i="4"/>
  <c r="H90" i="4"/>
  <c r="V92" i="4"/>
  <c r="P92" i="4"/>
  <c r="U92" i="4"/>
  <c r="V93" i="4"/>
  <c r="O99" i="4"/>
  <c r="V99" i="4" s="1"/>
  <c r="H99" i="4"/>
  <c r="T100" i="4"/>
  <c r="H100" i="4"/>
  <c r="V102" i="4"/>
  <c r="U106" i="4"/>
  <c r="T106" i="4"/>
  <c r="P106" i="4"/>
  <c r="U107" i="4"/>
  <c r="T112" i="4"/>
  <c r="O113" i="4"/>
  <c r="O115" i="4"/>
  <c r="U115" i="4" s="1"/>
  <c r="T120" i="4"/>
  <c r="O121" i="4"/>
  <c r="T121" i="4" s="1"/>
  <c r="O127" i="4"/>
  <c r="T127" i="4" s="1"/>
  <c r="H127" i="4"/>
  <c r="V131" i="4"/>
  <c r="N131" i="4"/>
  <c r="N132" i="4"/>
  <c r="V133" i="4"/>
  <c r="N133" i="4"/>
  <c r="N134" i="4"/>
  <c r="N135" i="4"/>
  <c r="N136" i="4"/>
  <c r="P138" i="4"/>
  <c r="U139" i="4"/>
  <c r="K139" i="4"/>
  <c r="T148" i="4"/>
  <c r="O149" i="4"/>
  <c r="U149" i="4" s="1"/>
  <c r="T156" i="4"/>
  <c r="O157" i="4"/>
  <c r="T164" i="4"/>
  <c r="T169" i="4"/>
  <c r="O170" i="4"/>
  <c r="T170" i="4" s="1"/>
  <c r="O176" i="4"/>
  <c r="H176" i="4"/>
  <c r="T178" i="4"/>
  <c r="O183" i="4"/>
  <c r="U183" i="4" s="1"/>
  <c r="V186" i="4"/>
  <c r="P186" i="4"/>
  <c r="U186" i="4"/>
  <c r="T186" i="4"/>
  <c r="V194" i="4"/>
  <c r="P194" i="4"/>
  <c r="U194" i="4"/>
  <c r="T194" i="4"/>
  <c r="H251" i="4"/>
  <c r="O251" i="4"/>
  <c r="V277" i="4"/>
  <c r="P277" i="4"/>
  <c r="U277" i="4"/>
  <c r="T277" i="4"/>
  <c r="V278" i="4"/>
  <c r="P278" i="4"/>
  <c r="U278" i="4"/>
  <c r="V311" i="4"/>
  <c r="P311" i="4"/>
  <c r="U311" i="4"/>
  <c r="V331" i="4"/>
  <c r="P331" i="4"/>
  <c r="U331" i="4"/>
  <c r="U104" i="5"/>
  <c r="W104" i="5"/>
  <c r="Q104" i="5"/>
  <c r="V104" i="5"/>
  <c r="W163" i="5"/>
  <c r="Q163" i="5"/>
  <c r="V163" i="5"/>
  <c r="U163" i="5"/>
  <c r="Q334" i="4"/>
  <c r="T69" i="4"/>
  <c r="U87" i="4"/>
  <c r="U111" i="4"/>
  <c r="U137" i="4"/>
  <c r="U151" i="4"/>
  <c r="U155" i="4"/>
  <c r="U159" i="4"/>
  <c r="U163" i="4"/>
  <c r="U176" i="4"/>
  <c r="O189" i="4"/>
  <c r="T189" i="4" s="1"/>
  <c r="V201" i="4"/>
  <c r="V202" i="4"/>
  <c r="P202" i="4"/>
  <c r="V209" i="4"/>
  <c r="V210" i="4"/>
  <c r="P210" i="4"/>
  <c r="O217" i="4"/>
  <c r="T217" i="4" s="1"/>
  <c r="P219" i="4"/>
  <c r="P221" i="4"/>
  <c r="P223" i="4"/>
  <c r="V226" i="4"/>
  <c r="P226" i="4"/>
  <c r="U226" i="4"/>
  <c r="T226" i="4"/>
  <c r="N227" i="4"/>
  <c r="T239" i="4"/>
  <c r="V239" i="4"/>
  <c r="P239" i="4"/>
  <c r="T241" i="4"/>
  <c r="H241" i="4"/>
  <c r="V246" i="4"/>
  <c r="P246" i="4"/>
  <c r="U246" i="4"/>
  <c r="T246" i="4"/>
  <c r="T249" i="4"/>
  <c r="H249" i="4"/>
  <c r="O270" i="4"/>
  <c r="U270" i="4" s="1"/>
  <c r="K270" i="4"/>
  <c r="T276" i="4"/>
  <c r="V276" i="4"/>
  <c r="P276" i="4"/>
  <c r="T278" i="4"/>
  <c r="H278" i="4"/>
  <c r="P280" i="4"/>
  <c r="P282" i="4"/>
  <c r="P284" i="4"/>
  <c r="P286" i="4"/>
  <c r="P290" i="4"/>
  <c r="P292" i="4"/>
  <c r="T296" i="4"/>
  <c r="T308" i="4"/>
  <c r="V308" i="4"/>
  <c r="P308" i="4"/>
  <c r="V317" i="4"/>
  <c r="P317" i="4"/>
  <c r="U317" i="4"/>
  <c r="T320" i="4"/>
  <c r="O323" i="4"/>
  <c r="V323" i="4" s="1"/>
  <c r="N323" i="4"/>
  <c r="V327" i="4"/>
  <c r="P327" i="4"/>
  <c r="U327" i="4"/>
  <c r="U15" i="5"/>
  <c r="W15" i="5"/>
  <c r="Q15" i="5"/>
  <c r="U31" i="5"/>
  <c r="W31" i="5"/>
  <c r="Q31" i="5"/>
  <c r="U47" i="5"/>
  <c r="W47" i="5"/>
  <c r="Q47" i="5"/>
  <c r="U63" i="5"/>
  <c r="W63" i="5"/>
  <c r="Q63" i="5"/>
  <c r="U79" i="5"/>
  <c r="W79" i="5"/>
  <c r="Q79" i="5"/>
  <c r="U95" i="5"/>
  <c r="W95" i="5"/>
  <c r="Q95" i="5"/>
  <c r="U116" i="5"/>
  <c r="W116" i="5"/>
  <c r="Q116" i="5"/>
  <c r="U138" i="5"/>
  <c r="V138" i="5"/>
  <c r="Q138" i="5"/>
  <c r="W155" i="5"/>
  <c r="Q155" i="5"/>
  <c r="V155" i="5"/>
  <c r="U155" i="5"/>
  <c r="U170" i="5"/>
  <c r="V170" i="5"/>
  <c r="Q170" i="5"/>
  <c r="W187" i="5"/>
  <c r="Q187" i="5"/>
  <c r="V187" i="5"/>
  <c r="U187" i="5"/>
  <c r="U202" i="5"/>
  <c r="V202" i="5"/>
  <c r="Q202" i="5"/>
  <c r="U69" i="4"/>
  <c r="O82" i="4"/>
  <c r="U86" i="4"/>
  <c r="O89" i="4"/>
  <c r="T91" i="4"/>
  <c r="U99" i="4"/>
  <c r="O108" i="4"/>
  <c r="T108" i="4" s="1"/>
  <c r="O110" i="4"/>
  <c r="T110" i="4" s="1"/>
  <c r="O118" i="4"/>
  <c r="U122" i="4"/>
  <c r="T125" i="4"/>
  <c r="O126" i="4"/>
  <c r="U126" i="4" s="1"/>
  <c r="U130" i="4"/>
  <c r="U134" i="4"/>
  <c r="T139" i="4"/>
  <c r="U142" i="4"/>
  <c r="T145" i="4"/>
  <c r="U146" i="4"/>
  <c r="U150" i="4"/>
  <c r="T153" i="4"/>
  <c r="T157" i="4"/>
  <c r="T161" i="4"/>
  <c r="O165" i="4"/>
  <c r="U171" i="4"/>
  <c r="T174" i="4"/>
  <c r="O175" i="4"/>
  <c r="U175" i="4" s="1"/>
  <c r="T183" i="4"/>
  <c r="U184" i="4"/>
  <c r="V192" i="4"/>
  <c r="P192" i="4"/>
  <c r="P193" i="4"/>
  <c r="V196" i="4"/>
  <c r="P196" i="4"/>
  <c r="T225" i="4"/>
  <c r="V225" i="4"/>
  <c r="P225" i="4"/>
  <c r="O227" i="4"/>
  <c r="P227" i="4" s="1"/>
  <c r="T227" i="4"/>
  <c r="H227" i="4"/>
  <c r="V244" i="4"/>
  <c r="P244" i="4"/>
  <c r="U244" i="4"/>
  <c r="T244" i="4"/>
  <c r="V245" i="4"/>
  <c r="P245" i="4"/>
  <c r="T247" i="4"/>
  <c r="H247" i="4"/>
  <c r="V252" i="4"/>
  <c r="P252" i="4"/>
  <c r="U252" i="4"/>
  <c r="T252" i="4"/>
  <c r="V294" i="4"/>
  <c r="P294" i="4"/>
  <c r="U294" i="4"/>
  <c r="T294" i="4"/>
  <c r="V295" i="4"/>
  <c r="P295" i="4"/>
  <c r="T297" i="4"/>
  <c r="H297" i="4"/>
  <c r="T304" i="4"/>
  <c r="V304" i="4"/>
  <c r="P304" i="4"/>
  <c r="T311" i="4"/>
  <c r="H311" i="4"/>
  <c r="T316" i="4"/>
  <c r="V316" i="4"/>
  <c r="P316" i="4"/>
  <c r="T318" i="4"/>
  <c r="P318" i="4"/>
  <c r="O321" i="4"/>
  <c r="V321" i="4" s="1"/>
  <c r="N321" i="4"/>
  <c r="V322" i="4"/>
  <c r="V325" i="4"/>
  <c r="P325" i="4"/>
  <c r="U325" i="4"/>
  <c r="V326" i="4"/>
  <c r="P326" i="4"/>
  <c r="T328" i="4"/>
  <c r="H328" i="4"/>
  <c r="T331" i="4"/>
  <c r="H331" i="4"/>
  <c r="O333" i="4"/>
  <c r="N333" i="4"/>
  <c r="U27" i="5"/>
  <c r="W27" i="5"/>
  <c r="Q27" i="5"/>
  <c r="U43" i="5"/>
  <c r="W43" i="5"/>
  <c r="Q43" i="5"/>
  <c r="U59" i="5"/>
  <c r="W59" i="5"/>
  <c r="Q59" i="5"/>
  <c r="U75" i="5"/>
  <c r="W75" i="5"/>
  <c r="Q75" i="5"/>
  <c r="U91" i="5"/>
  <c r="W91" i="5"/>
  <c r="Q91" i="5"/>
  <c r="U112" i="5"/>
  <c r="W112" i="5"/>
  <c r="Q112" i="5"/>
  <c r="W147" i="5"/>
  <c r="Q147" i="5"/>
  <c r="V147" i="5"/>
  <c r="U147" i="5"/>
  <c r="U162" i="5"/>
  <c r="V162" i="5"/>
  <c r="Q162" i="5"/>
  <c r="W179" i="5"/>
  <c r="Q179" i="5"/>
  <c r="V179" i="5"/>
  <c r="U179" i="5"/>
  <c r="U194" i="5"/>
  <c r="V194" i="5"/>
  <c r="Q194" i="5"/>
  <c r="U251" i="5"/>
  <c r="W251" i="5"/>
  <c r="Q251" i="5"/>
  <c r="V251" i="5"/>
  <c r="U284" i="5"/>
  <c r="W284" i="5"/>
  <c r="Q284" i="5"/>
  <c r="V284" i="5"/>
  <c r="P69" i="4"/>
  <c r="P86" i="4"/>
  <c r="H91" i="4"/>
  <c r="H113" i="4"/>
  <c r="H115" i="4"/>
  <c r="H121" i="4"/>
  <c r="P122" i="4"/>
  <c r="H125" i="4"/>
  <c r="H129" i="4"/>
  <c r="P130" i="4"/>
  <c r="H139" i="4"/>
  <c r="P142" i="4"/>
  <c r="H145" i="4"/>
  <c r="P146" i="4"/>
  <c r="H149" i="4"/>
  <c r="P150" i="4"/>
  <c r="H153" i="4"/>
  <c r="H157" i="4"/>
  <c r="H161" i="4"/>
  <c r="P167" i="4"/>
  <c r="H170" i="4"/>
  <c r="P171" i="4"/>
  <c r="H174" i="4"/>
  <c r="P180" i="4"/>
  <c r="H183" i="4"/>
  <c r="P184" i="4"/>
  <c r="V188" i="4"/>
  <c r="T202" i="4"/>
  <c r="V205" i="4"/>
  <c r="V206" i="4"/>
  <c r="P206" i="4"/>
  <c r="T210" i="4"/>
  <c r="O211" i="4"/>
  <c r="N211" i="4"/>
  <c r="V215" i="4"/>
  <c r="V219" i="4"/>
  <c r="V221" i="4"/>
  <c r="V223" i="4"/>
  <c r="U227" i="4"/>
  <c r="P230" i="4"/>
  <c r="P232" i="4"/>
  <c r="P236" i="4"/>
  <c r="U239" i="4"/>
  <c r="V242" i="4"/>
  <c r="P242" i="4"/>
  <c r="U242" i="4"/>
  <c r="T242" i="4"/>
  <c r="T245" i="4"/>
  <c r="H245" i="4"/>
  <c r="V250" i="4"/>
  <c r="P250" i="4"/>
  <c r="U250" i="4"/>
  <c r="T250" i="4"/>
  <c r="P255" i="4"/>
  <c r="P257" i="4"/>
  <c r="P259" i="4"/>
  <c r="P261" i="4"/>
  <c r="P263" i="4"/>
  <c r="P265" i="4"/>
  <c r="P267" i="4"/>
  <c r="T269" i="4"/>
  <c r="T270" i="4"/>
  <c r="U276" i="4"/>
  <c r="V280" i="4"/>
  <c r="V282" i="4"/>
  <c r="V284" i="4"/>
  <c r="V286" i="4"/>
  <c r="V288" i="4"/>
  <c r="V290" i="4"/>
  <c r="V292" i="4"/>
  <c r="T293" i="4"/>
  <c r="V293" i="4"/>
  <c r="P293" i="4"/>
  <c r="T295" i="4"/>
  <c r="H295" i="4"/>
  <c r="T300" i="4"/>
  <c r="V300" i="4"/>
  <c r="P300" i="4"/>
  <c r="U308" i="4"/>
  <c r="O319" i="4"/>
  <c r="V319" i="4" s="1"/>
  <c r="N319" i="4"/>
  <c r="T324" i="4"/>
  <c r="P324" i="4"/>
  <c r="T326" i="4"/>
  <c r="H326" i="4"/>
  <c r="V15" i="5"/>
  <c r="U23" i="5"/>
  <c r="W23" i="5"/>
  <c r="Q23" i="5"/>
  <c r="V31" i="5"/>
  <c r="U39" i="5"/>
  <c r="W39" i="5"/>
  <c r="Q39" i="5"/>
  <c r="V47" i="5"/>
  <c r="U55" i="5"/>
  <c r="W55" i="5"/>
  <c r="Q55" i="5"/>
  <c r="V63" i="5"/>
  <c r="U71" i="5"/>
  <c r="W71" i="5"/>
  <c r="Q71" i="5"/>
  <c r="V79" i="5"/>
  <c r="U87" i="5"/>
  <c r="W87" i="5"/>
  <c r="Q87" i="5"/>
  <c r="V95" i="5"/>
  <c r="U103" i="5"/>
  <c r="W103" i="5"/>
  <c r="Q103" i="5"/>
  <c r="U108" i="5"/>
  <c r="W108" i="5"/>
  <c r="Q108" i="5"/>
  <c r="V116" i="5"/>
  <c r="W138" i="5"/>
  <c r="W139" i="5"/>
  <c r="Q139" i="5"/>
  <c r="V139" i="5"/>
  <c r="U139" i="5"/>
  <c r="U154" i="5"/>
  <c r="V154" i="5"/>
  <c r="Q154" i="5"/>
  <c r="W170" i="5"/>
  <c r="W171" i="5"/>
  <c r="Q171" i="5"/>
  <c r="V171" i="5"/>
  <c r="U171" i="5"/>
  <c r="U186" i="5"/>
  <c r="V186" i="5"/>
  <c r="Q186" i="5"/>
  <c r="W202" i="5"/>
  <c r="W203" i="5"/>
  <c r="Q203" i="5"/>
  <c r="V203" i="5"/>
  <c r="U203" i="5"/>
  <c r="T191" i="4"/>
  <c r="T193" i="4"/>
  <c r="T195" i="4"/>
  <c r="T200" i="4"/>
  <c r="T204" i="4"/>
  <c r="T208" i="4"/>
  <c r="U213" i="4"/>
  <c r="T214" i="4"/>
  <c r="O216" i="4"/>
  <c r="O218" i="4"/>
  <c r="O220" i="4"/>
  <c r="O222" i="4"/>
  <c r="O229" i="4"/>
  <c r="O231" i="4"/>
  <c r="O233" i="4"/>
  <c r="O235" i="4"/>
  <c r="O237" i="4"/>
  <c r="T240" i="4"/>
  <c r="O254" i="4"/>
  <c r="O256" i="4"/>
  <c r="O258" i="4"/>
  <c r="O260" i="4"/>
  <c r="O262" i="4"/>
  <c r="O264" i="4"/>
  <c r="O266" i="4"/>
  <c r="O268" i="4"/>
  <c r="O271" i="4"/>
  <c r="O273" i="4"/>
  <c r="U279" i="4"/>
  <c r="O281" i="4"/>
  <c r="O283" i="4"/>
  <c r="O285" i="4"/>
  <c r="O287" i="4"/>
  <c r="O289" i="4"/>
  <c r="O291" i="4"/>
  <c r="U301" i="4"/>
  <c r="U305" i="4"/>
  <c r="U309" i="4"/>
  <c r="U312" i="4"/>
  <c r="O314" i="4"/>
  <c r="T317" i="4"/>
  <c r="T325" i="4"/>
  <c r="T327" i="4"/>
  <c r="U329" i="4"/>
  <c r="V12" i="5"/>
  <c r="V16" i="5"/>
  <c r="V20" i="5"/>
  <c r="V24" i="5"/>
  <c r="V28" i="5"/>
  <c r="V32" i="5"/>
  <c r="V36" i="5"/>
  <c r="V40" i="5"/>
  <c r="V44" i="5"/>
  <c r="V48" i="5"/>
  <c r="V52" i="5"/>
  <c r="V56" i="5"/>
  <c r="V60" i="5"/>
  <c r="V64" i="5"/>
  <c r="V68" i="5"/>
  <c r="V72" i="5"/>
  <c r="V76" i="5"/>
  <c r="V80" i="5"/>
  <c r="V84" i="5"/>
  <c r="V88" i="5"/>
  <c r="V92" i="5"/>
  <c r="V96" i="5"/>
  <c r="V100" i="5"/>
  <c r="V105" i="5"/>
  <c r="V109" i="5"/>
  <c r="V113" i="5"/>
  <c r="W117" i="5"/>
  <c r="V118" i="5"/>
  <c r="W121" i="5"/>
  <c r="V122" i="5"/>
  <c r="W125" i="5"/>
  <c r="V126" i="5"/>
  <c r="W129" i="5"/>
  <c r="V130" i="5"/>
  <c r="W133" i="5"/>
  <c r="V134" i="5"/>
  <c r="U207" i="5"/>
  <c r="W207" i="5"/>
  <c r="Q207" i="5"/>
  <c r="U211" i="5"/>
  <c r="W211" i="5"/>
  <c r="Q211" i="5"/>
  <c r="U215" i="5"/>
  <c r="W215" i="5"/>
  <c r="Q215" i="5"/>
  <c r="U219" i="5"/>
  <c r="W219" i="5"/>
  <c r="Q219" i="5"/>
  <c r="U227" i="5"/>
  <c r="W227" i="5"/>
  <c r="Q227" i="5"/>
  <c r="U235" i="5"/>
  <c r="W235" i="5"/>
  <c r="Q235" i="5"/>
  <c r="U247" i="5"/>
  <c r="W247" i="5"/>
  <c r="Q247" i="5"/>
  <c r="U263" i="5"/>
  <c r="W263" i="5"/>
  <c r="Q263" i="5"/>
  <c r="U280" i="5"/>
  <c r="W280" i="5"/>
  <c r="Q280" i="5"/>
  <c r="W294" i="5"/>
  <c r="Q294" i="5"/>
  <c r="V294" i="5"/>
  <c r="U294" i="5"/>
  <c r="P213" i="4"/>
  <c r="T219" i="4"/>
  <c r="T221" i="4"/>
  <c r="T223" i="4"/>
  <c r="H224" i="4"/>
  <c r="T228" i="4"/>
  <c r="T230" i="4"/>
  <c r="T232" i="4"/>
  <c r="T236" i="4"/>
  <c r="T253" i="4"/>
  <c r="T255" i="4"/>
  <c r="T257" i="4"/>
  <c r="T259" i="4"/>
  <c r="T261" i="4"/>
  <c r="T263" i="4"/>
  <c r="T265" i="4"/>
  <c r="T267" i="4"/>
  <c r="T275" i="4"/>
  <c r="P279" i="4"/>
  <c r="T280" i="4"/>
  <c r="T282" i="4"/>
  <c r="T284" i="4"/>
  <c r="T286" i="4"/>
  <c r="T290" i="4"/>
  <c r="T292" i="4"/>
  <c r="T299" i="4"/>
  <c r="P301" i="4"/>
  <c r="T303" i="4"/>
  <c r="P305" i="4"/>
  <c r="T307" i="4"/>
  <c r="P309" i="4"/>
  <c r="P312" i="4"/>
  <c r="P329" i="4"/>
  <c r="Q12" i="5"/>
  <c r="U14" i="5"/>
  <c r="Q16" i="5"/>
  <c r="U18" i="5"/>
  <c r="Q20" i="5"/>
  <c r="U22" i="5"/>
  <c r="Q24" i="5"/>
  <c r="U26" i="5"/>
  <c r="Q28" i="5"/>
  <c r="U30" i="5"/>
  <c r="Q32" i="5"/>
  <c r="U34" i="5"/>
  <c r="Q36" i="5"/>
  <c r="U38" i="5"/>
  <c r="Q40" i="5"/>
  <c r="U42" i="5"/>
  <c r="Q44" i="5"/>
  <c r="U46" i="5"/>
  <c r="Q48" i="5"/>
  <c r="U50" i="5"/>
  <c r="Q52" i="5"/>
  <c r="U54" i="5"/>
  <c r="Q56" i="5"/>
  <c r="U58" i="5"/>
  <c r="Q60" i="5"/>
  <c r="U62" i="5"/>
  <c r="Q64" i="5"/>
  <c r="U66" i="5"/>
  <c r="Q68" i="5"/>
  <c r="U70" i="5"/>
  <c r="Q72" i="5"/>
  <c r="U74" i="5"/>
  <c r="Q76" i="5"/>
  <c r="U78" i="5"/>
  <c r="Q80" i="5"/>
  <c r="U82" i="5"/>
  <c r="Q84" i="5"/>
  <c r="U86" i="5"/>
  <c r="Q88" i="5"/>
  <c r="U90" i="5"/>
  <c r="Q92" i="5"/>
  <c r="U94" i="5"/>
  <c r="Q96" i="5"/>
  <c r="U98" i="5"/>
  <c r="Q100" i="5"/>
  <c r="U102" i="5"/>
  <c r="Q105" i="5"/>
  <c r="U107" i="5"/>
  <c r="Q109" i="5"/>
  <c r="U111" i="5"/>
  <c r="Q113" i="5"/>
  <c r="U115" i="5"/>
  <c r="Q117" i="5"/>
  <c r="Q118" i="5"/>
  <c r="W119" i="5"/>
  <c r="Q119" i="5"/>
  <c r="Q121" i="5"/>
  <c r="Q122" i="5"/>
  <c r="W123" i="5"/>
  <c r="Q123" i="5"/>
  <c r="Q125" i="5"/>
  <c r="Q126" i="5"/>
  <c r="W127" i="5"/>
  <c r="Q127" i="5"/>
  <c r="Q129" i="5"/>
  <c r="Q130" i="5"/>
  <c r="W131" i="5"/>
  <c r="Q131" i="5"/>
  <c r="Q133" i="5"/>
  <c r="Q134" i="5"/>
  <c r="W135" i="5"/>
  <c r="Q135" i="5"/>
  <c r="W142" i="5"/>
  <c r="W143" i="5"/>
  <c r="Q143" i="5"/>
  <c r="W150" i="5"/>
  <c r="W151" i="5"/>
  <c r="Q151" i="5"/>
  <c r="W158" i="5"/>
  <c r="W159" i="5"/>
  <c r="Q159" i="5"/>
  <c r="W166" i="5"/>
  <c r="W167" i="5"/>
  <c r="Q167" i="5"/>
  <c r="W174" i="5"/>
  <c r="W175" i="5"/>
  <c r="Q175" i="5"/>
  <c r="W182" i="5"/>
  <c r="W183" i="5"/>
  <c r="Q183" i="5"/>
  <c r="W190" i="5"/>
  <c r="W191" i="5"/>
  <c r="Q191" i="5"/>
  <c r="W198" i="5"/>
  <c r="W199" i="5"/>
  <c r="Q199" i="5"/>
  <c r="U243" i="5"/>
  <c r="W243" i="5"/>
  <c r="Q243" i="5"/>
  <c r="U259" i="5"/>
  <c r="W259" i="5"/>
  <c r="Q259" i="5"/>
  <c r="U276" i="5"/>
  <c r="W276" i="5"/>
  <c r="Q276" i="5"/>
  <c r="O224" i="4"/>
  <c r="U224" i="4" s="1"/>
  <c r="U223" i="5"/>
  <c r="W223" i="5"/>
  <c r="Q223" i="5"/>
  <c r="U231" i="5"/>
  <c r="W231" i="5"/>
  <c r="Q231" i="5"/>
  <c r="U239" i="5"/>
  <c r="W239" i="5"/>
  <c r="Q239" i="5"/>
  <c r="U255" i="5"/>
  <c r="W255" i="5"/>
  <c r="Q255" i="5"/>
  <c r="U272" i="5"/>
  <c r="W272" i="5"/>
  <c r="Q272" i="5"/>
  <c r="W290" i="5"/>
  <c r="Q290" i="5"/>
  <c r="V290" i="5"/>
  <c r="U290" i="5"/>
  <c r="U137" i="5"/>
  <c r="U141" i="5"/>
  <c r="U145" i="5"/>
  <c r="U149" i="5"/>
  <c r="U153" i="5"/>
  <c r="U157" i="5"/>
  <c r="U161" i="5"/>
  <c r="U165" i="5"/>
  <c r="U169" i="5"/>
  <c r="U173" i="5"/>
  <c r="U177" i="5"/>
  <c r="U181" i="5"/>
  <c r="U185" i="5"/>
  <c r="U189" i="5"/>
  <c r="U193" i="5"/>
  <c r="U197" i="5"/>
  <c r="U201" i="5"/>
  <c r="U205" i="5"/>
  <c r="U209" i="5"/>
  <c r="U213" i="5"/>
  <c r="U217" i="5"/>
  <c r="V220" i="5"/>
  <c r="U221" i="5"/>
  <c r="V224" i="5"/>
  <c r="U225" i="5"/>
  <c r="V228" i="5"/>
  <c r="U229" i="5"/>
  <c r="V232" i="5"/>
  <c r="U233" i="5"/>
  <c r="V236" i="5"/>
  <c r="U237" i="5"/>
  <c r="V240" i="5"/>
  <c r="V244" i="5"/>
  <c r="V248" i="5"/>
  <c r="V252" i="5"/>
  <c r="V256" i="5"/>
  <c r="V260" i="5"/>
  <c r="V264" i="5"/>
  <c r="V269" i="5"/>
  <c r="V273" i="5"/>
  <c r="V277" i="5"/>
  <c r="V281" i="5"/>
  <c r="V285" i="5"/>
  <c r="U206" i="5"/>
  <c r="U210" i="5"/>
  <c r="U214" i="5"/>
  <c r="U218" i="5"/>
  <c r="Q220" i="5"/>
  <c r="U222" i="5"/>
  <c r="Q224" i="5"/>
  <c r="U226" i="5"/>
  <c r="Q228" i="5"/>
  <c r="U230" i="5"/>
  <c r="Q232" i="5"/>
  <c r="U234" i="5"/>
  <c r="Q236" i="5"/>
  <c r="U238" i="5"/>
  <c r="Q240" i="5"/>
  <c r="U242" i="5"/>
  <c r="Q244" i="5"/>
  <c r="U246" i="5"/>
  <c r="Q248" i="5"/>
  <c r="U250" i="5"/>
  <c r="Q252" i="5"/>
  <c r="U254" i="5"/>
  <c r="Q256" i="5"/>
  <c r="U258" i="5"/>
  <c r="Q260" i="5"/>
  <c r="U262" i="5"/>
  <c r="Q264" i="5"/>
  <c r="U266" i="5"/>
  <c r="Q269" i="5"/>
  <c r="U271" i="5"/>
  <c r="Q273" i="5"/>
  <c r="U275" i="5"/>
  <c r="Q277" i="5"/>
  <c r="U279" i="5"/>
  <c r="Q281" i="5"/>
  <c r="U283" i="5"/>
  <c r="Q285" i="5"/>
  <c r="U287" i="5"/>
  <c r="V288" i="5"/>
  <c r="U289" i="5"/>
  <c r="V292" i="5"/>
  <c r="U293" i="5"/>
  <c r="W287" i="5"/>
  <c r="W288" i="5"/>
  <c r="W292" i="5"/>
  <c r="X45" i="7"/>
  <c r="R45" i="7"/>
  <c r="W45" i="7"/>
  <c r="V45" i="7"/>
  <c r="V52" i="7"/>
  <c r="W52" i="7"/>
  <c r="X52" i="7"/>
  <c r="R52" i="7"/>
  <c r="X13" i="7"/>
  <c r="R13" i="7"/>
  <c r="W13" i="7"/>
  <c r="V13" i="7"/>
  <c r="X21" i="7"/>
  <c r="R21" i="7"/>
  <c r="W21" i="7"/>
  <c r="V21" i="7"/>
  <c r="X25" i="7"/>
  <c r="R25" i="7"/>
  <c r="W25" i="7"/>
  <c r="V25" i="7"/>
  <c r="X29" i="7"/>
  <c r="R29" i="7"/>
  <c r="W29" i="7"/>
  <c r="V29" i="7"/>
  <c r="X33" i="7"/>
  <c r="R33" i="7"/>
  <c r="W33" i="7"/>
  <c r="V33" i="7"/>
  <c r="X37" i="7"/>
  <c r="R37" i="7"/>
  <c r="W37" i="7"/>
  <c r="V37" i="7"/>
  <c r="V44" i="7"/>
  <c r="W44" i="7"/>
  <c r="S63" i="7"/>
  <c r="R44" i="7"/>
  <c r="X61" i="7"/>
  <c r="R61" i="7"/>
  <c r="W61" i="7"/>
  <c r="V61" i="7"/>
  <c r="X17" i="7"/>
  <c r="R17" i="7"/>
  <c r="W17" i="7"/>
  <c r="V17" i="7"/>
  <c r="X53" i="7"/>
  <c r="R53" i="7"/>
  <c r="W53" i="7"/>
  <c r="V53" i="7"/>
  <c r="V60" i="7"/>
  <c r="W60" i="7"/>
  <c r="V12" i="7"/>
  <c r="W15" i="7"/>
  <c r="V16" i="7"/>
  <c r="W19" i="7"/>
  <c r="V20" i="7"/>
  <c r="X40" i="7"/>
  <c r="X41" i="7"/>
  <c r="R41" i="7"/>
  <c r="X48" i="7"/>
  <c r="X49" i="7"/>
  <c r="R49" i="7"/>
  <c r="X56" i="7"/>
  <c r="X57" i="7"/>
  <c r="R57" i="7"/>
  <c r="X15" i="7"/>
  <c r="X19" i="7"/>
  <c r="X23" i="7"/>
  <c r="X27" i="7"/>
  <c r="X31" i="7"/>
  <c r="X35" i="7"/>
  <c r="R40" i="7"/>
  <c r="R48" i="7"/>
  <c r="R56" i="7"/>
  <c r="V39" i="7"/>
  <c r="V43" i="7"/>
  <c r="V47" i="7"/>
  <c r="V51" i="7"/>
  <c r="V55" i="7"/>
  <c r="V59" i="7"/>
  <c r="V263" i="2" l="1"/>
  <c r="W263" i="2"/>
  <c r="T315" i="4"/>
  <c r="T234" i="4"/>
  <c r="P197" i="4"/>
  <c r="U133" i="4"/>
  <c r="T115" i="4"/>
  <c r="U296" i="4"/>
  <c r="U199" i="4"/>
  <c r="U181" i="4"/>
  <c r="U123" i="4"/>
  <c r="V136" i="4"/>
  <c r="T99" i="4"/>
  <c r="V315" i="4"/>
  <c r="P124" i="4"/>
  <c r="P99" i="4"/>
  <c r="T235" i="3"/>
  <c r="U129" i="4"/>
  <c r="T156" i="3"/>
  <c r="P129" i="4"/>
  <c r="U134" i="3"/>
  <c r="T95" i="3"/>
  <c r="U94" i="4"/>
  <c r="T60" i="3"/>
  <c r="U263" i="2"/>
  <c r="U143" i="2"/>
  <c r="V248" i="4"/>
  <c r="V134" i="3"/>
  <c r="V104" i="3"/>
  <c r="U173" i="2"/>
  <c r="P156" i="3"/>
  <c r="W321" i="2"/>
  <c r="Q298" i="2"/>
  <c r="V199" i="2"/>
  <c r="V163" i="2"/>
  <c r="V128" i="2"/>
  <c r="P182" i="4"/>
  <c r="Q158" i="2"/>
  <c r="U171" i="3"/>
  <c r="U93" i="3"/>
  <c r="V87" i="3"/>
  <c r="Q169" i="2"/>
  <c r="V96" i="1"/>
  <c r="W173" i="2"/>
  <c r="Q96" i="2"/>
  <c r="Q282" i="1"/>
  <c r="V224" i="2"/>
  <c r="W142" i="2"/>
  <c r="Q125" i="1"/>
  <c r="W96" i="1"/>
  <c r="W116" i="1"/>
  <c r="Q238" i="1"/>
  <c r="U126" i="3"/>
  <c r="U180" i="2"/>
  <c r="V146" i="2"/>
  <c r="V13" i="3"/>
  <c r="Q163" i="2"/>
  <c r="T192" i="4"/>
  <c r="V236" i="2"/>
  <c r="W236" i="2"/>
  <c r="P272" i="4"/>
  <c r="P296" i="4"/>
  <c r="P288" i="4"/>
  <c r="P199" i="4"/>
  <c r="T182" i="4"/>
  <c r="U47" i="4"/>
  <c r="T147" i="4"/>
  <c r="V124" i="4"/>
  <c r="T182" i="3"/>
  <c r="V122" i="3"/>
  <c r="P94" i="4"/>
  <c r="U127" i="3"/>
  <c r="T93" i="3"/>
  <c r="T248" i="4"/>
  <c r="U169" i="2"/>
  <c r="V156" i="3"/>
  <c r="U321" i="2"/>
  <c r="W298" i="2"/>
  <c r="Q128" i="2"/>
  <c r="W158" i="2"/>
  <c r="P171" i="3"/>
  <c r="P93" i="3"/>
  <c r="V60" i="3"/>
  <c r="Q263" i="2"/>
  <c r="Q230" i="2"/>
  <c r="V142" i="2"/>
  <c r="V96" i="2"/>
  <c r="U238" i="1"/>
  <c r="Q180" i="2"/>
  <c r="Q88" i="2"/>
  <c r="Q320" i="1"/>
  <c r="U158" i="2"/>
  <c r="W292" i="1"/>
  <c r="W163" i="2"/>
  <c r="U268" i="1"/>
  <c r="W151" i="2"/>
  <c r="Q151" i="2"/>
  <c r="V272" i="2"/>
  <c r="W272" i="2"/>
  <c r="V255" i="2"/>
  <c r="W255" i="2"/>
  <c r="T288" i="4"/>
  <c r="T238" i="4"/>
  <c r="U136" i="4"/>
  <c r="V199" i="4"/>
  <c r="V135" i="4"/>
  <c r="V235" i="3"/>
  <c r="T104" i="3"/>
  <c r="T13" i="3"/>
  <c r="U96" i="2"/>
  <c r="Q199" i="2"/>
  <c r="V180" i="2"/>
  <c r="V171" i="3"/>
  <c r="W230" i="1"/>
  <c r="Q183" i="1"/>
  <c r="T146" i="4"/>
  <c r="T86" i="4"/>
  <c r="U129" i="1"/>
  <c r="T184" i="4"/>
  <c r="U83" i="3"/>
  <c r="V83" i="3"/>
  <c r="T224" i="4"/>
  <c r="Q20" i="2"/>
  <c r="V20" i="2"/>
  <c r="W132" i="1"/>
  <c r="P162" i="4"/>
  <c r="U158" i="4"/>
  <c r="U168" i="4"/>
  <c r="V138" i="4"/>
  <c r="T105" i="3"/>
  <c r="T188" i="3"/>
  <c r="T148" i="3"/>
  <c r="P103" i="3"/>
  <c r="U227" i="3"/>
  <c r="P154" i="3"/>
  <c r="V98" i="3"/>
  <c r="P173" i="3"/>
  <c r="U184" i="3"/>
  <c r="Q146" i="2"/>
  <c r="V88" i="2"/>
  <c r="U132" i="1"/>
  <c r="W227" i="2"/>
  <c r="U135" i="2"/>
  <c r="P227" i="3"/>
  <c r="P148" i="3"/>
  <c r="Q167" i="2"/>
  <c r="W88" i="2"/>
  <c r="W20" i="2"/>
  <c r="Q325" i="1"/>
  <c r="Q292" i="1"/>
  <c r="W125" i="1"/>
  <c r="W97" i="1"/>
  <c r="Q121" i="1"/>
  <c r="Q246" i="1"/>
  <c r="W183" i="1"/>
  <c r="U234" i="4"/>
  <c r="V234" i="4"/>
  <c r="V159" i="3"/>
  <c r="P159" i="3"/>
  <c r="T154" i="3"/>
  <c r="T122" i="3"/>
  <c r="U272" i="4"/>
  <c r="V272" i="4"/>
  <c r="T154" i="4"/>
  <c r="U238" i="4"/>
  <c r="V238" i="4"/>
  <c r="T184" i="3"/>
  <c r="T138" i="4"/>
  <c r="U48" i="4"/>
  <c r="V48" i="4"/>
  <c r="U218" i="3"/>
  <c r="V218" i="3"/>
  <c r="T32" i="3"/>
  <c r="P14" i="3"/>
  <c r="V14" i="3"/>
  <c r="W177" i="2"/>
  <c r="U177" i="2"/>
  <c r="U20" i="2"/>
  <c r="V132" i="1"/>
  <c r="U125" i="1"/>
  <c r="T158" i="4"/>
  <c r="U150" i="2"/>
  <c r="U115" i="1"/>
  <c r="U197" i="4"/>
  <c r="V197" i="4"/>
  <c r="T162" i="4"/>
  <c r="U92" i="3"/>
  <c r="V92" i="3"/>
  <c r="U167" i="2"/>
  <c r="U146" i="2"/>
  <c r="U116" i="2"/>
  <c r="U45" i="2"/>
  <c r="Q13" i="1"/>
  <c r="U13" i="1"/>
  <c r="V25" i="2"/>
  <c r="W25" i="2"/>
  <c r="T116" i="4"/>
  <c r="U14" i="3"/>
  <c r="V150" i="2"/>
  <c r="V78" i="2"/>
  <c r="W78" i="2"/>
  <c r="V54" i="1"/>
  <c r="U54" i="1"/>
  <c r="V234" i="2"/>
  <c r="W234" i="2"/>
  <c r="V177" i="3"/>
  <c r="T177" i="3"/>
  <c r="T167" i="4"/>
  <c r="U32" i="3"/>
  <c r="Q14" i="1"/>
  <c r="U14" i="1"/>
  <c r="T13" i="4"/>
  <c r="P13" i="4"/>
  <c r="V13" i="4"/>
  <c r="U320" i="4"/>
  <c r="V320" i="4"/>
  <c r="P116" i="4"/>
  <c r="T149" i="4"/>
  <c r="U132" i="4"/>
  <c r="U116" i="4"/>
  <c r="U128" i="4"/>
  <c r="T155" i="3"/>
  <c r="T147" i="3"/>
  <c r="T136" i="4"/>
  <c r="P128" i="4"/>
  <c r="V18" i="4"/>
  <c r="U12" i="4"/>
  <c r="T173" i="3"/>
  <c r="V154" i="3"/>
  <c r="U97" i="3"/>
  <c r="U168" i="2"/>
  <c r="V173" i="3"/>
  <c r="U148" i="3"/>
  <c r="P184" i="3"/>
  <c r="V167" i="2"/>
  <c r="V116" i="2"/>
  <c r="U81" i="3"/>
  <c r="Q103" i="2"/>
  <c r="P32" i="3"/>
  <c r="W282" i="2"/>
  <c r="Q150" i="2"/>
  <c r="W63" i="2"/>
  <c r="Q45" i="2"/>
  <c r="U292" i="1"/>
  <c r="U246" i="1"/>
  <c r="U116" i="1"/>
  <c r="V97" i="1"/>
  <c r="V320" i="1"/>
  <c r="V227" i="3"/>
  <c r="W168" i="2"/>
  <c r="Q116" i="2"/>
  <c r="W325" i="1"/>
  <c r="V183" i="1"/>
  <c r="W121" i="1"/>
  <c r="V116" i="1"/>
  <c r="W246" i="1"/>
  <c r="Q115" i="1"/>
  <c r="U96" i="1"/>
  <c r="V174" i="4"/>
  <c r="P174" i="4"/>
  <c r="V161" i="4"/>
  <c r="P161" i="4"/>
  <c r="T150" i="4"/>
  <c r="T146" i="3"/>
  <c r="V153" i="4"/>
  <c r="P153" i="4"/>
  <c r="V125" i="4"/>
  <c r="P125" i="4"/>
  <c r="U122" i="3"/>
  <c r="W176" i="2"/>
  <c r="Q176" i="2"/>
  <c r="Q98" i="2"/>
  <c r="W98" i="2"/>
  <c r="U139" i="1"/>
  <c r="V121" i="1"/>
  <c r="T171" i="4"/>
  <c r="U126" i="2"/>
  <c r="U46" i="1"/>
  <c r="V238" i="2"/>
  <c r="W238" i="2"/>
  <c r="U15" i="4"/>
  <c r="V15" i="4"/>
  <c r="U282" i="1"/>
  <c r="U23" i="1"/>
  <c r="V145" i="4"/>
  <c r="P145" i="4"/>
  <c r="U103" i="3"/>
  <c r="V103" i="3"/>
  <c r="P154" i="4"/>
  <c r="U167" i="4"/>
  <c r="P158" i="4"/>
  <c r="U180" i="4"/>
  <c r="U162" i="4"/>
  <c r="U154" i="4"/>
  <c r="V134" i="4"/>
  <c r="V132" i="4"/>
  <c r="T134" i="4"/>
  <c r="V128" i="4"/>
  <c r="V105" i="3"/>
  <c r="U282" i="2"/>
  <c r="U103" i="2"/>
  <c r="P155" i="3"/>
  <c r="U98" i="3"/>
  <c r="Q282" i="2"/>
  <c r="W103" i="2"/>
  <c r="W45" i="2"/>
  <c r="U325" i="1"/>
  <c r="U135" i="1"/>
  <c r="U99" i="1"/>
  <c r="V14" i="1"/>
  <c r="U63" i="2"/>
  <c r="W320" i="1"/>
  <c r="W98" i="1"/>
  <c r="W135" i="1"/>
  <c r="W115" i="1"/>
  <c r="U97" i="1"/>
  <c r="T180" i="4"/>
  <c r="U13" i="4"/>
  <c r="U230" i="4"/>
  <c r="V230" i="4"/>
  <c r="U222" i="3"/>
  <c r="V222" i="3"/>
  <c r="Q95" i="2"/>
  <c r="W95" i="2"/>
  <c r="V230" i="2"/>
  <c r="W230" i="2"/>
  <c r="W14" i="1"/>
  <c r="V74" i="2"/>
  <c r="W74" i="2"/>
  <c r="T142" i="4"/>
  <c r="U230" i="1"/>
  <c r="V135" i="1"/>
  <c r="W99" i="1"/>
  <c r="P314" i="4"/>
  <c r="T314" i="4"/>
  <c r="V273" i="4"/>
  <c r="P273" i="4"/>
  <c r="U273" i="4"/>
  <c r="T273" i="4"/>
  <c r="V256" i="4"/>
  <c r="P256" i="4"/>
  <c r="U256" i="4"/>
  <c r="T256" i="4"/>
  <c r="V222" i="4"/>
  <c r="P222" i="4"/>
  <c r="U222" i="4"/>
  <c r="T222" i="4"/>
  <c r="V165" i="4"/>
  <c r="P165" i="4"/>
  <c r="U165" i="4"/>
  <c r="P113" i="4"/>
  <c r="V113" i="4"/>
  <c r="V163" i="4"/>
  <c r="P163" i="4"/>
  <c r="V192" i="3"/>
  <c r="P192" i="3"/>
  <c r="U192" i="3"/>
  <c r="T192" i="3"/>
  <c r="V232" i="3"/>
  <c r="P232" i="3"/>
  <c r="U232" i="3"/>
  <c r="T232" i="3"/>
  <c r="P172" i="3"/>
  <c r="V172" i="3"/>
  <c r="V139" i="3"/>
  <c r="P139" i="3"/>
  <c r="U139" i="3"/>
  <c r="P318" i="3"/>
  <c r="U318" i="3"/>
  <c r="T318" i="3"/>
  <c r="W192" i="2"/>
  <c r="Q192" i="2"/>
  <c r="V192" i="2"/>
  <c r="U192" i="2"/>
  <c r="P118" i="3"/>
  <c r="V118" i="3"/>
  <c r="U118" i="3"/>
  <c r="V55" i="3"/>
  <c r="P55" i="3"/>
  <c r="U55" i="3"/>
  <c r="T55" i="3"/>
  <c r="V29" i="3"/>
  <c r="P29" i="3"/>
  <c r="U29" i="3"/>
  <c r="T29" i="3"/>
  <c r="W328" i="2"/>
  <c r="Q328" i="2"/>
  <c r="V328" i="2"/>
  <c r="U328" i="2"/>
  <c r="W281" i="2"/>
  <c r="Q281" i="2"/>
  <c r="V281" i="2"/>
  <c r="U281" i="2"/>
  <c r="W237" i="2"/>
  <c r="Q237" i="2"/>
  <c r="V237" i="2"/>
  <c r="U237" i="2"/>
  <c r="W229" i="2"/>
  <c r="Q229" i="2"/>
  <c r="V229" i="2"/>
  <c r="U229" i="2"/>
  <c r="W141" i="2"/>
  <c r="Q141" i="2"/>
  <c r="V141" i="2"/>
  <c r="U141" i="2"/>
  <c r="W102" i="2"/>
  <c r="Q102" i="2"/>
  <c r="V102" i="2"/>
  <c r="U102" i="2"/>
  <c r="W75" i="2"/>
  <c r="Q75" i="2"/>
  <c r="V75" i="2"/>
  <c r="U75" i="2"/>
  <c r="V25" i="3"/>
  <c r="P25" i="3"/>
  <c r="U25" i="3"/>
  <c r="W110" i="2"/>
  <c r="Q110" i="2"/>
  <c r="V110" i="2"/>
  <c r="T25" i="3"/>
  <c r="V278" i="1"/>
  <c r="W278" i="1"/>
  <c r="Q278" i="1"/>
  <c r="W161" i="2"/>
  <c r="Q161" i="2"/>
  <c r="V161" i="2"/>
  <c r="Q13" i="2"/>
  <c r="U13" i="2"/>
  <c r="W260" i="1"/>
  <c r="Q260" i="1"/>
  <c r="V260" i="1"/>
  <c r="U260" i="1"/>
  <c r="W214" i="1"/>
  <c r="Q214" i="1"/>
  <c r="V214" i="1"/>
  <c r="U214" i="1"/>
  <c r="W78" i="1"/>
  <c r="Q78" i="1"/>
  <c r="V78" i="1"/>
  <c r="U78" i="1"/>
  <c r="W48" i="1"/>
  <c r="Q48" i="1"/>
  <c r="V48" i="1"/>
  <c r="U48" i="1"/>
  <c r="W324" i="1"/>
  <c r="Q324" i="1"/>
  <c r="V324" i="1"/>
  <c r="V236" i="1"/>
  <c r="W236" i="1"/>
  <c r="Q236" i="1"/>
  <c r="W149" i="2"/>
  <c r="Q149" i="2"/>
  <c r="V149" i="2"/>
  <c r="W13" i="2"/>
  <c r="W249" i="1"/>
  <c r="Q249" i="1"/>
  <c r="U249" i="1"/>
  <c r="V249" i="1"/>
  <c r="W129" i="2"/>
  <c r="Q129" i="2"/>
  <c r="V129" i="2"/>
  <c r="U110" i="2"/>
  <c r="W234" i="1"/>
  <c r="Q234" i="1"/>
  <c r="V234" i="1"/>
  <c r="W217" i="1"/>
  <c r="Q217" i="1"/>
  <c r="V217" i="1"/>
  <c r="W112" i="1"/>
  <c r="Q112" i="1"/>
  <c r="V112" i="1"/>
  <c r="Q188" i="1"/>
  <c r="V188" i="1"/>
  <c r="W162" i="1"/>
  <c r="Q162" i="1"/>
  <c r="W126" i="1"/>
  <c r="Q126" i="1"/>
  <c r="V291" i="4"/>
  <c r="P291" i="4"/>
  <c r="U291" i="4"/>
  <c r="T291" i="4"/>
  <c r="V283" i="4"/>
  <c r="P283" i="4"/>
  <c r="U283" i="4"/>
  <c r="T283" i="4"/>
  <c r="V271" i="4"/>
  <c r="P271" i="4"/>
  <c r="U271" i="4"/>
  <c r="T271" i="4"/>
  <c r="V262" i="4"/>
  <c r="P262" i="4"/>
  <c r="U262" i="4"/>
  <c r="T262" i="4"/>
  <c r="V254" i="4"/>
  <c r="P254" i="4"/>
  <c r="U254" i="4"/>
  <c r="T254" i="4"/>
  <c r="V233" i="4"/>
  <c r="P233" i="4"/>
  <c r="U233" i="4"/>
  <c r="T233" i="4"/>
  <c r="V220" i="4"/>
  <c r="P220" i="4"/>
  <c r="U220" i="4"/>
  <c r="T220" i="4"/>
  <c r="P319" i="4"/>
  <c r="U319" i="4"/>
  <c r="T319" i="4"/>
  <c r="T113" i="4"/>
  <c r="V227" i="4"/>
  <c r="U189" i="4"/>
  <c r="P189" i="4"/>
  <c r="V189" i="4"/>
  <c r="U172" i="4"/>
  <c r="U119" i="4"/>
  <c r="V251" i="4"/>
  <c r="P251" i="4"/>
  <c r="U251" i="4"/>
  <c r="V176" i="4"/>
  <c r="P176" i="4"/>
  <c r="P157" i="4"/>
  <c r="V157" i="4"/>
  <c r="P121" i="4"/>
  <c r="V121" i="4"/>
  <c r="T314" i="3"/>
  <c r="V314" i="3"/>
  <c r="P314" i="3"/>
  <c r="V168" i="4"/>
  <c r="P168" i="4"/>
  <c r="V87" i="4"/>
  <c r="P87" i="4"/>
  <c r="V326" i="3"/>
  <c r="P326" i="3"/>
  <c r="U326" i="3"/>
  <c r="T326" i="3"/>
  <c r="V243" i="3"/>
  <c r="P243" i="3"/>
  <c r="U243" i="3"/>
  <c r="T243" i="3"/>
  <c r="V190" i="3"/>
  <c r="P190" i="3"/>
  <c r="U190" i="3"/>
  <c r="T190" i="3"/>
  <c r="P188" i="4"/>
  <c r="U188" i="4"/>
  <c r="T133" i="4"/>
  <c r="V288" i="3"/>
  <c r="P288" i="3"/>
  <c r="U288" i="3"/>
  <c r="T288" i="3"/>
  <c r="V280" i="3"/>
  <c r="P280" i="3"/>
  <c r="U280" i="3"/>
  <c r="T280" i="3"/>
  <c r="V267" i="3"/>
  <c r="P267" i="3"/>
  <c r="U267" i="3"/>
  <c r="T267" i="3"/>
  <c r="V259" i="3"/>
  <c r="P259" i="3"/>
  <c r="U259" i="3"/>
  <c r="T259" i="3"/>
  <c r="V238" i="3"/>
  <c r="P238" i="3"/>
  <c r="U238" i="3"/>
  <c r="T238" i="3"/>
  <c r="V230" i="3"/>
  <c r="P230" i="3"/>
  <c r="U230" i="3"/>
  <c r="T230" i="3"/>
  <c r="V223" i="3"/>
  <c r="P223" i="3"/>
  <c r="U223" i="3"/>
  <c r="T223" i="3"/>
  <c r="V179" i="3"/>
  <c r="P179" i="3"/>
  <c r="U179" i="3"/>
  <c r="T179" i="3"/>
  <c r="U121" i="4"/>
  <c r="V270" i="3"/>
  <c r="P270" i="3"/>
  <c r="U270" i="3"/>
  <c r="T270" i="3"/>
  <c r="V183" i="3"/>
  <c r="P183" i="3"/>
  <c r="U183" i="3"/>
  <c r="P168" i="3"/>
  <c r="V168" i="3"/>
  <c r="P143" i="3"/>
  <c r="V143" i="3"/>
  <c r="U18" i="2"/>
  <c r="Q18" i="2"/>
  <c r="W18" i="2"/>
  <c r="O334" i="4"/>
  <c r="P12" i="4"/>
  <c r="V12" i="4"/>
  <c r="P322" i="3"/>
  <c r="U322" i="3"/>
  <c r="T322" i="3"/>
  <c r="V318" i="3"/>
  <c r="P188" i="3"/>
  <c r="U188" i="3"/>
  <c r="V151" i="3"/>
  <c r="P151" i="3"/>
  <c r="V123" i="3"/>
  <c r="P123" i="3"/>
  <c r="W190" i="2"/>
  <c r="Q190" i="2"/>
  <c r="V190" i="2"/>
  <c r="U190" i="2"/>
  <c r="W83" i="2"/>
  <c r="Q83" i="2"/>
  <c r="V83" i="2"/>
  <c r="U83" i="2"/>
  <c r="W58" i="2"/>
  <c r="Q58" i="2"/>
  <c r="V58" i="2"/>
  <c r="U58" i="2"/>
  <c r="W50" i="2"/>
  <c r="Q50" i="2"/>
  <c r="V50" i="2"/>
  <c r="U50" i="2"/>
  <c r="W23" i="2"/>
  <c r="Q23" i="2"/>
  <c r="V23" i="2"/>
  <c r="U23" i="2"/>
  <c r="V13" i="2"/>
  <c r="V143" i="4"/>
  <c r="P143" i="4"/>
  <c r="P212" i="3"/>
  <c r="U212" i="3"/>
  <c r="T212" i="3"/>
  <c r="V157" i="3"/>
  <c r="P157" i="3"/>
  <c r="U157" i="3"/>
  <c r="V149" i="3"/>
  <c r="P149" i="3"/>
  <c r="U149" i="3"/>
  <c r="T118" i="3"/>
  <c r="V89" i="3"/>
  <c r="P89" i="3"/>
  <c r="U89" i="3"/>
  <c r="T89" i="3"/>
  <c r="V61" i="3"/>
  <c r="P61" i="3"/>
  <c r="U61" i="3"/>
  <c r="T61" i="3"/>
  <c r="V53" i="3"/>
  <c r="P53" i="3"/>
  <c r="U53" i="3"/>
  <c r="T53" i="3"/>
  <c r="V15" i="3"/>
  <c r="P15" i="3"/>
  <c r="U15" i="3"/>
  <c r="T15" i="3"/>
  <c r="W287" i="2"/>
  <c r="Q287" i="2"/>
  <c r="V287" i="2"/>
  <c r="U287" i="2"/>
  <c r="W266" i="2"/>
  <c r="Q266" i="2"/>
  <c r="V266" i="2"/>
  <c r="U266" i="2"/>
  <c r="W258" i="2"/>
  <c r="Q258" i="2"/>
  <c r="V258" i="2"/>
  <c r="U258" i="2"/>
  <c r="W235" i="2"/>
  <c r="Q235" i="2"/>
  <c r="V235" i="2"/>
  <c r="U235" i="2"/>
  <c r="W222" i="2"/>
  <c r="Q222" i="2"/>
  <c r="V222" i="2"/>
  <c r="U222" i="2"/>
  <c r="W179" i="2"/>
  <c r="Q179" i="2"/>
  <c r="V179" i="2"/>
  <c r="U179" i="2"/>
  <c r="Q99" i="2"/>
  <c r="W73" i="2"/>
  <c r="Q73" i="2"/>
  <c r="V73" i="2"/>
  <c r="U73" i="2"/>
  <c r="V165" i="3"/>
  <c r="P165" i="3"/>
  <c r="U165" i="3"/>
  <c r="V80" i="3"/>
  <c r="P80" i="3"/>
  <c r="U80" i="3"/>
  <c r="V48" i="3"/>
  <c r="P48" i="3"/>
  <c r="U48" i="3"/>
  <c r="Q172" i="2"/>
  <c r="W172" i="2"/>
  <c r="W157" i="2"/>
  <c r="Q157" i="2"/>
  <c r="V157" i="2"/>
  <c r="W139" i="2"/>
  <c r="Q139" i="2"/>
  <c r="V139" i="2"/>
  <c r="W133" i="2"/>
  <c r="Q133" i="2"/>
  <c r="W59" i="2"/>
  <c r="Q59" i="2"/>
  <c r="V59" i="2"/>
  <c r="W51" i="2"/>
  <c r="Q51" i="2"/>
  <c r="V51" i="2"/>
  <c r="W22" i="2"/>
  <c r="V22" i="2"/>
  <c r="Q22" i="2"/>
  <c r="Q331" i="1"/>
  <c r="V331" i="1"/>
  <c r="U331" i="1"/>
  <c r="U175" i="1"/>
  <c r="Q175" i="1"/>
  <c r="W175" i="1"/>
  <c r="T48" i="3"/>
  <c r="V106" i="3"/>
  <c r="P106" i="3"/>
  <c r="U106" i="3"/>
  <c r="T98" i="3"/>
  <c r="V45" i="3"/>
  <c r="P45" i="3"/>
  <c r="U45" i="3"/>
  <c r="W174" i="2"/>
  <c r="Q174" i="2"/>
  <c r="V174" i="2"/>
  <c r="W121" i="2"/>
  <c r="Q121" i="2"/>
  <c r="V121" i="2"/>
  <c r="Q322" i="1"/>
  <c r="V322" i="1"/>
  <c r="U322" i="1"/>
  <c r="W289" i="1"/>
  <c r="Q289" i="1"/>
  <c r="V289" i="1"/>
  <c r="U289" i="1"/>
  <c r="W281" i="1"/>
  <c r="Q281" i="1"/>
  <c r="V281" i="1"/>
  <c r="U281" i="1"/>
  <c r="W266" i="1"/>
  <c r="Q266" i="1"/>
  <c r="V266" i="1"/>
  <c r="U266" i="1"/>
  <c r="W258" i="1"/>
  <c r="Q258" i="1"/>
  <c r="V258" i="1"/>
  <c r="U258" i="1"/>
  <c r="W233" i="1"/>
  <c r="Q233" i="1"/>
  <c r="V233" i="1"/>
  <c r="U233" i="1"/>
  <c r="W220" i="1"/>
  <c r="Q220" i="1"/>
  <c r="V220" i="1"/>
  <c r="U220" i="1"/>
  <c r="W140" i="1"/>
  <c r="Q140" i="1"/>
  <c r="V140" i="1"/>
  <c r="U140" i="1"/>
  <c r="U126" i="1"/>
  <c r="W92" i="1"/>
  <c r="Q92" i="1"/>
  <c r="V92" i="1"/>
  <c r="U92" i="1"/>
  <c r="W76" i="1"/>
  <c r="Q76" i="1"/>
  <c r="U76" i="1"/>
  <c r="V76" i="1"/>
  <c r="W25" i="1"/>
  <c r="Q25" i="1"/>
  <c r="V25" i="1"/>
  <c r="U25" i="1"/>
  <c r="V97" i="3"/>
  <c r="Q270" i="2"/>
  <c r="W270" i="2"/>
  <c r="U133" i="2"/>
  <c r="V18" i="2"/>
  <c r="W263" i="1"/>
  <c r="Q263" i="1"/>
  <c r="V263" i="1"/>
  <c r="W228" i="1"/>
  <c r="Q228" i="1"/>
  <c r="V228" i="1"/>
  <c r="V161" i="3"/>
  <c r="P161" i="3"/>
  <c r="U161" i="3"/>
  <c r="U143" i="3"/>
  <c r="V129" i="3"/>
  <c r="P129" i="3"/>
  <c r="U129" i="3"/>
  <c r="W47" i="2"/>
  <c r="Q47" i="2"/>
  <c r="V47" i="2"/>
  <c r="Q312" i="1"/>
  <c r="U312" i="1"/>
  <c r="W295" i="1"/>
  <c r="Q295" i="1"/>
  <c r="V295" i="1"/>
  <c r="U295" i="1"/>
  <c r="Q267" i="1"/>
  <c r="V267" i="1"/>
  <c r="W247" i="1"/>
  <c r="Q247" i="1"/>
  <c r="U247" i="1"/>
  <c r="V247" i="1"/>
  <c r="W239" i="1"/>
  <c r="Q239" i="1"/>
  <c r="U239" i="1"/>
  <c r="V239" i="1"/>
  <c r="W194" i="1"/>
  <c r="Q194" i="1"/>
  <c r="U194" i="1"/>
  <c r="V194" i="1"/>
  <c r="W90" i="1"/>
  <c r="Q90" i="1"/>
  <c r="V90" i="1"/>
  <c r="U90" i="1"/>
  <c r="W12" i="2"/>
  <c r="Q12" i="2"/>
  <c r="P334" i="2"/>
  <c r="V284" i="1"/>
  <c r="W284" i="1"/>
  <c r="Q284" i="1"/>
  <c r="U324" i="1"/>
  <c r="P332" i="1"/>
  <c r="V12" i="1"/>
  <c r="W12" i="1"/>
  <c r="Q12" i="1"/>
  <c r="U267" i="1"/>
  <c r="W188" i="1"/>
  <c r="W173" i="1"/>
  <c r="Q173" i="1"/>
  <c r="V173" i="1"/>
  <c r="U173" i="1"/>
  <c r="W322" i="1"/>
  <c r="U217" i="1"/>
  <c r="W124" i="1"/>
  <c r="Q124" i="1"/>
  <c r="V124" i="1"/>
  <c r="U124" i="1"/>
  <c r="W31" i="1"/>
  <c r="Q31" i="1"/>
  <c r="U188" i="1"/>
  <c r="V285" i="4"/>
  <c r="P285" i="4"/>
  <c r="U285" i="4"/>
  <c r="T285" i="4"/>
  <c r="U211" i="4"/>
  <c r="T211" i="4"/>
  <c r="V211" i="4"/>
  <c r="P211" i="4"/>
  <c r="V82" i="4"/>
  <c r="P82" i="4"/>
  <c r="U82" i="4"/>
  <c r="P323" i="4"/>
  <c r="U323" i="4"/>
  <c r="T323" i="4"/>
  <c r="T82" i="4"/>
  <c r="T177" i="4"/>
  <c r="P177" i="4"/>
  <c r="V177" i="4"/>
  <c r="V290" i="3"/>
  <c r="P290" i="3"/>
  <c r="U290" i="3"/>
  <c r="T290" i="3"/>
  <c r="V261" i="3"/>
  <c r="P261" i="3"/>
  <c r="U261" i="3"/>
  <c r="T261" i="3"/>
  <c r="P224" i="3"/>
  <c r="T224" i="3"/>
  <c r="V133" i="3"/>
  <c r="P133" i="3"/>
  <c r="W60" i="2"/>
  <c r="Q60" i="2"/>
  <c r="V60" i="2"/>
  <c r="U60" i="2"/>
  <c r="V125" i="3"/>
  <c r="P125" i="3"/>
  <c r="U125" i="3"/>
  <c r="V17" i="3"/>
  <c r="P17" i="3"/>
  <c r="U17" i="3"/>
  <c r="T17" i="3"/>
  <c r="W289" i="2"/>
  <c r="Q289" i="2"/>
  <c r="V289" i="2"/>
  <c r="U289" i="2"/>
  <c r="W260" i="2"/>
  <c r="Q260" i="2"/>
  <c r="V260" i="2"/>
  <c r="U260" i="2"/>
  <c r="W216" i="2"/>
  <c r="Q216" i="2"/>
  <c r="V216" i="2"/>
  <c r="U216" i="2"/>
  <c r="W85" i="2"/>
  <c r="Q85" i="2"/>
  <c r="V85" i="2"/>
  <c r="U85" i="2"/>
  <c r="Q17" i="2"/>
  <c r="W17" i="2"/>
  <c r="V17" i="2"/>
  <c r="W283" i="1"/>
  <c r="Q283" i="1"/>
  <c r="V283" i="1"/>
  <c r="U283" i="1"/>
  <c r="V289" i="4"/>
  <c r="P289" i="4"/>
  <c r="U289" i="4"/>
  <c r="T289" i="4"/>
  <c r="V281" i="4"/>
  <c r="P281" i="4"/>
  <c r="U281" i="4"/>
  <c r="T281" i="4"/>
  <c r="V268" i="4"/>
  <c r="P268" i="4"/>
  <c r="U268" i="4"/>
  <c r="T268" i="4"/>
  <c r="V260" i="4"/>
  <c r="P260" i="4"/>
  <c r="U260" i="4"/>
  <c r="T260" i="4"/>
  <c r="V231" i="4"/>
  <c r="P231" i="4"/>
  <c r="U231" i="4"/>
  <c r="T231" i="4"/>
  <c r="V218" i="4"/>
  <c r="P218" i="4"/>
  <c r="U218" i="4"/>
  <c r="T218" i="4"/>
  <c r="P333" i="4"/>
  <c r="U333" i="4"/>
  <c r="T333" i="4"/>
  <c r="U135" i="4"/>
  <c r="U131" i="4"/>
  <c r="P126" i="4"/>
  <c r="T126" i="4"/>
  <c r="V118" i="4"/>
  <c r="P118" i="4"/>
  <c r="U118" i="4"/>
  <c r="V110" i="4"/>
  <c r="P110" i="4"/>
  <c r="U110" i="4"/>
  <c r="V89" i="4"/>
  <c r="P89" i="4"/>
  <c r="U89" i="4"/>
  <c r="T118" i="4"/>
  <c r="T89" i="4"/>
  <c r="V314" i="4"/>
  <c r="P170" i="4"/>
  <c r="V170" i="4"/>
  <c r="T163" i="4"/>
  <c r="V147" i="4"/>
  <c r="P147" i="4"/>
  <c r="P47" i="4"/>
  <c r="V47" i="4"/>
  <c r="V331" i="3"/>
  <c r="P331" i="3"/>
  <c r="U331" i="3"/>
  <c r="V297" i="3"/>
  <c r="P297" i="3"/>
  <c r="U297" i="3"/>
  <c r="T297" i="3"/>
  <c r="V249" i="3"/>
  <c r="P249" i="3"/>
  <c r="U249" i="3"/>
  <c r="T249" i="3"/>
  <c r="V241" i="3"/>
  <c r="P241" i="3"/>
  <c r="U241" i="3"/>
  <c r="T241" i="3"/>
  <c r="V196" i="3"/>
  <c r="P196" i="3"/>
  <c r="U196" i="3"/>
  <c r="T196" i="3"/>
  <c r="V137" i="4"/>
  <c r="P137" i="4"/>
  <c r="V126" i="4"/>
  <c r="V286" i="3"/>
  <c r="P286" i="3"/>
  <c r="U286" i="3"/>
  <c r="T286" i="3"/>
  <c r="V265" i="3"/>
  <c r="P265" i="3"/>
  <c r="U265" i="3"/>
  <c r="T265" i="3"/>
  <c r="V257" i="3"/>
  <c r="P257" i="3"/>
  <c r="U257" i="3"/>
  <c r="T257" i="3"/>
  <c r="V236" i="3"/>
  <c r="P236" i="3"/>
  <c r="U236" i="3"/>
  <c r="T236" i="3"/>
  <c r="V221" i="3"/>
  <c r="P221" i="3"/>
  <c r="U221" i="3"/>
  <c r="T221" i="3"/>
  <c r="V117" i="4"/>
  <c r="P117" i="4"/>
  <c r="U117" i="4"/>
  <c r="P269" i="3"/>
  <c r="U269" i="3"/>
  <c r="T139" i="3"/>
  <c r="V135" i="3"/>
  <c r="P135" i="3"/>
  <c r="V131" i="3"/>
  <c r="P131" i="3"/>
  <c r="V112" i="3"/>
  <c r="P112" i="3"/>
  <c r="U112" i="3"/>
  <c r="T112" i="3"/>
  <c r="U113" i="4"/>
  <c r="T33" i="4"/>
  <c r="V145" i="3"/>
  <c r="P145" i="3"/>
  <c r="U145" i="3"/>
  <c r="W196" i="2"/>
  <c r="Q196" i="2"/>
  <c r="V196" i="2"/>
  <c r="U196" i="2"/>
  <c r="W117" i="2"/>
  <c r="Q117" i="2"/>
  <c r="V117" i="2"/>
  <c r="U117" i="2"/>
  <c r="W109" i="2"/>
  <c r="Q109" i="2"/>
  <c r="V109" i="2"/>
  <c r="U109" i="2"/>
  <c r="W56" i="2"/>
  <c r="Q56" i="2"/>
  <c r="V56" i="2"/>
  <c r="U56" i="2"/>
  <c r="W21" i="2"/>
  <c r="Q21" i="2"/>
  <c r="V21" i="2"/>
  <c r="U21" i="2"/>
  <c r="V151" i="4"/>
  <c r="P151" i="4"/>
  <c r="U314" i="3"/>
  <c r="V269" i="3"/>
  <c r="V153" i="3"/>
  <c r="P153" i="3"/>
  <c r="U153" i="3"/>
  <c r="T125" i="3"/>
  <c r="V113" i="3"/>
  <c r="P113" i="3"/>
  <c r="U113" i="3"/>
  <c r="V82" i="3"/>
  <c r="P82" i="3"/>
  <c r="U82" i="3"/>
  <c r="T82" i="3"/>
  <c r="V59" i="3"/>
  <c r="P59" i="3"/>
  <c r="U59" i="3"/>
  <c r="T59" i="3"/>
  <c r="V51" i="3"/>
  <c r="P51" i="3"/>
  <c r="U51" i="3"/>
  <c r="T51" i="3"/>
  <c r="Q320" i="2"/>
  <c r="V320" i="2"/>
  <c r="U320" i="2"/>
  <c r="W285" i="2"/>
  <c r="Q285" i="2"/>
  <c r="V285" i="2"/>
  <c r="U285" i="2"/>
  <c r="W273" i="2"/>
  <c r="Q273" i="2"/>
  <c r="V273" i="2"/>
  <c r="U273" i="2"/>
  <c r="W264" i="2"/>
  <c r="Q264" i="2"/>
  <c r="V264" i="2"/>
  <c r="U264" i="2"/>
  <c r="W256" i="2"/>
  <c r="Q256" i="2"/>
  <c r="V256" i="2"/>
  <c r="U256" i="2"/>
  <c r="W233" i="2"/>
  <c r="Q233" i="2"/>
  <c r="V233" i="2"/>
  <c r="U233" i="2"/>
  <c r="W220" i="2"/>
  <c r="Q220" i="2"/>
  <c r="V220" i="2"/>
  <c r="U220" i="2"/>
  <c r="W106" i="2"/>
  <c r="Q106" i="2"/>
  <c r="V106" i="2"/>
  <c r="U106" i="2"/>
  <c r="W93" i="2"/>
  <c r="Q93" i="2"/>
  <c r="V93" i="2"/>
  <c r="U93" i="2"/>
  <c r="W79" i="2"/>
  <c r="Q79" i="2"/>
  <c r="V79" i="2"/>
  <c r="U79" i="2"/>
  <c r="U170" i="4"/>
  <c r="T18" i="4"/>
  <c r="P18" i="4"/>
  <c r="V33" i="3"/>
  <c r="P33" i="3"/>
  <c r="W278" i="2"/>
  <c r="Q278" i="2"/>
  <c r="V278" i="2"/>
  <c r="W183" i="2"/>
  <c r="Q183" i="2"/>
  <c r="V183" i="2"/>
  <c r="Q159" i="2"/>
  <c r="W159" i="2"/>
  <c r="Q143" i="2"/>
  <c r="W143" i="2"/>
  <c r="V99" i="2"/>
  <c r="U278" i="2"/>
  <c r="W153" i="2"/>
  <c r="Q153" i="2"/>
  <c r="V153" i="2"/>
  <c r="W221" i="1"/>
  <c r="Q221" i="1"/>
  <c r="V221" i="1"/>
  <c r="V327" i="3"/>
  <c r="P327" i="3"/>
  <c r="U327" i="3"/>
  <c r="P20" i="3"/>
  <c r="U20" i="3"/>
  <c r="T20" i="3"/>
  <c r="O334" i="3"/>
  <c r="V12" i="3"/>
  <c r="P12" i="3"/>
  <c r="Q319" i="2"/>
  <c r="V319" i="2"/>
  <c r="U319" i="2"/>
  <c r="U175" i="2"/>
  <c r="W175" i="2"/>
  <c r="Q175" i="2"/>
  <c r="U161" i="2"/>
  <c r="W145" i="2"/>
  <c r="Q145" i="2"/>
  <c r="V145" i="2"/>
  <c r="W287" i="1"/>
  <c r="Q287" i="1"/>
  <c r="V287" i="1"/>
  <c r="U287" i="1"/>
  <c r="W279" i="1"/>
  <c r="Q279" i="1"/>
  <c r="V279" i="1"/>
  <c r="U279" i="1"/>
  <c r="W264" i="1"/>
  <c r="Q264" i="1"/>
  <c r="V264" i="1"/>
  <c r="U264" i="1"/>
  <c r="W256" i="1"/>
  <c r="Q256" i="1"/>
  <c r="V256" i="1"/>
  <c r="U256" i="1"/>
  <c r="W231" i="1"/>
  <c r="Q231" i="1"/>
  <c r="V231" i="1"/>
  <c r="U231" i="1"/>
  <c r="W218" i="1"/>
  <c r="Q218" i="1"/>
  <c r="V218" i="1"/>
  <c r="U218" i="1"/>
  <c r="W178" i="1"/>
  <c r="Q178" i="1"/>
  <c r="V178" i="1"/>
  <c r="U178" i="1"/>
  <c r="U162" i="1"/>
  <c r="W74" i="1"/>
  <c r="Q74" i="1"/>
  <c r="V74" i="1"/>
  <c r="U74" i="1"/>
  <c r="W60" i="1"/>
  <c r="Q60" i="1"/>
  <c r="V60" i="1"/>
  <c r="U60" i="1"/>
  <c r="T131" i="3"/>
  <c r="U129" i="2"/>
  <c r="W261" i="1"/>
  <c r="Q261" i="1"/>
  <c r="V261" i="1"/>
  <c r="V46" i="4"/>
  <c r="P46" i="4"/>
  <c r="U46" i="4"/>
  <c r="T133" i="3"/>
  <c r="U149" i="2"/>
  <c r="W91" i="2"/>
  <c r="Q91" i="2"/>
  <c r="V91" i="2"/>
  <c r="W293" i="1"/>
  <c r="Q293" i="1"/>
  <c r="U293" i="1"/>
  <c r="V293" i="1"/>
  <c r="W276" i="1"/>
  <c r="Q276" i="1"/>
  <c r="U276" i="1"/>
  <c r="V276" i="1"/>
  <c r="W245" i="1"/>
  <c r="Q245" i="1"/>
  <c r="U245" i="1"/>
  <c r="V245" i="1"/>
  <c r="W192" i="1"/>
  <c r="Q192" i="1"/>
  <c r="V192" i="1"/>
  <c r="U192" i="1"/>
  <c r="W109" i="1"/>
  <c r="Q109" i="1"/>
  <c r="V109" i="1"/>
  <c r="U109" i="1"/>
  <c r="V252" i="3"/>
  <c r="P252" i="3"/>
  <c r="U252" i="3"/>
  <c r="U168" i="3"/>
  <c r="V172" i="2"/>
  <c r="V159" i="2"/>
  <c r="W115" i="2"/>
  <c r="Q115" i="2"/>
  <c r="V115" i="2"/>
  <c r="U51" i="2"/>
  <c r="V280" i="1"/>
  <c r="W280" i="1"/>
  <c r="Q280" i="1"/>
  <c r="V265" i="1"/>
  <c r="W265" i="1"/>
  <c r="Q265" i="1"/>
  <c r="W312" i="1"/>
  <c r="U280" i="1"/>
  <c r="W182" i="1"/>
  <c r="Q182" i="1"/>
  <c r="V182" i="1"/>
  <c r="W169" i="1"/>
  <c r="Q169" i="1"/>
  <c r="V169" i="1"/>
  <c r="Q158" i="1"/>
  <c r="W158" i="1"/>
  <c r="W144" i="1"/>
  <c r="Q144" i="1"/>
  <c r="V144" i="1"/>
  <c r="V126" i="1"/>
  <c r="W122" i="1"/>
  <c r="Q122" i="1"/>
  <c r="U112" i="1"/>
  <c r="W81" i="1"/>
  <c r="Q81" i="1"/>
  <c r="V81" i="1"/>
  <c r="W120" i="1"/>
  <c r="Q120" i="1"/>
  <c r="V120" i="1"/>
  <c r="U265" i="1"/>
  <c r="U221" i="1"/>
  <c r="W156" i="1"/>
  <c r="Q156" i="1"/>
  <c r="V156" i="1"/>
  <c r="U156" i="1"/>
  <c r="W152" i="1"/>
  <c r="Q152" i="1"/>
  <c r="V152" i="1"/>
  <c r="W148" i="1"/>
  <c r="Q148" i="1"/>
  <c r="V148" i="1"/>
  <c r="W138" i="1"/>
  <c r="Q138" i="1"/>
  <c r="V138" i="1"/>
  <c r="U234" i="1"/>
  <c r="W128" i="1"/>
  <c r="Q128" i="1"/>
  <c r="V128" i="1"/>
  <c r="V175" i="1"/>
  <c r="U120" i="1"/>
  <c r="V264" i="4"/>
  <c r="P264" i="4"/>
  <c r="U264" i="4"/>
  <c r="T264" i="4"/>
  <c r="V235" i="4"/>
  <c r="P235" i="4"/>
  <c r="U235" i="4"/>
  <c r="T235" i="4"/>
  <c r="P183" i="4"/>
  <c r="V183" i="4"/>
  <c r="V127" i="4"/>
  <c r="P127" i="4"/>
  <c r="U20" i="4"/>
  <c r="P20" i="4"/>
  <c r="V20" i="4"/>
  <c r="T20" i="4"/>
  <c r="V119" i="4"/>
  <c r="P119" i="4"/>
  <c r="V328" i="3"/>
  <c r="P328" i="3"/>
  <c r="U328" i="3"/>
  <c r="T328" i="3"/>
  <c r="V245" i="3"/>
  <c r="P245" i="3"/>
  <c r="U245" i="3"/>
  <c r="T245" i="3"/>
  <c r="V117" i="3"/>
  <c r="P117" i="3"/>
  <c r="U117" i="3"/>
  <c r="T117" i="3"/>
  <c r="V100" i="3"/>
  <c r="P100" i="3"/>
  <c r="U100" i="3"/>
  <c r="T100" i="3"/>
  <c r="V282" i="3"/>
  <c r="P282" i="3"/>
  <c r="U282" i="3"/>
  <c r="T282" i="3"/>
  <c r="V217" i="3"/>
  <c r="P217" i="3"/>
  <c r="U217" i="3"/>
  <c r="T217" i="3"/>
  <c r="V141" i="3"/>
  <c r="P141" i="3"/>
  <c r="U141" i="3"/>
  <c r="T141" i="3"/>
  <c r="V172" i="4"/>
  <c r="P172" i="4"/>
  <c r="V123" i="4"/>
  <c r="P123" i="4"/>
  <c r="V174" i="3"/>
  <c r="P174" i="3"/>
  <c r="U174" i="3"/>
  <c r="P119" i="3"/>
  <c r="V119" i="3"/>
  <c r="W52" i="2"/>
  <c r="Q52" i="2"/>
  <c r="V52" i="2"/>
  <c r="U52" i="2"/>
  <c r="V224" i="3"/>
  <c r="P108" i="3"/>
  <c r="V108" i="3"/>
  <c r="U108" i="3"/>
  <c r="W268" i="2"/>
  <c r="Q268" i="2"/>
  <c r="V268" i="2"/>
  <c r="U268" i="2"/>
  <c r="P324" i="3"/>
  <c r="U324" i="3"/>
  <c r="T324" i="3"/>
  <c r="W170" i="2"/>
  <c r="Q170" i="2"/>
  <c r="V170" i="2"/>
  <c r="W118" i="2"/>
  <c r="Q118" i="2"/>
  <c r="V118" i="2"/>
  <c r="V195" i="3"/>
  <c r="P195" i="3"/>
  <c r="U195" i="3"/>
  <c r="W269" i="1"/>
  <c r="Q269" i="1"/>
  <c r="V269" i="1"/>
  <c r="U269" i="1"/>
  <c r="W252" i="1"/>
  <c r="Q252" i="1"/>
  <c r="V252" i="1"/>
  <c r="U252" i="1"/>
  <c r="W227" i="1"/>
  <c r="Q227" i="1"/>
  <c r="V227" i="1"/>
  <c r="U227" i="1"/>
  <c r="W103" i="1"/>
  <c r="Q103" i="1"/>
  <c r="V103" i="1"/>
  <c r="U103" i="1"/>
  <c r="W94" i="1"/>
  <c r="Q94" i="1"/>
  <c r="V94" i="1"/>
  <c r="U94" i="1"/>
  <c r="Q18" i="1"/>
  <c r="U18" i="1"/>
  <c r="V86" i="3"/>
  <c r="P86" i="3"/>
  <c r="U86" i="3"/>
  <c r="W288" i="1"/>
  <c r="Q288" i="1"/>
  <c r="V288" i="1"/>
  <c r="Q333" i="2"/>
  <c r="V333" i="2"/>
  <c r="U333" i="2"/>
  <c r="W125" i="2"/>
  <c r="Q125" i="2"/>
  <c r="V125" i="2"/>
  <c r="W329" i="1"/>
  <c r="Q329" i="1"/>
  <c r="U329" i="1"/>
  <c r="V329" i="1"/>
  <c r="W323" i="1"/>
  <c r="Q323" i="1"/>
  <c r="V323" i="1"/>
  <c r="U323" i="1"/>
  <c r="W315" i="1"/>
  <c r="Q315" i="1"/>
  <c r="U315" i="1"/>
  <c r="V315" i="1"/>
  <c r="W241" i="1"/>
  <c r="Q241" i="1"/>
  <c r="U241" i="1"/>
  <c r="V241" i="1"/>
  <c r="U196" i="1"/>
  <c r="W196" i="1"/>
  <c r="Q196" i="1"/>
  <c r="V196" i="1"/>
  <c r="W100" i="1"/>
  <c r="Q100" i="1"/>
  <c r="V100" i="1"/>
  <c r="U100" i="1"/>
  <c r="U118" i="2"/>
  <c r="V224" i="4"/>
  <c r="P224" i="4"/>
  <c r="U314" i="4"/>
  <c r="V287" i="4"/>
  <c r="P287" i="4"/>
  <c r="U287" i="4"/>
  <c r="T287" i="4"/>
  <c r="V266" i="4"/>
  <c r="P266" i="4"/>
  <c r="U266" i="4"/>
  <c r="T266" i="4"/>
  <c r="V258" i="4"/>
  <c r="P258" i="4"/>
  <c r="U258" i="4"/>
  <c r="T258" i="4"/>
  <c r="V237" i="4"/>
  <c r="P237" i="4"/>
  <c r="U237" i="4"/>
  <c r="T237" i="4"/>
  <c r="V229" i="4"/>
  <c r="P229" i="4"/>
  <c r="U229" i="4"/>
  <c r="T229" i="4"/>
  <c r="V216" i="4"/>
  <c r="P216" i="4"/>
  <c r="U216" i="4"/>
  <c r="T216" i="4"/>
  <c r="V333" i="4"/>
  <c r="P321" i="4"/>
  <c r="U321" i="4"/>
  <c r="T321" i="4"/>
  <c r="P175" i="4"/>
  <c r="T175" i="4"/>
  <c r="V108" i="4"/>
  <c r="P108" i="4"/>
  <c r="U108" i="4"/>
  <c r="P270" i="4"/>
  <c r="V270" i="4"/>
  <c r="U217" i="4"/>
  <c r="V217" i="4"/>
  <c r="P217" i="4"/>
  <c r="T165" i="4"/>
  <c r="U127" i="4"/>
  <c r="T251" i="4"/>
  <c r="T176" i="4"/>
  <c r="P149" i="4"/>
  <c r="V149" i="4"/>
  <c r="P115" i="4"/>
  <c r="V115" i="4"/>
  <c r="V181" i="4"/>
  <c r="P181" i="4"/>
  <c r="V155" i="4"/>
  <c r="P155" i="4"/>
  <c r="V111" i="4"/>
  <c r="P111" i="4"/>
  <c r="V33" i="4"/>
  <c r="T331" i="3"/>
  <c r="V311" i="3"/>
  <c r="P311" i="3"/>
  <c r="U311" i="3"/>
  <c r="T311" i="3"/>
  <c r="V295" i="3"/>
  <c r="P295" i="3"/>
  <c r="U295" i="3"/>
  <c r="T295" i="3"/>
  <c r="V278" i="3"/>
  <c r="P278" i="3"/>
  <c r="U278" i="3"/>
  <c r="T278" i="3"/>
  <c r="V247" i="3"/>
  <c r="P247" i="3"/>
  <c r="U247" i="3"/>
  <c r="T247" i="3"/>
  <c r="V194" i="3"/>
  <c r="P194" i="3"/>
  <c r="U194" i="3"/>
  <c r="T194" i="3"/>
  <c r="T119" i="3"/>
  <c r="V109" i="3"/>
  <c r="P109" i="3"/>
  <c r="U109" i="3"/>
  <c r="T109" i="3"/>
  <c r="V175" i="4"/>
  <c r="T135" i="4"/>
  <c r="T131" i="4"/>
  <c r="U33" i="4"/>
  <c r="V31" i="4"/>
  <c r="P31" i="4"/>
  <c r="V315" i="3"/>
  <c r="P315" i="3"/>
  <c r="U315" i="3"/>
  <c r="T315" i="3"/>
  <c r="V292" i="3"/>
  <c r="P292" i="3"/>
  <c r="U292" i="3"/>
  <c r="T292" i="3"/>
  <c r="V284" i="3"/>
  <c r="P284" i="3"/>
  <c r="U284" i="3"/>
  <c r="T284" i="3"/>
  <c r="V272" i="3"/>
  <c r="P272" i="3"/>
  <c r="U272" i="3"/>
  <c r="T272" i="3"/>
  <c r="V263" i="3"/>
  <c r="P263" i="3"/>
  <c r="U263" i="3"/>
  <c r="T263" i="3"/>
  <c r="V255" i="3"/>
  <c r="P255" i="3"/>
  <c r="U255" i="3"/>
  <c r="T255" i="3"/>
  <c r="V234" i="3"/>
  <c r="P234" i="3"/>
  <c r="U234" i="3"/>
  <c r="T234" i="3"/>
  <c r="U224" i="3"/>
  <c r="V219" i="3"/>
  <c r="P219" i="3"/>
  <c r="U219" i="3"/>
  <c r="T219" i="3"/>
  <c r="V116" i="3"/>
  <c r="P116" i="3"/>
  <c r="V110" i="3"/>
  <c r="U110" i="3"/>
  <c r="P110" i="3"/>
  <c r="P95" i="3"/>
  <c r="V95" i="3"/>
  <c r="Q224" i="2"/>
  <c r="W224" i="2"/>
  <c r="U157" i="4"/>
  <c r="V109" i="4"/>
  <c r="P109" i="4"/>
  <c r="U109" i="4"/>
  <c r="V170" i="3"/>
  <c r="P170" i="3"/>
  <c r="U170" i="3"/>
  <c r="T170" i="3"/>
  <c r="V147" i="3"/>
  <c r="P147" i="3"/>
  <c r="P96" i="3"/>
  <c r="V96" i="3"/>
  <c r="W194" i="2"/>
  <c r="Q194" i="2"/>
  <c r="V194" i="2"/>
  <c r="U194" i="2"/>
  <c r="W100" i="2"/>
  <c r="Q100" i="2"/>
  <c r="V100" i="2"/>
  <c r="U100" i="2"/>
  <c r="W62" i="2"/>
  <c r="Q62" i="2"/>
  <c r="V62" i="2"/>
  <c r="U62" i="2"/>
  <c r="W54" i="2"/>
  <c r="Q54" i="2"/>
  <c r="V54" i="2"/>
  <c r="U54" i="2"/>
  <c r="W46" i="2"/>
  <c r="Q46" i="2"/>
  <c r="V46" i="2"/>
  <c r="U46" i="2"/>
  <c r="W16" i="2"/>
  <c r="Q16" i="2"/>
  <c r="V16" i="2"/>
  <c r="U16" i="2"/>
  <c r="V243" i="4"/>
  <c r="P243" i="4"/>
  <c r="U243" i="4"/>
  <c r="V159" i="4"/>
  <c r="P159" i="4"/>
  <c r="T143" i="4"/>
  <c r="U131" i="3"/>
  <c r="V120" i="3"/>
  <c r="P120" i="3"/>
  <c r="T97" i="3"/>
  <c r="V57" i="3"/>
  <c r="P57" i="3"/>
  <c r="U57" i="3"/>
  <c r="T57" i="3"/>
  <c r="V22" i="3"/>
  <c r="P22" i="3"/>
  <c r="U22" i="3"/>
  <c r="T22" i="3"/>
  <c r="W291" i="2"/>
  <c r="Q291" i="2"/>
  <c r="V291" i="2"/>
  <c r="U291" i="2"/>
  <c r="W283" i="2"/>
  <c r="Q283" i="2"/>
  <c r="V283" i="2"/>
  <c r="U283" i="2"/>
  <c r="W271" i="2"/>
  <c r="Q271" i="2"/>
  <c r="V271" i="2"/>
  <c r="U271" i="2"/>
  <c r="W262" i="2"/>
  <c r="Q262" i="2"/>
  <c r="V262" i="2"/>
  <c r="U262" i="2"/>
  <c r="W254" i="2"/>
  <c r="Q254" i="2"/>
  <c r="V254" i="2"/>
  <c r="U254" i="2"/>
  <c r="W231" i="2"/>
  <c r="Q231" i="2"/>
  <c r="V231" i="2"/>
  <c r="U231" i="2"/>
  <c r="W218" i="2"/>
  <c r="Q218" i="2"/>
  <c r="V218" i="2"/>
  <c r="U218" i="2"/>
  <c r="W104" i="2"/>
  <c r="Q104" i="2"/>
  <c r="V104" i="2"/>
  <c r="U104" i="2"/>
  <c r="W77" i="2"/>
  <c r="Q77" i="2"/>
  <c r="V77" i="2"/>
  <c r="U77" i="2"/>
  <c r="T175" i="3"/>
  <c r="V175" i="3"/>
  <c r="P175" i="3"/>
  <c r="U175" i="3"/>
  <c r="V88" i="3"/>
  <c r="P88" i="3"/>
  <c r="U33" i="3"/>
  <c r="W325" i="2"/>
  <c r="Q325" i="2"/>
  <c r="V325" i="2"/>
  <c r="U314" i="2"/>
  <c r="W314" i="2"/>
  <c r="Q314" i="2"/>
  <c r="W249" i="2"/>
  <c r="Q249" i="2"/>
  <c r="V249" i="2"/>
  <c r="W241" i="2"/>
  <c r="Q241" i="2"/>
  <c r="V241" i="2"/>
  <c r="Q188" i="2"/>
  <c r="V188" i="2"/>
  <c r="W135" i="2"/>
  <c r="Q135" i="2"/>
  <c r="W131" i="2"/>
  <c r="Q131" i="2"/>
  <c r="U99" i="2"/>
  <c r="Q87" i="2"/>
  <c r="W87" i="2"/>
  <c r="W55" i="2"/>
  <c r="Q55" i="2"/>
  <c r="V55" i="2"/>
  <c r="V296" i="3"/>
  <c r="P296" i="3"/>
  <c r="U296" i="3"/>
  <c r="P81" i="3"/>
  <c r="V81" i="3"/>
  <c r="U241" i="2"/>
  <c r="T135" i="3"/>
  <c r="T113" i="3"/>
  <c r="T18" i="3"/>
  <c r="V18" i="3"/>
  <c r="P18" i="3"/>
  <c r="U18" i="3"/>
  <c r="U12" i="3"/>
  <c r="Q323" i="2"/>
  <c r="V323" i="2"/>
  <c r="U323" i="2"/>
  <c r="W319" i="2"/>
  <c r="V227" i="2"/>
  <c r="U174" i="2"/>
  <c r="Q119" i="2"/>
  <c r="W119" i="2"/>
  <c r="W326" i="1"/>
  <c r="Q326" i="1"/>
  <c r="V326" i="1"/>
  <c r="U326" i="1"/>
  <c r="Q318" i="1"/>
  <c r="V318" i="1"/>
  <c r="U318" i="1"/>
  <c r="W285" i="1"/>
  <c r="Q285" i="1"/>
  <c r="V285" i="1"/>
  <c r="U285" i="1"/>
  <c r="W271" i="1"/>
  <c r="Q271" i="1"/>
  <c r="V271" i="1"/>
  <c r="U271" i="1"/>
  <c r="W262" i="1"/>
  <c r="Q262" i="1"/>
  <c r="V262" i="1"/>
  <c r="U262" i="1"/>
  <c r="W254" i="1"/>
  <c r="Q254" i="1"/>
  <c r="V254" i="1"/>
  <c r="U254" i="1"/>
  <c r="W229" i="1"/>
  <c r="Q229" i="1"/>
  <c r="V229" i="1"/>
  <c r="U229" i="1"/>
  <c r="W216" i="1"/>
  <c r="Q216" i="1"/>
  <c r="V216" i="1"/>
  <c r="U216" i="1"/>
  <c r="W199" i="1"/>
  <c r="Q199" i="1"/>
  <c r="V199" i="1"/>
  <c r="U199" i="1"/>
  <c r="W105" i="1"/>
  <c r="Q105" i="1"/>
  <c r="V105" i="1"/>
  <c r="U105" i="1"/>
  <c r="W80" i="1"/>
  <c r="Q80" i="1"/>
  <c r="V80" i="1"/>
  <c r="U80" i="1"/>
  <c r="V18" i="1"/>
  <c r="V58" i="1"/>
  <c r="W58" i="1"/>
  <c r="Q58" i="1"/>
  <c r="U58" i="1"/>
  <c r="T12" i="3"/>
  <c r="U59" i="2"/>
  <c r="V255" i="1"/>
  <c r="W255" i="1"/>
  <c r="Q255" i="1"/>
  <c r="V191" i="3"/>
  <c r="P191" i="3"/>
  <c r="U191" i="3"/>
  <c r="U172" i="3"/>
  <c r="T161" i="3"/>
  <c r="T129" i="3"/>
  <c r="V102" i="3"/>
  <c r="P102" i="3"/>
  <c r="U102" i="3"/>
  <c r="U227" i="2"/>
  <c r="W188" i="2"/>
  <c r="V131" i="2"/>
  <c r="W113" i="2"/>
  <c r="Q113" i="2"/>
  <c r="V113" i="2"/>
  <c r="W331" i="1"/>
  <c r="W309" i="1"/>
  <c r="Q309" i="1"/>
  <c r="V309" i="1"/>
  <c r="U309" i="1"/>
  <c r="W243" i="1"/>
  <c r="Q243" i="1"/>
  <c r="V243" i="1"/>
  <c r="U243" i="1"/>
  <c r="W190" i="1"/>
  <c r="Q190" i="1"/>
  <c r="V190" i="1"/>
  <c r="U190" i="1"/>
  <c r="W117" i="1"/>
  <c r="Q117" i="1"/>
  <c r="V117" i="1"/>
  <c r="U117" i="1"/>
  <c r="W83" i="1"/>
  <c r="Q83" i="1"/>
  <c r="V83" i="1"/>
  <c r="U83" i="1"/>
  <c r="P320" i="3"/>
  <c r="U320" i="3"/>
  <c r="T320" i="3"/>
  <c r="V31" i="3"/>
  <c r="P31" i="3"/>
  <c r="U31" i="3"/>
  <c r="V87" i="2"/>
  <c r="W290" i="1"/>
  <c r="Q290" i="1"/>
  <c r="V290" i="1"/>
  <c r="V253" i="1"/>
  <c r="W253" i="1"/>
  <c r="Q253" i="1"/>
  <c r="W222" i="1"/>
  <c r="Q222" i="1"/>
  <c r="U278" i="1"/>
  <c r="U228" i="1"/>
  <c r="Q171" i="1"/>
  <c r="W171" i="1"/>
  <c r="Q146" i="1"/>
  <c r="W146" i="1"/>
  <c r="V122" i="1"/>
  <c r="W88" i="1"/>
  <c r="Q88" i="1"/>
  <c r="V88" i="1"/>
  <c r="U263" i="1"/>
  <c r="U236" i="1"/>
  <c r="W164" i="1"/>
  <c r="Q164" i="1"/>
  <c r="V164" i="1"/>
  <c r="W160" i="1"/>
  <c r="Q160" i="1"/>
  <c r="V160" i="1"/>
  <c r="Q154" i="1"/>
  <c r="W154" i="1"/>
  <c r="Q150" i="1"/>
  <c r="W150" i="1"/>
  <c r="U253" i="1"/>
  <c r="V162" i="1"/>
  <c r="V154" i="1"/>
  <c r="V146" i="1"/>
  <c r="U288" i="1"/>
  <c r="W130" i="1"/>
  <c r="Q130" i="1"/>
  <c r="U122" i="1"/>
  <c r="U98" i="1"/>
  <c r="V33" i="1"/>
  <c r="W33" i="1"/>
  <c r="Q33" i="1"/>
  <c r="V158" i="1"/>
</calcChain>
</file>

<file path=xl/comments1.xml><?xml version="1.0" encoding="utf-8"?>
<comments xmlns="http://schemas.openxmlformats.org/spreadsheetml/2006/main">
  <authors>
    <author>g</author>
  </authors>
  <commentList>
    <comment ref="Q7" authorId="0" shapeId="0">
      <text>
        <r>
          <rPr>
            <sz val="11"/>
            <color rgb="FF000000"/>
            <rFont val="Calibri"/>
            <family val="2"/>
            <charset val="1"/>
          </rPr>
          <t xml:space="preserve">Автор:
</t>
        </r>
        <r>
          <rPr>
            <sz val="9"/>
            <color rgb="FF000000"/>
            <rFont val="Tahoma"/>
            <family val="2"/>
            <charset val="204"/>
          </rPr>
          <t xml:space="preserve">в данном столбце, автоматически выделяется красной заливкой превышение свыше 0
</t>
        </r>
      </text>
    </comment>
    <comment ref="R7" authorId="0" shapeId="0">
      <text>
        <r>
          <rPr>
            <sz val="11"/>
            <color rgb="FF000000"/>
            <rFont val="Calibri"/>
            <family val="2"/>
            <charset val="1"/>
          </rPr>
          <t xml:space="preserve">Автор:
</t>
        </r>
        <r>
          <rPr>
            <sz val="9"/>
            <color rgb="FF000000"/>
            <rFont val="Tahoma"/>
            <family val="2"/>
            <charset val="204"/>
          </rPr>
          <t>добавила, для исключения замечаний, выдаваемых от группы мониторинга</t>
        </r>
      </text>
    </comment>
    <comment ref="U7" authorId="0" shapeId="0">
      <text>
        <r>
          <rPr>
            <sz val="11"/>
            <color rgb="FF000000"/>
            <rFont val="Calibri"/>
            <family val="2"/>
            <charset val="1"/>
          </rPr>
          <t xml:space="preserve">Автор:
</t>
        </r>
        <r>
          <rPr>
            <sz val="9"/>
            <color rgb="FF000000"/>
            <rFont val="Tahoma"/>
            <family val="2"/>
            <charset val="204"/>
          </rPr>
          <t>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comments2.xml><?xml version="1.0" encoding="utf-8"?>
<comments xmlns="http://schemas.openxmlformats.org/spreadsheetml/2006/main">
  <authors>
    <author>g</author>
  </authors>
  <commentList>
    <comment ref="Q7" authorId="0" shapeId="0">
      <text>
        <r>
          <rPr>
            <sz val="11"/>
            <color rgb="FF000000"/>
            <rFont val="Calibri"/>
            <family val="2"/>
            <charset val="1"/>
          </rPr>
          <t xml:space="preserve">Автор:
</t>
        </r>
        <r>
          <rPr>
            <sz val="9"/>
            <color rgb="FF000000"/>
            <rFont val="Tahoma"/>
            <family val="2"/>
            <charset val="204"/>
          </rPr>
          <t xml:space="preserve">в данном столбце, автоматически выделяется красной заливкой превышение свыше 0
</t>
        </r>
      </text>
    </comment>
    <comment ref="R7" authorId="0" shapeId="0">
      <text>
        <r>
          <rPr>
            <sz val="11"/>
            <color rgb="FF000000"/>
            <rFont val="Calibri"/>
            <family val="2"/>
            <charset val="1"/>
          </rPr>
          <t xml:space="preserve">Автор:
</t>
        </r>
        <r>
          <rPr>
            <sz val="9"/>
            <color rgb="FF000000"/>
            <rFont val="Tahoma"/>
            <family val="2"/>
            <charset val="204"/>
          </rPr>
          <t>добавила, для исключения замечаний, выдаваемых от группы мониторинга</t>
        </r>
      </text>
    </comment>
    <comment ref="U7" authorId="0" shapeId="0">
      <text>
        <r>
          <rPr>
            <sz val="11"/>
            <color rgb="FF000000"/>
            <rFont val="Calibri"/>
            <family val="2"/>
            <charset val="1"/>
          </rPr>
          <t xml:space="preserve">Автор:
</t>
        </r>
        <r>
          <rPr>
            <sz val="9"/>
            <color rgb="FF000000"/>
            <rFont val="Tahoma"/>
            <family val="2"/>
            <charset val="204"/>
          </rPr>
          <t>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comments3.xml><?xml version="1.0" encoding="utf-8"?>
<comments xmlns="http://schemas.openxmlformats.org/spreadsheetml/2006/main">
  <authors>
    <author>g</author>
  </authors>
  <commentList>
    <comment ref="P7" authorId="0" shapeId="0">
      <text>
        <r>
          <rPr>
            <sz val="11"/>
            <color rgb="FF000000"/>
            <rFont val="Calibri"/>
            <family val="2"/>
            <charset val="1"/>
          </rPr>
          <t xml:space="preserve">Автор:
</t>
        </r>
        <r>
          <rPr>
            <sz val="9"/>
            <color rgb="FF000000"/>
            <rFont val="Tahoma"/>
            <family val="2"/>
            <charset val="204"/>
          </rPr>
          <t xml:space="preserve">в данном столбце, автоматически выделяется красной заливкой превышение свыше 0
</t>
        </r>
      </text>
    </comment>
    <comment ref="Q7" authorId="0" shapeId="0">
      <text>
        <r>
          <rPr>
            <sz val="11"/>
            <color rgb="FF000000"/>
            <rFont val="Calibri"/>
            <family val="2"/>
            <charset val="1"/>
          </rPr>
          <t xml:space="preserve">Автор:
</t>
        </r>
        <r>
          <rPr>
            <sz val="9"/>
            <color rgb="FF000000"/>
            <rFont val="Tahoma"/>
            <family val="2"/>
            <charset val="204"/>
          </rPr>
          <t>добавила, для исключения замечаний, выдаваемых от группы мониторинга</t>
        </r>
      </text>
    </comment>
    <comment ref="T7" authorId="0" shapeId="0">
      <text>
        <r>
          <rPr>
            <sz val="11"/>
            <color rgb="FF000000"/>
            <rFont val="Calibri"/>
            <family val="2"/>
            <charset val="1"/>
          </rPr>
          <t xml:space="preserve">Автор:
</t>
        </r>
        <r>
          <rPr>
            <sz val="9"/>
            <color rgb="FF000000"/>
            <rFont val="Tahoma"/>
            <family val="2"/>
            <charset val="204"/>
          </rPr>
          <t>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comments4.xml><?xml version="1.0" encoding="utf-8"?>
<comments xmlns="http://schemas.openxmlformats.org/spreadsheetml/2006/main">
  <authors>
    <author>g</author>
  </authors>
  <commentList>
    <comment ref="P7" authorId="0" shapeId="0">
      <text>
        <r>
          <rPr>
            <sz val="11"/>
            <color rgb="FF000000"/>
            <rFont val="Calibri"/>
            <family val="2"/>
            <charset val="1"/>
          </rPr>
          <t xml:space="preserve">Автор:
</t>
        </r>
        <r>
          <rPr>
            <sz val="9"/>
            <color rgb="FF000000"/>
            <rFont val="Tahoma"/>
            <family val="2"/>
            <charset val="204"/>
          </rPr>
          <t xml:space="preserve">в данном столбце, автоматически выделяется красной заливкой превышение свыше 0
</t>
        </r>
      </text>
    </comment>
    <comment ref="Q7" authorId="0" shapeId="0">
      <text>
        <r>
          <rPr>
            <sz val="11"/>
            <color rgb="FF000000"/>
            <rFont val="Calibri"/>
            <family val="2"/>
            <charset val="1"/>
          </rPr>
          <t xml:space="preserve">Автор:
</t>
        </r>
        <r>
          <rPr>
            <sz val="9"/>
            <color rgb="FF000000"/>
            <rFont val="Tahoma"/>
            <family val="2"/>
            <charset val="204"/>
          </rPr>
          <t>добавила, для исключения замечаний, выдаваемых от группы мониторинга</t>
        </r>
      </text>
    </comment>
    <comment ref="T7" authorId="0" shapeId="0">
      <text>
        <r>
          <rPr>
            <sz val="11"/>
            <color rgb="FF000000"/>
            <rFont val="Calibri"/>
            <family val="2"/>
            <charset val="1"/>
          </rPr>
          <t xml:space="preserve">Автор:
</t>
        </r>
        <r>
          <rPr>
            <sz val="9"/>
            <color rgb="FF000000"/>
            <rFont val="Tahoma"/>
            <family val="2"/>
            <charset val="204"/>
          </rPr>
          <t>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comments5.xml><?xml version="1.0" encoding="utf-8"?>
<comments xmlns="http://schemas.openxmlformats.org/spreadsheetml/2006/main">
  <authors>
    <author>g</author>
  </authors>
  <commentList>
    <comment ref="Q7" authorId="0" shapeId="0">
      <text>
        <r>
          <rPr>
            <sz val="11"/>
            <color rgb="FF000000"/>
            <rFont val="Calibri"/>
            <family val="2"/>
            <charset val="1"/>
          </rPr>
          <t xml:space="preserve">Автор:
</t>
        </r>
        <r>
          <rPr>
            <sz val="9"/>
            <color rgb="FF000000"/>
            <rFont val="Tahoma"/>
            <family val="2"/>
            <charset val="204"/>
          </rPr>
          <t xml:space="preserve">в данном столбце, автоматически выделяется красной заливкой превышение свыше 0
</t>
        </r>
      </text>
    </comment>
    <comment ref="R7" authorId="0" shapeId="0">
      <text>
        <r>
          <rPr>
            <sz val="11"/>
            <color rgb="FF000000"/>
            <rFont val="Calibri"/>
            <family val="2"/>
            <charset val="1"/>
          </rPr>
          <t xml:space="preserve">Автор:
</t>
        </r>
        <r>
          <rPr>
            <sz val="9"/>
            <color rgb="FF000000"/>
            <rFont val="Tahoma"/>
            <family val="2"/>
            <charset val="204"/>
          </rPr>
          <t>добавила, для исключения замечаний, выдаваемых от группы мониторинга</t>
        </r>
      </text>
    </comment>
    <comment ref="U7" authorId="0" shapeId="0">
      <text>
        <r>
          <rPr>
            <sz val="11"/>
            <color rgb="FF000000"/>
            <rFont val="Calibri"/>
            <family val="2"/>
            <charset val="1"/>
          </rPr>
          <t xml:space="preserve">Автор:
</t>
        </r>
        <r>
          <rPr>
            <sz val="9"/>
            <color rgb="FF000000"/>
            <rFont val="Tahoma"/>
            <family val="2"/>
            <charset val="204"/>
          </rPr>
          <t>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comments6.xml><?xml version="1.0" encoding="utf-8"?>
<comments xmlns="http://schemas.openxmlformats.org/spreadsheetml/2006/main">
  <authors>
    <author>g</author>
  </authors>
  <commentList>
    <comment ref="R7" authorId="0" shapeId="0">
      <text>
        <r>
          <rPr>
            <sz val="11"/>
            <color rgb="FF000000"/>
            <rFont val="Calibri"/>
            <family val="2"/>
            <charset val="1"/>
          </rPr>
          <t xml:space="preserve">Автор:
</t>
        </r>
        <r>
          <rPr>
            <sz val="9"/>
            <color rgb="FF000000"/>
            <rFont val="Tahoma"/>
            <family val="2"/>
            <charset val="204"/>
          </rPr>
          <t xml:space="preserve">в данном столбце, автоматически выделяется красной заливкой превышение свыше 0
</t>
        </r>
      </text>
    </comment>
    <comment ref="S7" authorId="0" shapeId="0">
      <text>
        <r>
          <rPr>
            <sz val="11"/>
            <color rgb="FF000000"/>
            <rFont val="Calibri"/>
            <family val="2"/>
            <charset val="1"/>
          </rPr>
          <t xml:space="preserve">Автор:
</t>
        </r>
        <r>
          <rPr>
            <sz val="9"/>
            <color rgb="FF000000"/>
            <rFont val="Tahoma"/>
            <family val="2"/>
            <charset val="204"/>
          </rPr>
          <t>добавила, для исключения замечаний, выдаваемых от группы мониторинга</t>
        </r>
      </text>
    </comment>
    <comment ref="V7" authorId="0" shapeId="0">
      <text>
        <r>
          <rPr>
            <sz val="11"/>
            <color rgb="FF000000"/>
            <rFont val="Calibri"/>
            <family val="2"/>
            <charset val="1"/>
          </rPr>
          <t xml:space="preserve">Автор:
</t>
        </r>
        <r>
          <rPr>
            <sz val="9"/>
            <color rgb="FF000000"/>
            <rFont val="Tahoma"/>
            <family val="2"/>
            <charset val="204"/>
          </rPr>
          <t>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sharedStrings.xml><?xml version="1.0" encoding="utf-8"?>
<sst xmlns="http://schemas.openxmlformats.org/spreadsheetml/2006/main" count="8851" uniqueCount="1367">
  <si>
    <t>Приложение №3</t>
  </si>
  <si>
    <t xml:space="preserve">к Требованиям к оформлению и составлению сметной документации на работы по программе ремонтов </t>
  </si>
  <si>
    <t xml:space="preserve">                                                ПРИМЕР</t>
  </si>
  <si>
    <t xml:space="preserve">Метод анализа ТКП </t>
  </si>
  <si>
    <t>№ п/п</t>
  </si>
  <si>
    <t>Наименование планируемой к закупке продукции</t>
  </si>
  <si>
    <t>Единица изменения</t>
  </si>
  <si>
    <t>Требуемое количество</t>
  </si>
  <si>
    <t>Цена 2022 года</t>
  </si>
  <si>
    <t>Цена за ед. в смете, руб. без НДС</t>
  </si>
  <si>
    <t>Источник информации-1</t>
  </si>
  <si>
    <t>Источник информации-2</t>
  </si>
  <si>
    <t>Источник информации-3</t>
  </si>
  <si>
    <r>
      <rPr>
        <b/>
        <sz val="16"/>
        <rFont val="Arial"/>
        <family val="2"/>
        <charset val="204"/>
      </rPr>
      <t xml:space="preserve">Средне арифметическая </t>
    </r>
    <r>
      <rPr>
        <b/>
        <sz val="16"/>
        <color rgb="FF00B050"/>
        <rFont val="Arial"/>
        <family val="2"/>
        <charset val="204"/>
      </rPr>
      <t>(за единицу)</t>
    </r>
    <r>
      <rPr>
        <b/>
        <sz val="16"/>
        <rFont val="Arial"/>
        <family val="2"/>
        <charset val="204"/>
      </rPr>
      <t xml:space="preserve">, руб. без НДС
</t>
    </r>
    <r>
      <rPr>
        <sz val="11"/>
        <rFont val="Arial"/>
        <family val="2"/>
        <charset val="204"/>
      </rPr>
      <t xml:space="preserve">(гр.7+гр.10+гр.13)/3,
где 3 – количество указанных источников ценовой информации </t>
    </r>
  </si>
  <si>
    <t xml:space="preserve">% отклонения цены за ед. в смете от средне арифметической </t>
  </si>
  <si>
    <r>
      <rPr>
        <b/>
        <sz val="16"/>
        <rFont val="Arial"/>
        <family val="2"/>
        <charset val="204"/>
      </rPr>
      <t>Цена</t>
    </r>
    <r>
      <rPr>
        <b/>
        <sz val="16"/>
        <color rgb="FFFF0000"/>
        <rFont val="Arial"/>
        <family val="2"/>
        <charset val="204"/>
      </rPr>
      <t xml:space="preserve"> </t>
    </r>
    <r>
      <rPr>
        <b/>
        <sz val="16"/>
        <color rgb="FF00B050"/>
        <rFont val="Arial"/>
        <family val="2"/>
        <charset val="204"/>
      </rPr>
      <t>(за весь объем по смете)</t>
    </r>
    <r>
      <rPr>
        <b/>
        <sz val="16"/>
        <rFont val="Arial"/>
        <family val="2"/>
        <charset val="204"/>
      </rPr>
      <t xml:space="preserve">, руб. без НДС
</t>
    </r>
    <r>
      <rPr>
        <sz val="11"/>
        <rFont val="Arial"/>
        <family val="2"/>
        <charset val="204"/>
      </rPr>
      <t>(гр.4*гр.5)</t>
    </r>
  </si>
  <si>
    <t>КОММЕНТАРИЙ</t>
  </si>
  <si>
    <t>% отклонения от среднеарифметической (не должен быть более 20%)</t>
  </si>
  <si>
    <t>Наименование источника информации</t>
  </si>
  <si>
    <t>Стоимость продукции (за единицу), руб. без НДС</t>
  </si>
  <si>
    <t>Стоимость продукции (за весь объем), руб. без НДС</t>
  </si>
  <si>
    <t>Стоимость продукции (за единицу) с учетом ценообразующих факторов, тыс. руб. без НДС</t>
  </si>
  <si>
    <t>Стоимость продукции (за весь объем) с учетом ценообразующих факторов, руб. без НДС</t>
  </si>
  <si>
    <t>Материалы</t>
  </si>
  <si>
    <t>2-клавишный выключатель Schneider Electric BLANCA 10А, 250B, БЕЛЫЙ BLNVS010501</t>
  </si>
  <si>
    <t>ШТ</t>
  </si>
  <si>
    <t>-</t>
  </si>
  <si>
    <t xml:space="preserve">КП №31/05_23 от 31.05.23 ООО Проэнергетик </t>
  </si>
  <si>
    <t>КП б.н от 26.05.23 ООО ДС-Индастриал</t>
  </si>
  <si>
    <t>КП №33 от 24.05.23 ООО ЭнергоХимТорг</t>
  </si>
  <si>
    <t>AMV 30 220в Электропривод Danfoss 082G3011</t>
  </si>
  <si>
    <t>Счет №495 от 03.05.23 ООО ЭкоСтройКлимат</t>
  </si>
  <si>
    <t>Счет №6305 от 03.05.23 ООО Фаворит</t>
  </si>
  <si>
    <t>Счет №2302301 от 04.05.23 ООО Пайор</t>
  </si>
  <si>
    <t>AMV 33 220в Электропривод Danfoss 082G3013</t>
  </si>
  <si>
    <t>DIN-рейка перфорированная 35х15мм L1000 1.5мм усиленная PROxima EKF tdr-1.0</t>
  </si>
  <si>
    <t>DIN-рейка перфорированная 35х15мм L2000 1.5мм усиленная PROxima EKF tdr-2.0</t>
  </si>
  <si>
    <t>ESCA Лоток перфорированный 100х100х3000 IEK CLP10-100-100-3</t>
  </si>
  <si>
    <t>Loctite 510 Уплотнитель для жестких фланцев, высокотемпературный(50мл)</t>
  </si>
  <si>
    <t xml:space="preserve">КП б.н. от 24.05.23 ООО Техноторг </t>
  </si>
  <si>
    <t>Счет №8771 от 04.05.23 ООО ТББС</t>
  </si>
  <si>
    <t>КП №28 от 22.05.23 ООО Адис</t>
  </si>
  <si>
    <t>АВДТ с защитой от сверхтоков YON MDR63-22C20-A (2п, 30mA) DKC</t>
  </si>
  <si>
    <t>56</t>
  </si>
  <si>
    <t>Автогерметик прокладка 60 гр BSi, универсальный, маслобензостойкий 250 С.</t>
  </si>
  <si>
    <t>КГ</t>
  </si>
  <si>
    <t>КП б.н. от 25.05.23 ООО Инсис</t>
  </si>
  <si>
    <t>Автоматический выключатель IEK ВА47-60M 1Р 10А 6кА MVA31-1-010-C</t>
  </si>
  <si>
    <t>Автоматический выключатель IEK ВА47-60M 1Р 20А 6кА С MVA31-1-020-C</t>
  </si>
  <si>
    <t>Автоматический модульный выключатель DKC YON MD63 1P 10А C 6kA MD63-1C10-6</t>
  </si>
  <si>
    <t>Автоматический модульный выключатель DKC YON MD63 1P 20А C 6kA MD63-1C20-6</t>
  </si>
  <si>
    <t>Автоматический модульный выключатель DKC YON MD63 3P 20А C 6kA MD63-3C20-6</t>
  </si>
  <si>
    <t>Автошампунь REIN PREMIUM</t>
  </si>
  <si>
    <t>Л</t>
  </si>
  <si>
    <t>Счет №СВ-186 от 26.05.23 ООО СварТекс</t>
  </si>
  <si>
    <t>Азот газообразный (Баллон 40 литров), ГОСТ 9293-74</t>
  </si>
  <si>
    <t>Счет №ЦБ-101 от 24.05.23 ИП Ермолаев Д.В.</t>
  </si>
  <si>
    <t>КП б.н. от 26.05.23 ООО Развитие</t>
  </si>
  <si>
    <t>КП №25/23 от 26.05.23 ООО Контракт Комплект XXI</t>
  </si>
  <si>
    <t>Анкерный болт 8х60 с шестигранной головкой IEK</t>
  </si>
  <si>
    <t>Арматура сигнальная ML1-100G 220В зеленая</t>
  </si>
  <si>
    <t>Асбест листовой толщ. 3-5 мм ГОСТ 2850-80</t>
  </si>
  <si>
    <t>Счет №ЕМА6912 от 15.05.23 ООО НПП ТрубТехАрматура</t>
  </si>
  <si>
    <t>Блок аварийного питания БАП58-1,0 ИЭК LLVPOD-EPK-58-1H</t>
  </si>
  <si>
    <t>Боковые элементы цоколя ZA 00.30 S v.2 из коррозионно-стойкой стали, Провенто</t>
  </si>
  <si>
    <t>КОМПЛ</t>
  </si>
  <si>
    <t>Счет №15551 от 15.05.23 ООО ЭлекКом Логистик</t>
  </si>
  <si>
    <t>КП б.н. от 22.05.23 ООО Промэлектрощит</t>
  </si>
  <si>
    <t>КП №30 от 19.05.23 ООО Электромонтаж</t>
  </si>
  <si>
    <t>Передние и задние элементы цоколя ZA 80.00 S v.2 из коррозионно-стойкой стали, Провенто</t>
  </si>
  <si>
    <t>болт (рифлёных щитов) М12; Н=10; I=16; S=22 ст.3</t>
  </si>
  <si>
    <t>болт (рифлёных щитов) М14; Н=10; I=25; S=22 ст.3</t>
  </si>
  <si>
    <t>болт (УИГ к конусу подставке) М20; Н=10; I=35; ст.3</t>
  </si>
  <si>
    <t>Болт оцинкованный М10х60 класс прочности 5,8 DIN 931</t>
  </si>
  <si>
    <t>Болт оцинкованный М12х70 класс прочности 5,8 DIN 931</t>
  </si>
  <si>
    <t>Болт оцинкованный М16х60 класс прочности 5,8  DIN 931</t>
  </si>
  <si>
    <t>Болт оцинкованный М16х80 класс прочности 5,8  DIN 931</t>
  </si>
  <si>
    <t>Болт оцинкованный М20х80 класс прочности 5,8  DIN 931</t>
  </si>
  <si>
    <t>Болт оцинкованный М6х30 класс прочности 5,8 DIN 931</t>
  </si>
  <si>
    <t>Болт оцинкованный М8х60 класс прочности 5,8 DIN 931</t>
  </si>
  <si>
    <t>Бязь отбеленная 142 гр/м2 ГОСТ 29298-2005</t>
  </si>
  <si>
    <t>М2</t>
  </si>
  <si>
    <t>КП №30 от 19.05.23 ООО Элеткромонтаж</t>
  </si>
  <si>
    <t>Вентилятор Sunon KDE2408PTV2 постоянного тока DC 80х80х25</t>
  </si>
  <si>
    <t>Счет №ПО-393 от 04.05.23 ООО ПромОборудование</t>
  </si>
  <si>
    <t>Вентилятор для электрощитов серии 7F производства Finder 7F.20.8.230.2055</t>
  </si>
  <si>
    <t>Верхняя панель - козырек R 80.30 S из коррозионно-стойкой стали, Провенто</t>
  </si>
  <si>
    <t>Вилки штепсельные 'евро'</t>
  </si>
  <si>
    <t>Винт DIN 912 М16х35 с цилиндрической головкой и внутренним шестигранником</t>
  </si>
  <si>
    <t>Войлок тонкошерстный для электрооборудования толщиной 3 мм (Войлок ТЭ 3) ГОСТ 11025-78</t>
  </si>
  <si>
    <t>Счет №СМ-1183 от 25.05.23 ООО ПромЭнергоСистемы</t>
  </si>
  <si>
    <t>Выключатель автоматический T4N 250 TMA 250-2500 3p F F, артикул 1SDA054179R1</t>
  </si>
  <si>
    <t>Выключатель автоматический ВА51-35М1-340010-100А-1250-690AC-УХЛ3</t>
  </si>
  <si>
    <t>Выключатель автоматический модульный YON MD63-1C10-6 6kA DKC</t>
  </si>
  <si>
    <t>Выключатель автоматический модульный YON MD63-1C16-6 6kA DKC </t>
  </si>
  <si>
    <t>48</t>
  </si>
  <si>
    <t>Выключатель автоматический модульный YON MD63-3C25-10 10kA DKC</t>
  </si>
  <si>
    <t>1</t>
  </si>
  <si>
    <t>Выключатель автоматический модульный YON MD63-3C32-10 10kA DKC</t>
  </si>
  <si>
    <t>Выключатель автоматический модульный YON MD63-3C40-6 6kA DKC</t>
  </si>
  <si>
    <t>Выключатель автоматический модульный YON MD63-3C63-10 10kA DKC</t>
  </si>
  <si>
    <t>Выключатель двухклавишный для открытой проводки серии 'Прима', марка: А56-029М-В (Schneider Electric)</t>
  </si>
  <si>
    <t>Выключатель одноклавишный для открытой проводки серии 'Прима', марка: А16-051М-В (Schneider Electric)</t>
  </si>
  <si>
    <t>25</t>
  </si>
  <si>
    <t>Выключатель одноклавишный скрытый белый, арт.BC10-001B, ЭТЮД, Schneider Electric</t>
  </si>
  <si>
    <t>8</t>
  </si>
  <si>
    <t>Выключатель пакетный 3-полюсный, 16А</t>
  </si>
  <si>
    <t>Высокотемпературная пластичная смазка с улучшенными характеристиками LGHP2/0,4 SKF</t>
  </si>
  <si>
    <t>Счет-Договор №6304 от 04.05.23 ООО Станкопром</t>
  </si>
  <si>
    <t>Гайка оцинкованная М10 класс прочности 6 DIN 934</t>
  </si>
  <si>
    <t>Гайка оцинкованная М12 класс прочности 6 DIN 934</t>
  </si>
  <si>
    <t>Гайка оцинкованная М16 класс прочности 6  DIN 934</t>
  </si>
  <si>
    <t>Гайка оцинкованная М20 класс прочности 6  DIN 934</t>
  </si>
  <si>
    <t>Гайка оцинкованная М6 класс прочности 6 DIN 934</t>
  </si>
  <si>
    <t>Гайка оцинкованная М8 класс прочности 6 DIN 934</t>
  </si>
  <si>
    <t>Герметик автомобильный 180 гр.(требуется Герметик автомобильный ТУ 2384-031-15666764-96  250гр.- 2шт.)</t>
  </si>
  <si>
    <t>СРЗАиМ</t>
  </si>
  <si>
    <t>Грунт Огнетитан Гф-021 ГОСТ 25129-82</t>
  </si>
  <si>
    <t>ЛИТР</t>
  </si>
  <si>
    <t>КП №27/23 от 29.05.23 ООО Контракт Комплект XXI</t>
  </si>
  <si>
    <t>Датчик абсолютной вибрации ИВП-05-0,8/200</t>
  </si>
  <si>
    <t>Двухклавишный выключатель Schneider Electric ОП Этюд 10А IP20 белый BA10-002B</t>
  </si>
  <si>
    <t>Двухпозиционный тиристорный модуль МТ3-320-18-С1-У2  Протон Электротекс</t>
  </si>
  <si>
    <t>Дроссель «GALAD», 1И100ДНаТ46Н 003УХЛ2 220В</t>
  </si>
  <si>
    <t>Дроссель 1И150ДНаТ46Н-015 220В</t>
  </si>
  <si>
    <t>Дроссель 1И250ДНаТ46-003УХЛ1 220В с ИЗУ</t>
  </si>
  <si>
    <t>Дроссель 1И250ДНаТ46Н-003УХЛ2 220В</t>
  </si>
  <si>
    <t>Дроссель 1И400ДНаТ/ДРИ47H-003УХЛ2 GALAD</t>
  </si>
  <si>
    <t>Дроссель 1И400ДНаТ46Н-001УХЛ2 220В</t>
  </si>
  <si>
    <t>Зажим наборный ЗНИ-70мм2 серый ИЭК</t>
  </si>
  <si>
    <t>Заклепка вытяжная 3.2х6</t>
  </si>
  <si>
    <t>8000</t>
  </si>
  <si>
    <t>замок под трехгранный ключ</t>
  </si>
  <si>
    <t>Изолента 15ммх20м черная aviora 305 003</t>
  </si>
  <si>
    <t>Изолятор керамический неармированный ОАО “Андреапольский фарфоровый завод” тип – 2830 ГОСТ 5862-79</t>
  </si>
  <si>
    <t>Изолятор подвесной ПС-160Д</t>
  </si>
  <si>
    <t>Изолятор подвесной стеклянный ПС-300В</t>
  </si>
  <si>
    <t>Изолятор ПС 70</t>
  </si>
  <si>
    <t>Изолятор Троллеедержатель К-263.00.06</t>
  </si>
  <si>
    <t>Изолятор Троллеедержатель К2630005 ГОСТ 13871-78</t>
  </si>
  <si>
    <t>Изоляторы линейные подвесные стеклянные ПС-70Е</t>
  </si>
  <si>
    <t>21</t>
  </si>
  <si>
    <t>был по ФССЦ</t>
  </si>
  <si>
    <t>Импульсно зажигающее устройство ИЗУ-400/220-В-012 УХЛ2 GALAD</t>
  </si>
  <si>
    <t>Источник питания (драйвер) ИПС35-300Т</t>
  </si>
  <si>
    <t>Источник питания (драйвер) ИПС-50-350Т Аргос-Трейд</t>
  </si>
  <si>
    <t>Кабель силовой с гибкими медными жилами в резиновой оболочке КГтп-ХЛ 3х2,5 мм2</t>
  </si>
  <si>
    <t>М</t>
  </si>
  <si>
    <t>КП №34 от 15.05.23 ООО УралЭлектроСнаб</t>
  </si>
  <si>
    <t>КП №123 от 26.05.23 ООО ОВК-Р</t>
  </si>
  <si>
    <t>Кабель силовой с гибкими медными жилами в резиновой оболочке КГтп-ХЛ 4х4 мм2</t>
  </si>
  <si>
    <t>Кабель силовой с гибкими медными жилами в резиновой оболочке КГтп-ХЛ 4х50 мм2</t>
  </si>
  <si>
    <t>Кабель силовой с гибкими медными жилами в резиновой оболочке КГтп-ХЛ 4х6 мм2</t>
  </si>
  <si>
    <t>Кабель силовой с медными жилами с изоляцией и оболочкой из ПВХ, не распространяющий горение, с низким дымо- и газовыделением, бронированный, марки: ВБШвнг(А)-LS 4х4 (N)-0,66</t>
  </si>
  <si>
    <t>1000 М</t>
  </si>
  <si>
    <t>Кабель-канал ПВХ белый 20х10х2000мм </t>
  </si>
  <si>
    <t xml:space="preserve">Камера маслоохладителя водяная МО-53-4
</t>
  </si>
  <si>
    <t>5</t>
  </si>
  <si>
    <t>Клемма вводная для мод. оборуд. КВМ 4-25кв.мм (прямой ввод удлиненная) IEK YKVM-4-25-FL</t>
  </si>
  <si>
    <t>Клемма вводная силовая КВС 6-50кв.мм сер. IEK YZN12-050-K03</t>
  </si>
  <si>
    <t>Клемма универсальная зажимная КВТ СМК 221-413 400В 0.14-4мм² 3 контактная</t>
  </si>
  <si>
    <t>Клеммные зажимы 3-х контактные Wago-222-413</t>
  </si>
  <si>
    <t>Клеммный зажим ЗНИ-70 на DIN рейку (серый) арт.YZN10-070-K03</t>
  </si>
  <si>
    <t>Клин пазовый чертеж  8БС.781.172</t>
  </si>
  <si>
    <t>Кнопка APBB-22N Пуск-Стоп с подсветкой неон 1з+1р 240В IEK</t>
  </si>
  <si>
    <t>Кнопка 'Пуск-стоп' МР1-21 (зеленая)</t>
  </si>
  <si>
    <t>Кнопка 'Пуск-стоп' МР1-21 (красная)</t>
  </si>
  <si>
    <t>Компактный распределительный шкаф SES 100.80.30 из коррозионно-стойкой стали, Провенто</t>
  </si>
  <si>
    <t>Компактный распределительный шкаф SES 120.80.30 из коррозионно-стойкой стали, Провенто</t>
  </si>
  <si>
    <t>Компактный распределительный шкаф SES 80.80.30 из коррозионно-стойкой стали, Провенто</t>
  </si>
  <si>
    <t>Компенсатор шинный НПФ «Сварка-Контакт-Сервис» тип КШМ 100x10БУ2</t>
  </si>
  <si>
    <t>Комплект преобразования исполнения KIT MP T4 W 3p (Комплект преобразования), артикул SAC 1SDA0 54841 R1</t>
  </si>
  <si>
    <t>Комплект соединительный КС М6х10 IEK CLP1M-CS-6-10-1</t>
  </si>
  <si>
    <t>Конвектор электрический iVigo EPK4570M15</t>
  </si>
  <si>
    <t xml:space="preserve">Конвектор электрический iVigo EPK4590M20
</t>
  </si>
  <si>
    <t>Контактор КМИ-10910 9А 230В/АС3 1НО ИЭК</t>
  </si>
  <si>
    <t>Контактор КМИ-11810 18А 230В/АС3 1НО ИЭК</t>
  </si>
  <si>
    <t>Контактор КМИ-22510 25А 230В/АС3 1НО ИЭК</t>
  </si>
  <si>
    <t>Контактор КМИ-35012 50А 230В/АС3 1НО 1НЗ ИЭК</t>
  </si>
  <si>
    <t>Контактор КМИ-46512 65А 230В/АС3 1НО 1НЗ ИЭК</t>
  </si>
  <si>
    <t>Контактор КМИ-49512 95А 230В/АС3 1НО 1НЗ ИЭК</t>
  </si>
  <si>
    <t>28</t>
  </si>
  <si>
    <t>Контактор модульный КМ40-20</t>
  </si>
  <si>
    <t>Коробка монтажная электротехническая общего назначения КМ IP66-1515 из оцинкованной стали, количество вводов 8 (КМ IP66-1515)</t>
  </si>
  <si>
    <t>Коробка ответвительная с 10 кабельными вводами д.40мм, IP55, 300х220х120мм ДКС код:54300</t>
  </si>
  <si>
    <t>Коробка распаечная разветвительная КМИ 41237</t>
  </si>
  <si>
    <t>Коробка распаячная КМ41238 для открытой проводки с откидной крышкой 80х80х50мм IP54 IEK UKO31-080-080-050-K03-54</t>
  </si>
  <si>
    <t>Коробка распаячная КМ41255 для открытой проводки 100х100х50мм IP44 IEK</t>
  </si>
  <si>
    <t>Краска Tikkurila Pesto 90 A RAL7040 – серая</t>
  </si>
  <si>
    <t>Счет №329 от 25.05.23 ИП Шабуневич Д.В.</t>
  </si>
  <si>
    <t>Краска Tikkurila Pesto 90 C RAL1016 - желтая</t>
  </si>
  <si>
    <t>1,1</t>
  </si>
  <si>
    <t xml:space="preserve">Краска Tikkurila Pesto 90 C RAL3020 - красная
</t>
  </si>
  <si>
    <t>3,1</t>
  </si>
  <si>
    <t>Краска Tikkurila Pesto 90 C RAL5010 – синяя</t>
  </si>
  <si>
    <t>Краска Tikkurila Pesto 90 C RAL9005 – черная</t>
  </si>
  <si>
    <t>Краска Tikkurila Pesto C RAL6024 - зеленая</t>
  </si>
  <si>
    <t xml:space="preserve">Краска для металла Goodhim F01
</t>
  </si>
  <si>
    <t>Счет №683 от 10.05.23 ООО Дорожный маркет</t>
  </si>
  <si>
    <t>Кронштейн IEK КР-4 D=48 L=500 настенный, регулируемый угол, белый LDKU0D-CR-48-0500-33-K01</t>
  </si>
  <si>
    <t>Кронштейн настенный основание 200мм IEK CLP1CW-200-1</t>
  </si>
  <si>
    <t>Крупный силикагель крупнопористый гранулированный ГОСТ 3956—76</t>
  </si>
  <si>
    <t>Счет №СМПВ-РЯБ-5031 от 05.05.23 ООО НПК Специальная металлургия-Поволжье</t>
  </si>
  <si>
    <r>
      <rPr>
        <sz val="11"/>
        <rFont val="Arial"/>
        <family val="2"/>
        <charset val="204"/>
      </rPr>
      <t xml:space="preserve">Крупный силикагель крупнопористый гранулированный </t>
    </r>
    <r>
      <rPr>
        <sz val="11"/>
        <color rgb="FFFF0000"/>
        <rFont val="Arial"/>
        <family val="2"/>
        <charset val="204"/>
      </rPr>
      <t>индикаторный</t>
    </r>
    <r>
      <rPr>
        <sz val="11"/>
        <rFont val="Arial"/>
        <family val="2"/>
        <charset val="204"/>
      </rPr>
      <t xml:space="preserve"> ГОСТ 3956—76</t>
    </r>
  </si>
  <si>
    <t>Крышка на лоток основание 100х3000мм IEK CLP1K-100-1</t>
  </si>
  <si>
    <t>Лампа AD22DS LED матрица 22мм</t>
  </si>
  <si>
    <t>Лампа линейная люминесцентная ЛЛ 14вт T5 HE 14/84C G5 белая Osram</t>
  </si>
  <si>
    <t>Лампа линейная люминесцентная ЛЛ 18Вт L 18/840 G13 белая Osram</t>
  </si>
  <si>
    <t>Лампа линейная люминесцентная ЛЛ 36вт L 36/840 G13 белая Osram</t>
  </si>
  <si>
    <t>268</t>
  </si>
  <si>
    <t>Лампа линейная люминесцентная ЛЛ 58вт L 58/840 G13 белая Osram</t>
  </si>
  <si>
    <t>Лампа натриевая ДНаТ 100Вт NAV-T E40 OSRAM/LEDVANCE</t>
  </si>
  <si>
    <t>Лампа натриевая ДНаТ 150Вт NAV-T E40 OSRAM/LEDVANCE</t>
  </si>
  <si>
    <t>Лампа натриевая ДНаТ 250Вт NAV-T Е40 OSRAM/LEDVANCE</t>
  </si>
  <si>
    <t>Лампа натриевая ДНаТ 400Вт NAV-T E40 OSRAM/LEDVANCE</t>
  </si>
  <si>
    <t>Лампа светодиодная Feron LB-65 E27-E40 50W 4000K 25820</t>
  </si>
  <si>
    <t>Лампа светодиодная LED 30вт Е27 дневной IEK, арт. LLE-HP-30-230-65-E27</t>
  </si>
  <si>
    <t>Лампа светодиодная LED 80Вт Е40 220В Холодный свет iEK</t>
  </si>
  <si>
    <t>Лампа светодиодная LED GU5.3 12В 6Вт</t>
  </si>
  <si>
    <t>Лампа светодиодная LED-А60 E27 20Вт</t>
  </si>
  <si>
    <t>1248</t>
  </si>
  <si>
    <t>Лампа светодиодная R50 Е14 5,5Вт</t>
  </si>
  <si>
    <t>Лампа светодиодная R63 Е27 8Вт</t>
  </si>
  <si>
    <t>Лампа светодиодная R80 Е27 12Вт</t>
  </si>
  <si>
    <t>Лампа светодиодная капсульная G4 220В 3Вт</t>
  </si>
  <si>
    <t>Лампа светодиодная С37 Е14 5Вт (свечка)</t>
  </si>
  <si>
    <t>Лампа светодиодная Шарик Е27 8Вт</t>
  </si>
  <si>
    <t>Лампа электрическая 12В, 40Вт ГОСТ 12.2.007.13-2000</t>
  </si>
  <si>
    <t>Лампа энергосберегающая КЛЛ 26Вт 2p G24d-3 Osram</t>
  </si>
  <si>
    <t>Лента изоляционная ЛСУ 2,0х0,13</t>
  </si>
  <si>
    <t>55</t>
  </si>
  <si>
    <t>Счет №673 от 11.05.23 ООО ГозСнаб</t>
  </si>
  <si>
    <t>Лента изоляционная ПВХ 19мм 20м (7 кВ; от -50 до +80 С; негорючая)</t>
  </si>
  <si>
    <t>172</t>
  </si>
  <si>
    <t>Лента ЛЭТСАР КФ -0,5</t>
  </si>
  <si>
    <t>37,1</t>
  </si>
  <si>
    <t>Счет №УТ-744 от 10.05.23 ООО Торговый Партнер</t>
  </si>
  <si>
    <t>Лента стеклянная ЛЭС-0,2х25 ГОСТ 5937-81</t>
  </si>
  <si>
    <t>2450</t>
  </si>
  <si>
    <t>Лента хлопчатобумажная киперная ЛЭ 20-24-х/б 0,38мм ГОСТ4514-78</t>
  </si>
  <si>
    <t>Лента хлопчатобумажная киперная ЛЭ 30-46-х/б 0,38мм ГОСТ4514-78</t>
  </si>
  <si>
    <t>400</t>
  </si>
  <si>
    <t>Лента хлопчатобумажная киперная ЛЭ 40-62-х/б 0,38мм ГОСТ4514-78</t>
  </si>
  <si>
    <t>20</t>
  </si>
  <si>
    <t>Лента хлопчатобумажная тафтяная ЛЭ 25-38-х/б 0,24мм ГОСТ4514-78</t>
  </si>
  <si>
    <t>600,</t>
  </si>
  <si>
    <r>
      <rPr>
        <sz val="11"/>
        <rFont val="Arial"/>
        <family val="2"/>
        <charset val="204"/>
      </rPr>
      <t xml:space="preserve">Лист медный М1М 0,5х600х1500 </t>
    </r>
    <r>
      <rPr>
        <b/>
        <sz val="11"/>
        <color rgb="FFFF0000"/>
        <rFont val="Arial"/>
        <family val="2"/>
        <charset val="204"/>
      </rPr>
      <t>(вес одного листа 4кг)</t>
    </r>
  </si>
  <si>
    <t>12</t>
  </si>
  <si>
    <t>Счет №00БП-005198 от 10.05.23 ООО МК Уралсталь</t>
  </si>
  <si>
    <t>Счет №4660 от 10.05.23 ООО Холдинг МеталлНефтеПроект</t>
  </si>
  <si>
    <t>Счет №МСБП-004438 от 10.05.23 ООО МеталлСнаб</t>
  </si>
  <si>
    <t>Лоток металлический перфорированный размером 50х50 мм, с крышкой оцинкованный</t>
  </si>
  <si>
    <t>Мастика герметизирующая для кабельных проходов МГКП</t>
  </si>
  <si>
    <t>Счет №UT-31076 от 10.05.23 ООО ТД Связьстройдеталь</t>
  </si>
  <si>
    <t>Счет-договор №1393 от 10.05.23 ООО Прогресс</t>
  </si>
  <si>
    <t>Счет №8962 от 10.05.23 ООО СКС</t>
  </si>
  <si>
    <t>Модуль светодиодный LINE 470X11.5 2X10 40K80 10W0.3A 2835, Аргос</t>
  </si>
  <si>
    <t>Моющее средство Rein PartsWash New</t>
  </si>
  <si>
    <t>Счет №176 от 10.05.23 ООО НПК Элемент</t>
  </si>
  <si>
    <t>Счет №3949 от 10.05.23 ЗАО Союзхимпром</t>
  </si>
  <si>
    <t>Моющее средство МС-15</t>
  </si>
  <si>
    <t>Счет -договор №ПХ-АЧ-23-158 от 10.05.23 ООО Полихим</t>
  </si>
  <si>
    <t>Набивка сальниковая графитная ф10 (материал Графлекс)ТУ 2573-001-86678852-2008</t>
  </si>
  <si>
    <t>Наконечник кабельный медный луженый по DIN ТМЛ (DIN) 240–12 КВТ</t>
  </si>
  <si>
    <t>Наконечник медный луженный ТМЛ-10-6-5</t>
  </si>
  <si>
    <t>Наконечник медный луженный ТМЛ-150-16-19</t>
  </si>
  <si>
    <t>Наконечник штыревой втулочный изолированный НШвИ 2,5-8</t>
  </si>
  <si>
    <t>Ограничитель на DIN-рейку для клем. зажимов УХВ IEK YXD10</t>
  </si>
  <si>
    <t>Однокомпонентный  силиконовый герметик CHEMLUX 9013 (310мл)</t>
  </si>
  <si>
    <t>Оловянно-свинцовый припой ПОС-60 (пруток 8,0-12,0 мм) ГОСТ 21931–76</t>
  </si>
  <si>
    <t>Счет №ТРМ-ТС/ДЛ-10582 от 10.05.23 ООО Трубное решение</t>
  </si>
  <si>
    <t>Счет №МД-158611 от 10.05.23 ООО ПКФ Цвет</t>
  </si>
  <si>
    <t>Счет №УТ-927 от 26.05.23 АО Оборонсталь</t>
  </si>
  <si>
    <t>Отвердитель ЭТАЛ 45м</t>
  </si>
  <si>
    <t>Счет №270 от 08.05.23 ООО Мастер</t>
  </si>
  <si>
    <t>Счет №252 от 10.05.23 ООО Фьюжн</t>
  </si>
  <si>
    <t>Очиститель промышленный 'ЭКОАКТИВ'</t>
  </si>
  <si>
    <t>Счет №ПХ-ОЕ-23-054 от 10.05.23 ООО Полихим</t>
  </si>
  <si>
    <t>КП №Л-000229185 от 10.05.23 ООО Гарвин Индастриал</t>
  </si>
  <si>
    <t>Паста шлифовальная ЛМ 60/40 Эльборовая</t>
  </si>
  <si>
    <t>0,5</t>
  </si>
  <si>
    <t>Счет-договор №320-23/С от 08.05.23 ООО Павмаш</t>
  </si>
  <si>
    <t>Патрон Navigator 71 604 NLH-CL-E40 керамический подвесной Е40</t>
  </si>
  <si>
    <t>Патрон керамический встраиваемый Е14</t>
  </si>
  <si>
    <t>Патрон керамический встраиваемый Е27</t>
  </si>
  <si>
    <t>Патрон керамический встраиваемый Е40</t>
  </si>
  <si>
    <t>Переключатель ALCLR-22 с фиксацией 3 позиции I-O-II</t>
  </si>
  <si>
    <t>Переключатель кулачковый 4G10-51-U-R014</t>
  </si>
  <si>
    <t>Переключатель одноклавишный открытой установки VA610-126B-BI Schneider Electric</t>
  </si>
  <si>
    <t>Плавкая вставка цилиндрическая ПВЦ 10х38 32А</t>
  </si>
  <si>
    <t>Пластина резиновая для трансформаторов универсальная маслотепломорозостойкая (УМ Лист 10х250х5000) ГОСТ 12855-77</t>
  </si>
  <si>
    <t>Плёнка  полиэтиленовая 100 микр.</t>
  </si>
  <si>
    <t>ПОГ М</t>
  </si>
  <si>
    <t>Подшипник 6202 RS Craft</t>
  </si>
  <si>
    <t>КП №С205884 от 11.05.23 ООО Подшипник.ру Центр"</t>
  </si>
  <si>
    <t>Счет №29 от 18.05.23 ООО Беринг Индастри</t>
  </si>
  <si>
    <t>Подшипник 6205-2RS DINROLL</t>
  </si>
  <si>
    <t>Подшипник 6207-2RS DINROLL</t>
  </si>
  <si>
    <t>Подшипник 6302-2RS DINROLL</t>
  </si>
  <si>
    <t>Подшипник 6304-2RS DINROLL</t>
  </si>
  <si>
    <t>Подшипник 6305-2RS DINROLL</t>
  </si>
  <si>
    <t>Подшипник 6306-2RS DINROLL</t>
  </si>
  <si>
    <t>Подшипник 6308-2RS DINROLL</t>
  </si>
  <si>
    <t>Подшипник 6309-2RS DINROLL</t>
  </si>
  <si>
    <t>Подшипник 6310-2RS DINROLL</t>
  </si>
  <si>
    <t>Подшипник 6312-2RS DINROLL</t>
  </si>
  <si>
    <t>Подшипник 6317-2RS DINROLL</t>
  </si>
  <si>
    <t>45</t>
  </si>
  <si>
    <t>Подшипник DINROLL 6002-2Z</t>
  </si>
  <si>
    <t>Подшипник NU317EW DINROLL</t>
  </si>
  <si>
    <t>Полотно нетканое нитепрошивное 160 гр/м2</t>
  </si>
  <si>
    <t>Посты управления кнопочные ПКЕ222-2 У3</t>
  </si>
  <si>
    <t>Предохранитель 12,5 URD 84 TQF 1700 PC84UD13C17CTQ FERRAZ</t>
  </si>
  <si>
    <t>Предохранитель ПКТ-102-10</t>
  </si>
  <si>
    <t>Предохранитель ПКТ103-10-80-20 У3</t>
  </si>
  <si>
    <t>Предохранитель ПН2-100-100А-У3 с медными выводами</t>
  </si>
  <si>
    <t>Предохранитель ПН2-250-250А-У3 с медными выводами</t>
  </si>
  <si>
    <t>Предохранитель ПН2-400-400А-У3 с медными выводами</t>
  </si>
  <si>
    <t>Провод МГШВЭ 2х0,75</t>
  </si>
  <si>
    <t>250</t>
  </si>
  <si>
    <t>Противопожарная пена PENOSIL Premium Fire Rated Gunfoam</t>
  </si>
  <si>
    <t>Профиль электромонтажный стальной перфорированный Z-образный типа К239 У2 S=3 мм L=2 метра</t>
  </si>
  <si>
    <t>Пруток латунный Д20мм, сплав Л63</t>
  </si>
  <si>
    <t>Т</t>
  </si>
  <si>
    <t>Разъем  2РМД33КПН32Г5А1Л</t>
  </si>
  <si>
    <t xml:space="preserve">Регулятор напряжения VRS-6 (220В, 6А)
</t>
  </si>
  <si>
    <t>Реле РТИ-1308 электротепловое 2,5-4,0 А ИЭК</t>
  </si>
  <si>
    <t>Реле РТИ-1314 электротепловое 7-10А ИЭК</t>
  </si>
  <si>
    <t>Реле РТИ-3361 электротепловое 55-70 А ИЭК</t>
  </si>
  <si>
    <t>Розетка двойная наружная с заземлением без шторок белая, арт. PA16-007B, ЭТЮД, Schneider Electric</t>
  </si>
  <si>
    <t>Розетка двойная скрытая с заземлением без шторок белая, арт. PC16-007B, ЭТЮД, Schneider Electric</t>
  </si>
  <si>
    <t>Розетка наружная без заземления 250В 10А IP44 RA10-125B-BI</t>
  </si>
  <si>
    <t>Розетка наружная с заземлением без шторок белая, арт.PA16-003B, ЭТЮД, Schneider Electric</t>
  </si>
  <si>
    <t>46</t>
  </si>
  <si>
    <t>Розетка скрытая с заземлением без шторок белая, арт.PС16-003B, ЭТЮД, Schneider Electric</t>
  </si>
  <si>
    <t>6</t>
  </si>
  <si>
    <t>Рубильник ЯРП-250А IP54</t>
  </si>
  <si>
    <t>Рулонный РЭМ толщ. 0,5 мм ТУ 16-503-167-78</t>
  </si>
  <si>
    <t>Счет №318 от 16.05.23 ООО Нижневолжский промышленный холдинг</t>
  </si>
  <si>
    <t>Счет №МИР 401 от 15.05.23 АО Урал-ОЦМ</t>
  </si>
  <si>
    <t>Светильник Feron НБУ 01-60-200 Е27 230V</t>
  </si>
  <si>
    <t>Светильник Galad ЖКУ-15-400-101Б с/с IP53</t>
  </si>
  <si>
    <t>80</t>
  </si>
  <si>
    <t>Светильник Navigator 94 806 NBL-R1-100-E27/WH</t>
  </si>
  <si>
    <t>Светильник аварийного освещения URAN 6513-8 EFS193</t>
  </si>
  <si>
    <t>Светильник взрывозащищенный  НСП-02-200</t>
  </si>
  <si>
    <t>Светильник ЛСПО 2х58</t>
  </si>
  <si>
    <t>Светильник люминесцентный встраиваемый OWP/R 418 /595/ IP54/IP54 HF ЭПРА опаловый, Световые Технологии.</t>
  </si>
  <si>
    <t>Светильник люминесцентный встраиваемый PRS/R 218 HF ЭПРА опаловый, Световые Технологии.</t>
  </si>
  <si>
    <t>Светильник люминесцентный встраиваемый PRS/R 418 /595/ HF ES1 опаловый , ЭПРА с аварийным блоком, Световые Технологии.</t>
  </si>
  <si>
    <t>Светильник НПП1201 белый/овал 100Вт IP54 ИЭК</t>
  </si>
  <si>
    <t>Светильник НПП-60W круглый термостойкий без решетки IP54</t>
  </si>
  <si>
    <t>Светильник под натриевую лампу ДНаТ для наружного освещения ЖКУ 06-250-001 УХЛ1 с защитным стеклом</t>
  </si>
  <si>
    <t>16</t>
  </si>
  <si>
    <t>Светильник РТУ-06-125-004 со стеклом молочный IP54 Шар матовый GALAD</t>
  </si>
  <si>
    <t>Светильник с симметричной кривой света типа ЖО серии 04 под лампу ДНАТ-400 с серией модификации 001 с ударопрочным прозрачным стеклом с климатическим исполнением УХЛ1 IP65 производства GALAD арт.00437</t>
  </si>
  <si>
    <t>19</t>
  </si>
  <si>
    <t>Светильник светодиодный RC091V LED36S/840 PSU W60L60 RU PHILIPS</t>
  </si>
  <si>
    <t>Светильник светодиодный ДБП-8w с оптико-акустическим датчиком 4000К 700Лм овальный пластиковый IP65 белый</t>
  </si>
  <si>
    <t>Светильник светодиодный СПО-18, AC170-264/DC200-370, матовое стекло, накладной, ФОКУС.</t>
  </si>
  <si>
    <t>Светильник светодиодный СПО-36, AC170-264/DC200-370, матовое стекло, накладной, ФОКУС.</t>
  </si>
  <si>
    <t>Светильник светодиодный УСС-12НВ, AC10-38/ DC12-55, матовое стекло, крепление скоба, ФОКУС.</t>
  </si>
  <si>
    <t>Светильник светодиодный УСС-18, AC170-264/DC200-370, матовое стекло, крепление скоба, ФОКУС.</t>
  </si>
  <si>
    <t>Светильник светодиодный УСС-180 МАГИСТРАЛЬ Ш1-2, AC170-264/DC200-370, крепление консольное, ФОКУС.</t>
  </si>
  <si>
    <t>Светильник светодиодный УСС-18НВ, AC10-38/ DC12-55, матовое стекло, крепление скоба, ФОКУС.</t>
  </si>
  <si>
    <t>Светильник светодиодный УСС-24 220В (потолочное крепление)</t>
  </si>
  <si>
    <t>Светильник светодиодный УСС-24НВ, AC20-38/ DC20-55, матовое стекло, крепление скоба, ФОКУС.</t>
  </si>
  <si>
    <t>Светильник светодиодный УСС-36, AC170-264/DC200-370, матовое стекло, крепление скоба, ФОКУС.</t>
  </si>
  <si>
    <t>Светильник светодиодный УСС-48, AC170-264/DC200-370, матовое стекло, крепление скоба, ФОКУС.</t>
  </si>
  <si>
    <t>Светильник светодиодный УСС-65 МАГИСТРАЛЬ Ш1-2, AC170-264/DC200-370, крепление консольное, ФОКУС.</t>
  </si>
  <si>
    <t>Светильник светодиодный УСС-70 220В</t>
  </si>
  <si>
    <t>Светодиодный светильник ТЭС серии Леда-1200-55 IP54</t>
  </si>
  <si>
    <t>243</t>
  </si>
  <si>
    <t>Смазка ЭПС-98</t>
  </si>
  <si>
    <t>5,2</t>
  </si>
  <si>
    <t>Счет №3268 от 15.05.23 ООО Стройбыт</t>
  </si>
  <si>
    <t>Счет №291 от 14.05.23 ООО ГСМ Трейд</t>
  </si>
  <si>
    <t>Счет №1079 от 15.05.23 ООО Нектон Сиа</t>
  </si>
  <si>
    <t>Сталь листовая нержавеющая, марка: 08Х17, толщиной 3,0 мм</t>
  </si>
  <si>
    <t>Стартёр LS111M 4-65Вт IEK</t>
  </si>
  <si>
    <t>Стеклоткань пропитанная ПС-ИФ/ЭП-70; толщ. 0,12 мм ТУОЭПП 503.165-60</t>
  </si>
  <si>
    <t>РУЛ</t>
  </si>
  <si>
    <t>Стяжка нейлоновая 4,6 х 180 мм маслостойкие, 100 шт./упак</t>
  </si>
  <si>
    <t>УПАК</t>
  </si>
  <si>
    <t>Сухой лёд в гранулах, 3мм</t>
  </si>
  <si>
    <t>КП №30 от 17.05.23 ООО Криоген-НК</t>
  </si>
  <si>
    <t>КП №7/1 от 17.05.23 ООО КриоТехноСервис</t>
  </si>
  <si>
    <t>Термоиндикаторная наклейка с доп.защитой, 240*10 мм, 6 меток, 70-120ОС, Люминофор</t>
  </si>
  <si>
    <t>Термоиндикаторная наклейка 50*20 мм, 6 меток, 70-120 *C</t>
  </si>
  <si>
    <t>Термоусадочная черная клеевая трубка 2:1 ТТК(2:1)-60/30, черн КВТ</t>
  </si>
  <si>
    <t>МЕТР</t>
  </si>
  <si>
    <t>Термоусаживаемая трубка ТУТ нг 120/60 черная EKF Proxima</t>
  </si>
  <si>
    <t>м</t>
  </si>
  <si>
    <t>Тиристор низкочастотный Т183-2500-42-81-УХЛ2  ТУ 3417-062-41687291-2016 Протон Электротекс</t>
  </si>
  <si>
    <t>Токопитатель, в составе: Изолятор троллеедержатель К263.00.05 ГОСТ 13871-78 – 2шт; Изолятор троллеедержатель К-263.00.06 ГОСТ 13871-78 – 2шт; Лист медный профильный П-образный 300х170х5 – 1шт; Труба стальная прямоугольного сечения окрашенная цинксодержащей краской 100х40х5, L-270мм – 1шт; Болт М6х25 оцинкованный DIN 933 – 4шт; Гайка М6 оцинкованная DIN 934– 4шт; Шайба 6 оцинкованная DIN 125 – 4шт; Болт М12х90 оцинкованный DIN 933 – 2шт; Болт М12х30 оцинкованный DIN 933 – 1шт; Гайка М12 оцинкованная DIN 934 – 5шт; Шайба 12 оцинкованная DIN 125- 4шт; Шайба 12 увеличенная оцинкованная DIN 9021– 2шт.</t>
  </si>
  <si>
    <t>Токопитатель, в составе: Изолятор троллеедержатель К263.00.05 ГОСТ 13871-78 – 2шт; Изолятор троллеедержатель К-263.00.06 ГОСТ 13871-78 – 2шт; Лист медный профильный П-образный 320х200х5 – 1шт; Труба стальная прямоугольного сечения окрашенная цинксодержащей краской 120х40х5, L-270мм – 1шт; Болт М6х25 оцинкованный DIN 933 – 4шт; Гайка М6 оцинкованная DIN 934– 4шт; Шайба 6 оцинкованная DIN 125– 4шт; Болт М12х90 оцинкованный DIN 933 – 2шт; Болт М12х30 оцинкованный DIN 933 – 1шт; Гайка М12 оцинкованная DIN 934 – 5шт; Шайба 12 оцинкованная DIN 125- 4шт; Шайба 12 увеличенная оцинкованная DIN 9021 – 2шт.</t>
  </si>
  <si>
    <t>Трансформатор напряжения двухобмоточный ОСМ-1,0 380/24</t>
  </si>
  <si>
    <t>Трансформатор напряжения понижающий ОСО-0,25 УХЛ 3 220/24</t>
  </si>
  <si>
    <t>Трансформатор понижающий ОСО 025У3 220/36 250 Вт</t>
  </si>
  <si>
    <t>Трансформатор понижающий ЯТП 0,4 кВА, 220/36, IP31</t>
  </si>
  <si>
    <t>Трансформатор трехфазный 380/36 В, 1,6 кВа ТСЗИ-1,6-УХЛ2</t>
  </si>
  <si>
    <t>Трансформатор ТСЗИ 380/36 Cu 2,5кВт</t>
  </si>
  <si>
    <t>Трубка ПВХ 6мм</t>
  </si>
  <si>
    <t>Трубка ПВХ ГОСТ ГОСТ 19034-82 марка d=10 мм 5МП ВЕС 0,1КГ</t>
  </si>
  <si>
    <t>Трубка ПХВ ТВ-40 ПВХ8мм«кембрик»(НПО Изопласт Обнинск)</t>
  </si>
  <si>
    <t>Трубка термоусаживаемая зеленая PBF 6,4/3,2мм Т3042 (DSG Canusa)</t>
  </si>
  <si>
    <t>Трубчатый электронагреватель ТЭНР-53 2,5кВт 220В (ВУ такелажной мастерской)</t>
  </si>
  <si>
    <t>Упор под клин чертеж  8БС.270.480</t>
  </si>
  <si>
    <t>Устройство светодиодное УПС-1А-К красн (УПС-1А-К)</t>
  </si>
  <si>
    <t>Фиксированная часть выкатного исполнения T4 W FP 3p HR(корзина), артикул SAC 1SDA0 54745 R1</t>
  </si>
  <si>
    <t>Флюс ЛТИ-120 (30мл)</t>
  </si>
  <si>
    <t>Фотореле М01-1-15 ACDC24B/AC230B УХЛ2 с датчиком</t>
  </si>
  <si>
    <t>Хомут из нержавеющей стали AISI 316 4,6х300</t>
  </si>
  <si>
    <t>Шайба оцинкованная М10 DIN 125а</t>
  </si>
  <si>
    <t>Шайба оцинкованная М12 DIN 125а</t>
  </si>
  <si>
    <t>Шайба оцинкованная М16  DIN 125а</t>
  </si>
  <si>
    <t>Шайба оцинкованная М20  DIN 125а</t>
  </si>
  <si>
    <t>Шайба оцинкованная М6 DIN 125а</t>
  </si>
  <si>
    <t>Шайба оцинкованная М8 DIN 125а</t>
  </si>
  <si>
    <t>Шайба оцинкованная пружинная (гровер) М10 DIN 127</t>
  </si>
  <si>
    <t>Шайба оцинкованная пружинная (гровер) М12  DIN 127</t>
  </si>
  <si>
    <t>2460</t>
  </si>
  <si>
    <t>Шайба оцинкованная пружинная (гровер) М16  DIN 127</t>
  </si>
  <si>
    <t>Шайба оцинкованная пружинная (гровер) М6 DIN 127</t>
  </si>
  <si>
    <t>Шайба оцинкованная пружинная (гровер) М8 DIN 127</t>
  </si>
  <si>
    <t>Шайба стопорная плоская С21 DIN463</t>
  </si>
  <si>
    <t>Шина медная ШМТ 100х10 ГОСТ 434-78</t>
  </si>
  <si>
    <t>Шинная опора КИ 898 АО НПО Изолятор</t>
  </si>
  <si>
    <t>Шинная опора ШОСК 35-1-Т120-2 УХЛ1</t>
  </si>
  <si>
    <t>Шлифовальная шкурка бумажная водостойкая PS8A Р2500 230x280</t>
  </si>
  <si>
    <t>Счет №1326 от 17.05.23 ООО Абразивкомплект</t>
  </si>
  <si>
    <t>Счет №97 985 от 17.05.23 ООО Крепеж Рус</t>
  </si>
  <si>
    <t>Шнур-чулок электротехнический стеклянный АСЭЧ(б) - 3,0 ТУ 8153-001-22741917-2003</t>
  </si>
  <si>
    <t>1600</t>
  </si>
  <si>
    <t>Щеткодержатель марка ДГ 25х32</t>
  </si>
  <si>
    <t>КП №0282 от 17.05.23 ООО ГК ПромТехМаш</t>
  </si>
  <si>
    <t>Счет №11380 от 17.05.23 ООО ТД Электромонтажник</t>
  </si>
  <si>
    <t>Счет №540 от 17.05.23 ООО ТК Лайтхаус</t>
  </si>
  <si>
    <t>Щит автоматического переключения ЩАП-33 40А АВР IP31, ГК Электроспектр, артикул VG212080</t>
  </si>
  <si>
    <t>Электродвигатель AIS 71A4 У3 0,25кВ 1320 об/мин, IM1081, РОССИЯ</t>
  </si>
  <si>
    <t>Электродвигатель AIS71B2У3 0,55кВ 2730 об/мин, IM1081, РОССИЯ</t>
  </si>
  <si>
    <t>Электродвигатель АИР 132 М4 У3 11кВт 1500 об/мин, IM1081, РОССИЯ</t>
  </si>
  <si>
    <t xml:space="preserve">Электродвигатель АИР160М4У2 18,5кВт 1500 об/мин, IM1081, РОССИЯ
</t>
  </si>
  <si>
    <t>Электроды сварочные с рутиловым покрытием Э46-МР-3 АРС-3-УД Е432(3)-Р21 ТУ У 28.7-34142621-007:2012-09-14</t>
  </si>
  <si>
    <t>Электроды сварочные с рутиловым покрытием Э46-МР-3 АРС-4-УД Е432(3)-Р21 ТУ У 28.7-34142621-007:2012-09-14</t>
  </si>
  <si>
    <t>72</t>
  </si>
  <si>
    <t>Электроды сварочные с рутиловым покрытием Э46-МР-3 АРС-5-УД
Е432(3)-Р21 ТУ У 28.7-34142621-007:2012-09-14</t>
  </si>
  <si>
    <t>Электронагреватель трубчатый ТЭНР-83-13/3,0-0-220В (ВУ-18,19)</t>
  </si>
  <si>
    <t>Электронный пускорегулирующий аппарат  ЭПРА HF-S 236 TL-D II 220-240V 50/60Hz, PHILIPS.</t>
  </si>
  <si>
    <t>Электронный пускорегулирующий аппарат  ЭПРА HF-S 3/4 18 TL-D II 220-240V 50/60Hz, PHILIPS.</t>
  </si>
  <si>
    <t>Электронный пускорегулирующий аппарат ЭПРА QTP5 4x14 встраиваемый OSRAM</t>
  </si>
  <si>
    <t>10</t>
  </si>
  <si>
    <t>Электрощётка ЭГ-4 ИЛГТ.685241.1283-01 20х32х50, Электроконтакт</t>
  </si>
  <si>
    <t>Электрощётка ЭГ-4 ФР2699-12 25х32х50, Электроконтакт</t>
  </si>
  <si>
    <t>ЭПРА ЛЛ 2х58 встраиваемый Navigator (94430 NB-ETL)</t>
  </si>
  <si>
    <t>Оборудование</t>
  </si>
  <si>
    <t>Шайба изоляционная чертеж 3М56437 СТЭФ-У</t>
  </si>
  <si>
    <t>КП №27_23 от 29.05.23 ООО Контракт Комплект XXI</t>
  </si>
  <si>
    <t>ИТОГО</t>
  </si>
  <si>
    <r>
      <rPr>
        <b/>
        <sz val="11"/>
        <color rgb="FF000000"/>
        <rFont val="Arial"/>
        <family val="2"/>
        <charset val="204"/>
      </rP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1"/>
        <color rgb="FF000000"/>
        <rFont val="Arial"/>
        <family val="2"/>
        <charset val="204"/>
      </rPr>
      <t>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</si>
  <si>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</si>
  <si>
    <t>Подшипник 6313-2RS DINROLL</t>
  </si>
  <si>
    <t>2</t>
  </si>
  <si>
    <t>в работе</t>
  </si>
  <si>
    <t>Подшипник 6316-2RS DINROLL</t>
  </si>
  <si>
    <t>4</t>
  </si>
  <si>
    <t xml:space="preserve"> превышение на 46 %</t>
  </si>
  <si>
    <t>превышение на 16%</t>
  </si>
  <si>
    <t>превышение на 122%</t>
  </si>
  <si>
    <t>ТКП №101 от 04.07.2023 ООО "Всё для снабжения"</t>
  </si>
  <si>
    <t>ТКП №119 от 28.06.2023 ООО "СТ Петрострой"</t>
  </si>
  <si>
    <t>ТКП №51 от 07.06.2023 ООО "Тольяттиснаб"</t>
  </si>
  <si>
    <t>СРЗАиМ (прайс из ТиГМО)</t>
  </si>
  <si>
    <t>превышение на 20%</t>
  </si>
  <si>
    <t>превышение на 21%</t>
  </si>
  <si>
    <t>превышение на 22%</t>
  </si>
  <si>
    <t>превышение на 36%</t>
  </si>
  <si>
    <t>превышение на 437%</t>
  </si>
  <si>
    <t>превышение на 115%</t>
  </si>
  <si>
    <t>превышение на 125%</t>
  </si>
  <si>
    <t>учтен по 
ФССЦ-20.2.10.04-0003</t>
  </si>
  <si>
    <t>превышение на 41%</t>
  </si>
  <si>
    <t>КП №С210390 от 09.06.23 ООО Подшипник.ру</t>
  </si>
  <si>
    <t>КП №40/23 от 28.06.23 ООО Контракт Комплект XXI</t>
  </si>
  <si>
    <t>КП №34 от 13.06.23 ООО Адис</t>
  </si>
  <si>
    <t xml:space="preserve"> в РЗ_411108</t>
  </si>
  <si>
    <t>превышение на 109%</t>
  </si>
  <si>
    <t>превышение на 61%</t>
  </si>
  <si>
    <t>превышение на 319%</t>
  </si>
  <si>
    <t>https://kitenergo.ru/catalog/perednie_i_zadnie_elementy_tsokolya_iz_nerzhaveyushchey_stali_za/perednie_i_zadnie_elementy_tsokolya_iz_nerzhaveyushchey_stali_za_80_00_s_v_2/</t>
  </si>
  <si>
    <t>ИЦИ-3 - приняли от эксперта РГС</t>
  </si>
  <si>
    <t>КП №58 от 10.10.23 ООО ЭнергоХимТорг</t>
  </si>
  <si>
    <t>КП №11/10_23 от 11.10.23 ООО ПроЭнергетик</t>
  </si>
  <si>
    <t>КП №76 от 10.10.23 ООО ПромТехноСнаб С</t>
  </si>
  <si>
    <t>новые ТКП предоставили в РГС</t>
  </si>
  <si>
    <t>цена из смет 2024 г.</t>
  </si>
  <si>
    <r>
      <rPr>
        <b/>
        <sz val="11"/>
        <rFont val="Arial"/>
        <family val="2"/>
        <charset val="204"/>
      </rPr>
      <t xml:space="preserve">Средне арифметическая </t>
    </r>
    <r>
      <rPr>
        <b/>
        <sz val="11"/>
        <color rgb="FF00B050"/>
        <rFont val="Arial"/>
        <family val="2"/>
        <charset val="204"/>
      </rPr>
      <t>(за единицу)</t>
    </r>
    <r>
      <rPr>
        <b/>
        <sz val="11"/>
        <rFont val="Arial"/>
        <family val="2"/>
        <charset val="204"/>
      </rPr>
      <t xml:space="preserve">, руб. без НДС
</t>
    </r>
    <r>
      <rPr>
        <sz val="11"/>
        <rFont val="Arial"/>
        <family val="2"/>
        <charset val="204"/>
      </rPr>
      <t xml:space="preserve">(гр.7+гр.10+гр.13)/3,
где 3 – количество указанных источников ценовой информации </t>
    </r>
  </si>
  <si>
    <r>
      <rPr>
        <b/>
        <sz val="11"/>
        <rFont val="Arial"/>
        <family val="2"/>
        <charset val="204"/>
      </rPr>
      <t>Цена</t>
    </r>
    <r>
      <rPr>
        <b/>
        <sz val="11"/>
        <color rgb="FFFF0000"/>
        <rFont val="Arial"/>
        <family val="2"/>
        <charset val="204"/>
      </rPr>
      <t xml:space="preserve"> </t>
    </r>
    <r>
      <rPr>
        <b/>
        <sz val="11"/>
        <color rgb="FF00B050"/>
        <rFont val="Arial"/>
        <family val="2"/>
        <charset val="204"/>
      </rPr>
      <t>(за весь объем по смете)</t>
    </r>
    <r>
      <rPr>
        <b/>
        <sz val="11"/>
        <rFont val="Arial"/>
        <family val="2"/>
        <charset val="204"/>
      </rPr>
      <t xml:space="preserve">, руб. без НДС
</t>
    </r>
    <r>
      <rPr>
        <sz val="11"/>
        <rFont val="Arial"/>
        <family val="2"/>
        <charset val="204"/>
      </rPr>
      <t>(гр.4*гр.5)</t>
    </r>
  </si>
  <si>
    <t>Материалы Подрядчика</t>
  </si>
  <si>
    <t>DIN-рейка 7,5см перфорированная оцинкованная</t>
  </si>
  <si>
    <t xml:space="preserve"> - </t>
  </si>
  <si>
    <t>KREPTA 3 Корпус пластиковый КМПн 2/4 IP30 белый IEK</t>
  </si>
  <si>
    <t>АВДТ с защитой от сверхтоков YON MDR63-22C16-A (2п, 16А, 6кА, 30mA) DKC</t>
  </si>
  <si>
    <t>Автоматический выключатель ВА09-35СУХ3 =440В, Iн-40А, Iнпр-20А ООО 'Атомэлектроприбор'</t>
  </si>
  <si>
    <t xml:space="preserve"> -</t>
  </si>
  <si>
    <t>Бирка кабельная У-134 квадрат 55х55 мм UZMA-BIK-Y134-S IEK</t>
  </si>
  <si>
    <t>Болт DIN 933 с шестигранной головкой, оцинкованный М16х40 прочность 5,8</t>
  </si>
  <si>
    <t>Болт с шестигранной головкой М12х30 DIN 933 оцинкованный</t>
  </si>
  <si>
    <t>Болт с шестигранной головкой М5х25 DIN 933 оцинкованный</t>
  </si>
  <si>
    <t>Болт с шестигранной головкой М6х20 DIN 933 оцинкованный</t>
  </si>
  <si>
    <t>Болт с шестигранной головкой М8х30 DIN 933 оцинкованный</t>
  </si>
  <si>
    <t>Водонагреватель Ariston PRO1 ECO INOX ABS PW 50 V 3700547</t>
  </si>
  <si>
    <t>Выключатель автоматический диф.тока (АВДТ) 1P+N С 16А 6kA 30мА Тип-AС 230В C9D36616, Systeme Electric</t>
  </si>
  <si>
    <r>
      <rPr>
        <sz val="11"/>
        <color rgb="FF000000"/>
        <rFont val="Arial"/>
        <family val="2"/>
        <charset val="204"/>
      </rPr>
      <t xml:space="preserve">Выключатель автоматический модульный 3п C 63А 6кА S203 C63 </t>
    </r>
    <r>
      <rPr>
        <b/>
        <sz val="11"/>
        <color rgb="FFFF0000"/>
        <rFont val="Arial"/>
        <family val="2"/>
        <charset val="204"/>
      </rPr>
      <t>ABB</t>
    </r>
  </si>
  <si>
    <t>Выключатель автоматический модульный С 16А 3P 6kA 400В City9 Set C9F36316, Systeme Electric</t>
  </si>
  <si>
    <t>Выключатель автоматический модульный С 25А 3P 6kA 400В City9 Set C9F36325 Systeme Electric</t>
  </si>
  <si>
    <t>Выключатель автоматический модульный С 32А 3P 6kA 400В City9 Set C9F36332 Systeme Electric</t>
  </si>
  <si>
    <t>Выключатель автоматический модульный  С 10А 1P 6kA 230В City9 Set C9F36110, Systeme Electric</t>
  </si>
  <si>
    <r>
      <rPr>
        <sz val="11"/>
        <color rgb="FF000000"/>
        <rFont val="Arial"/>
        <family val="2"/>
        <charset val="204"/>
      </rPr>
      <t>Выключатель автоматический однополюсный S201 C10</t>
    </r>
    <r>
      <rPr>
        <b/>
        <sz val="11"/>
        <color rgb="FFFF0000"/>
        <rFont val="Arial"/>
        <family val="2"/>
        <charset val="204"/>
      </rPr>
      <t> ABB</t>
    </r>
  </si>
  <si>
    <t>Выключатель пакетный ПВ1-16А в пл. корп. IP56 Электротехник ET002562</t>
  </si>
  <si>
    <t>Гайка самоконтрящаяся шестигранная М12 DIN 985 оцинкованная</t>
  </si>
  <si>
    <t>Гайка шестигранная М5 DIN 934 оцинкованная</t>
  </si>
  <si>
    <t>Гайка шестигранная М6 DIN 934 оцинкованная</t>
  </si>
  <si>
    <t>Гайка шестигранная М8 DIN 934 оцинкованная</t>
  </si>
  <si>
    <t>Гибкая шина в ПВХ изоляции, 3x24x1мм, ном. ток 400А, длина 2 метра R5BFC3241 DKC</t>
  </si>
  <si>
    <t>Гибкий силовой кабель КГтп-ХЛ 5х10 медный ГОСТ 24334-2020</t>
  </si>
  <si>
    <t>Главная заземляющая шина с изоляторами, 6 подкл., 260ммХ40ммХ4мм медь NE2006 DKC</t>
  </si>
  <si>
    <t>Грунт Гермоизол Гф-021 ГОСТ 25129-20</t>
  </si>
  <si>
    <t>Двухпозиционный тиристорный модуль МТ3-320-18-С1-У2 Протон Электротекс</t>
  </si>
  <si>
    <t>Держатель плавкой вставки ДП-35, габарит 1, 250А TDM SQ0713-0042</t>
  </si>
  <si>
    <t>Заземляющий проводник ПЗУ-10-500, сечение 10 мм2, длина 500 мм, с наконечниками</t>
  </si>
  <si>
    <t>Заклепка вытяжная 3.2х10</t>
  </si>
  <si>
    <t>Изолятор опорный низковольтный фарфоровый И-1,8 У2 троллейный</t>
  </si>
  <si>
    <t>Кабель КГтп-ХЛ 3х1.5</t>
  </si>
  <si>
    <t>Кабель силовой с медными жилами с изоляцией и оболочкой из ПВХ, не распространяющий горение марки: ВВГнг(А)-LS 3х2,5 (N)-0,66</t>
  </si>
  <si>
    <t>1000 м</t>
  </si>
  <si>
    <t>Кабель силовой с медными жилами с изоляцией и оболочкой из ПВХ, не распространяющий горение, с низким дымо- и газовыделением, бронированный, марки: ВБШвнг(А)-LS 4х10 (N)-0,66</t>
  </si>
  <si>
    <t>Кабель-канал ПВХ белый 25х16 L2000</t>
  </si>
  <si>
    <t>Кабель-канал перфорированный 15х18 L2000 RL75 G DKC 00670RL</t>
  </si>
  <si>
    <t>Кабельный ввод REXANT pgm-16 (14-10 мм) металлический 07-8216</t>
  </si>
  <si>
    <t>Кабельный ввод ВК-М32-25-МР25 IP66/IP67/IP68 ГОФРОМАТИК</t>
  </si>
  <si>
    <t>Козырек защитный из нержавеющей стали для шкафов SES R 50.25 S Провенто</t>
  </si>
  <si>
    <t>Колодка 2-м 16А IP44 2P+PE 220-240В с защ. крышками каучук LEZARD 106-0400-0110/110</t>
  </si>
  <si>
    <t>Контактор E 95А катушка управления 220В АС3 50Гц LC1E95M5 Schneider Electric</t>
  </si>
  <si>
    <t xml:space="preserve">Контактор КМИ-49512 95А 230В/АС3 1НО 1НЗ ИЭК
</t>
  </si>
  <si>
    <t>Корпус Вектор 33 ЩМП IP66 из нержавеющей стали 300x300x200 УХЛ1 VN66006</t>
  </si>
  <si>
    <t>Краска для металла TIKKURILA METALLISTA по ржавчине 3 в 1, черная 259164 (расход 12 м2/л)</t>
  </si>
  <si>
    <r>
      <rPr>
        <sz val="11"/>
        <color rgb="FF000000"/>
        <rFont val="Arial"/>
        <family val="2"/>
        <charset val="204"/>
      </rPr>
      <t>Крупный силикагель крупнопористый гранулированный</t>
    </r>
    <r>
      <rPr>
        <b/>
        <sz val="11"/>
        <color rgb="FFFF0000"/>
        <rFont val="Arial"/>
        <family val="2"/>
        <charset val="204"/>
      </rPr>
      <t xml:space="preserve"> индикаторный </t>
    </r>
    <r>
      <rPr>
        <sz val="11"/>
        <color rgb="FF000000"/>
        <rFont val="Arial"/>
        <family val="2"/>
        <charset val="204"/>
      </rPr>
      <t>ГОСТ 3956—76</t>
    </r>
  </si>
  <si>
    <t>Материал огнезащитный терморасширяющийся "Огракс-ВВ" для покрытия электрических кабелей</t>
  </si>
  <si>
    <t>Металлорукав в ПВХ изоляции МРПИ НГ 25 (50 м/уп.) черный с протяжкой ГОФРОМАТИК zeta44407 ЗЭТАРУС</t>
  </si>
  <si>
    <t>Плавкая вставка предохранителя ППНН-35, габарит 1, 250А TDM SQ0713-0025</t>
  </si>
  <si>
    <t>Полоса перфорированная 30x2000 мм, 1,5 мм оцинкованная</t>
  </si>
  <si>
    <t>Провод ПуВ 1х1.5 белый</t>
  </si>
  <si>
    <t>Провод силовой ПуГВнг(А)-LS 1х6 желто зеленый</t>
  </si>
  <si>
    <t>Профиль Z-образный К239 60х40х40 мм перфорированный оцинкованный, L-2000мм</t>
  </si>
  <si>
    <t xml:space="preserve">Регулятор скорости VRS-6 (220В, 6А)
</t>
  </si>
  <si>
    <t>Розетка (колодка) 2-м 16А IP44 2P+PE 220-240В с защ. крышками каучук</t>
  </si>
  <si>
    <t>Розетка РАр10-3-ОПс заземлением на DIN-рейку ИЭК</t>
  </si>
  <si>
    <t>Рубильник ВНК-35-1 3П 250А с установленной фронтальной ручкой управления TDM SQ0744-0003</t>
  </si>
  <si>
    <t>Сальник mg 13,5 диаметр проводника 6-12 мм, IP68</t>
  </si>
  <si>
    <t>Сальник mg 50 диаметр проводника 30-40 мм, IP68</t>
  </si>
  <si>
    <t>Сальник mg 63 диаметр проводника 40-50 мм, IP68</t>
  </si>
  <si>
    <t>Саморез ШСММ сверло 4,2х16</t>
  </si>
  <si>
    <t>Светильник люминесцентный ЛСПО 01-2х58 с ЭПРА с бипараболическим отражателем</t>
  </si>
  <si>
    <t>Светильник светодиодный с датчиком Foton FL-LED DPB-01 SENSOR 12W 4500K IP54 овальный</t>
  </si>
  <si>
    <t>Светильник светодиодный УСС-18 Д, AC170-264/DC200-370, крепление скоба, ФОКУС</t>
  </si>
  <si>
    <t>это одно и то же?</t>
  </si>
  <si>
    <t>Светодиодный светильник ТЭС серии Леда-1200-55 ЭКО IP54</t>
  </si>
  <si>
    <t>Светодиодный светильник УСС-70 Д, AC170-264/DC200-370, консольное крепление, 4000К, IP67 ФОКУС</t>
  </si>
  <si>
    <t>Смазка суперконт </t>
  </si>
  <si>
    <t>Термоиндикаторная наклейка  50*20 мм,  6 меток, 70-120 *C</t>
  </si>
  <si>
    <r>
      <rPr>
        <sz val="11"/>
        <color rgb="FF000000"/>
        <rFont val="Arial"/>
        <family val="2"/>
        <charset val="204"/>
      </rPr>
      <t xml:space="preserve">Токопитатель, в составе: Изолятор троллеедержатель К263.00.05 ГОСТ 13871-78 – 2шт; Изолятор троллеедержатель К-263.00.06 ГОСТ 13871-78 – 2шт; Лист медный профильный П-образный </t>
    </r>
    <r>
      <rPr>
        <b/>
        <sz val="11"/>
        <color rgb="FFFF0000"/>
        <rFont val="Arial"/>
        <family val="2"/>
        <charset val="204"/>
      </rPr>
      <t>300х170х5</t>
    </r>
    <r>
      <rPr>
        <sz val="11"/>
        <color rgb="FF000000"/>
        <rFont val="Arial"/>
        <family val="2"/>
        <charset val="204"/>
      </rPr>
      <t xml:space="preserve"> – 1шт; Труба стальная прямоугольного сечения окрашенная цинксодержащей краской 100х40х5, L-270мм – 1шт; Болт М6х25 оцинкованный DIN 933 – 4шт; Гайка М6 оцинкованная DIN 934– 4шт; Шайба 6 оцинкованная DIN 125 – 4шт; Болт М12х90 оцинкованный DIN 933 – 2шт; Болт М12х30 оцинкованный DIN 933 – 1шт; Гайка М12 оцинкованная DIN 934 – 5шт; Шайба 12 оцинкованная DIN 125- 4шт; Шайба 12 увеличенная оцинкованная DIN 9021– 2шт.</t>
    </r>
  </si>
  <si>
    <r>
      <rPr>
        <sz val="11"/>
        <color rgb="FF000000"/>
        <rFont val="Arial"/>
        <family val="2"/>
        <charset val="204"/>
      </rPr>
      <t>Токопитатель, в составе: Изолятор троллеедержатель К263.00.05 ГОСТ 13871-78 – 2шт; Изолятор троллеедержатель К-263.00.06 ГОСТ 13871-78 – 2шт; Лист медный профильный П-образный</t>
    </r>
    <r>
      <rPr>
        <b/>
        <sz val="11"/>
        <color rgb="FFFF0000"/>
        <rFont val="Arial"/>
        <family val="2"/>
        <charset val="204"/>
      </rPr>
      <t xml:space="preserve"> 320х200х5</t>
    </r>
    <r>
      <rPr>
        <sz val="11"/>
        <color rgb="FF000000"/>
        <rFont val="Arial"/>
        <family val="2"/>
        <charset val="204"/>
      </rPr>
      <t xml:space="preserve"> – 1шт; Труба стальная прямоугольного сечения окрашенная цинксодержащей краской 120х40х5, L-270мм – 1шт; Болт М6х25 оцинкованный DIN 933 – 4шт; Гайка М6 оцинкованная DIN 934– 4шт; Шайба 6 оцинкованная DIN 125– 4шт; Болт М12х90 оцинкованный DIN 933 – 2шт; Болт М12х30 оцинкованный DIN 933 – 1шт; Гайка М12 оцинкованная DIN 934 – 5шт; Шайба 12 оцинкованная DIN 125- 4шт; Шайба 12 увеличенная оцинкованная DIN 9021 – 2шт.</t>
    </r>
  </si>
  <si>
    <r>
      <rPr>
        <sz val="11"/>
        <color rgb="FF000000"/>
        <rFont val="Arial"/>
        <family val="2"/>
        <charset val="204"/>
      </rPr>
      <t>Фиксированная часть выкатного исполнения T4 W FP 3p</t>
    </r>
    <r>
      <rPr>
        <b/>
        <sz val="11"/>
        <color rgb="FFFF0000"/>
        <rFont val="Arial"/>
        <family val="2"/>
        <charset val="204"/>
      </rPr>
      <t xml:space="preserve"> HR</t>
    </r>
    <r>
      <rPr>
        <b/>
        <sz val="11"/>
        <color rgb="FF000000"/>
        <rFont val="Arial"/>
        <family val="2"/>
        <charset val="204"/>
      </rPr>
      <t xml:space="preserve">, </t>
    </r>
    <r>
      <rPr>
        <sz val="11"/>
        <color rgb="FF000000"/>
        <rFont val="Arial"/>
        <family val="2"/>
        <charset val="204"/>
      </rPr>
      <t>под выключатель T4N 250</t>
    </r>
  </si>
  <si>
    <r>
      <rPr>
        <sz val="11"/>
        <color rgb="FF000000"/>
        <rFont val="Arial"/>
        <family val="2"/>
        <charset val="204"/>
      </rPr>
      <t xml:space="preserve">Фиксированная часть выкатного исполнения T4 W FP 3p </t>
    </r>
    <r>
      <rPr>
        <b/>
        <sz val="11"/>
        <color rgb="FFFF0000"/>
        <rFont val="Arial"/>
        <family val="2"/>
        <charset val="204"/>
      </rPr>
      <t>VR,</t>
    </r>
    <r>
      <rPr>
        <sz val="11"/>
        <color rgb="FF000000"/>
        <rFont val="Arial"/>
        <family val="2"/>
        <charset val="204"/>
      </rPr>
      <t xml:space="preserve"> под выключатель T4N 250</t>
    </r>
  </si>
  <si>
    <t>Хомут нейлоновый Basic plc-c-2.5x250 EKF</t>
  </si>
  <si>
    <t>Шайба DINFIX нерж. А2, М8, DIN 125, 100 шт. 00-00002268 (на каждый нагель)</t>
  </si>
  <si>
    <t>Шайба оцинкованная пружинная (гровер) М12 DIN 127</t>
  </si>
  <si>
    <r>
      <rPr>
        <sz val="11"/>
        <color rgb="FF000000"/>
        <rFont val="Arial"/>
        <family val="2"/>
        <charset val="204"/>
      </rPr>
      <t xml:space="preserve">Шайба плоская М12 </t>
    </r>
    <r>
      <rPr>
        <sz val="11"/>
        <color rgb="FFFF0000"/>
        <rFont val="Arial"/>
        <family val="2"/>
        <charset val="204"/>
      </rPr>
      <t>DIN125</t>
    </r>
    <r>
      <rPr>
        <sz val="11"/>
        <color rgb="FF000000"/>
        <rFont val="Arial"/>
        <family val="2"/>
        <charset val="204"/>
      </rPr>
      <t xml:space="preserve"> оцинкованная</t>
    </r>
  </si>
  <si>
    <t>Шайба плоская М5 DIN125 оцинкованная</t>
  </si>
  <si>
    <r>
      <rPr>
        <sz val="11"/>
        <color rgb="FF000000"/>
        <rFont val="Arial"/>
        <family val="2"/>
        <charset val="204"/>
      </rPr>
      <t xml:space="preserve">Шайба плоская М6 </t>
    </r>
    <r>
      <rPr>
        <sz val="11"/>
        <color rgb="FFFF0000"/>
        <rFont val="Arial"/>
        <family val="2"/>
        <charset val="204"/>
      </rPr>
      <t>DIN125</t>
    </r>
    <r>
      <rPr>
        <sz val="11"/>
        <color rgb="FF000000"/>
        <rFont val="Arial"/>
        <family val="2"/>
        <charset val="204"/>
      </rPr>
      <t xml:space="preserve"> оцинкованная</t>
    </r>
  </si>
  <si>
    <r>
      <rPr>
        <sz val="11"/>
        <color rgb="FF000000"/>
        <rFont val="Arial"/>
        <family val="2"/>
        <charset val="204"/>
      </rPr>
      <t xml:space="preserve">Шайба плоская М8 </t>
    </r>
    <r>
      <rPr>
        <sz val="11"/>
        <color rgb="FFFF0000"/>
        <rFont val="Arial"/>
        <family val="2"/>
        <charset val="204"/>
      </rPr>
      <t>DIN125</t>
    </r>
    <r>
      <rPr>
        <sz val="11"/>
        <color rgb="FF000000"/>
        <rFont val="Arial"/>
        <family val="2"/>
        <charset val="204"/>
      </rPr>
      <t xml:space="preserve"> оцинкованная</t>
    </r>
  </si>
  <si>
    <t>Шина N ноль на DIN-изолятор ШНИ-6х9-6-Д-С YNN10-69-6D-K07 IEK</t>
  </si>
  <si>
    <t>Шкаф компактный распределительный из нержавеющей стали SES 70.50.25 Провенто</t>
  </si>
  <si>
    <t>Шуруп по бетону КРЕП-КОМП Нагель 7,5х72 (кол-во по длине каждые 0,6м) 1100м/0,6шт/м =1833шт</t>
  </si>
  <si>
    <t>Щит навесной на 12 модулей.Размеры (ВxГxШ) 210*140*260</t>
  </si>
  <si>
    <t>Электрический тепловентилятор ГРЕЕРС ЕС-21 21кВт 380В</t>
  </si>
  <si>
    <r>
      <rPr>
        <sz val="11"/>
        <color rgb="FF000000"/>
        <rFont val="Arial"/>
        <family val="2"/>
        <charset val="204"/>
      </rPr>
      <t xml:space="preserve">Электроды сварочные с рутиловым покрытием МР-3 </t>
    </r>
    <r>
      <rPr>
        <b/>
        <sz val="11"/>
        <color rgb="FFFF0000"/>
        <rFont val="Arial"/>
        <family val="2"/>
        <charset val="204"/>
      </rPr>
      <t>3 мм</t>
    </r>
    <r>
      <rPr>
        <sz val="11"/>
        <color rgb="FF000000"/>
        <rFont val="Arial"/>
        <family val="2"/>
        <charset val="204"/>
      </rPr>
      <t xml:space="preserve"> производства Goodel</t>
    </r>
  </si>
  <si>
    <r>
      <rPr>
        <sz val="11"/>
        <color rgb="FF000000"/>
        <rFont val="Arial"/>
        <family val="2"/>
        <charset val="204"/>
      </rPr>
      <t xml:space="preserve">Электроды сварочные с рутиловым покрытием МР-3 </t>
    </r>
    <r>
      <rPr>
        <b/>
        <sz val="11"/>
        <color rgb="FFFF0000"/>
        <rFont val="Arial"/>
        <family val="2"/>
        <charset val="204"/>
      </rPr>
      <t>4 мм</t>
    </r>
    <r>
      <rPr>
        <sz val="11"/>
        <color rgb="FF000000"/>
        <rFont val="Arial"/>
        <family val="2"/>
        <charset val="204"/>
      </rPr>
      <t xml:space="preserve"> производства Goodel</t>
    </r>
  </si>
  <si>
    <r>
      <rPr>
        <sz val="11"/>
        <color rgb="FF000000"/>
        <rFont val="Arial"/>
        <family val="2"/>
        <charset val="204"/>
      </rPr>
      <t xml:space="preserve">Электроды сварочные с рутиловым покрытием МР-3 </t>
    </r>
    <r>
      <rPr>
        <b/>
        <sz val="11"/>
        <color rgb="FFFF0000"/>
        <rFont val="Arial"/>
        <family val="2"/>
        <charset val="204"/>
      </rPr>
      <t>5 мм</t>
    </r>
    <r>
      <rPr>
        <sz val="11"/>
        <color rgb="FF000000"/>
        <rFont val="Arial"/>
        <family val="2"/>
        <charset val="204"/>
      </rPr>
      <t xml:space="preserve"> производства Goodel
</t>
    </r>
  </si>
  <si>
    <t>Электроды угольные GWS (12 пачек)</t>
  </si>
  <si>
    <t>Электронный пускорегулирующий аппарат ЭПРА ЛЛ 2х58 встраиваемый LLV258D-EBFL-2-58 IEK</t>
  </si>
  <si>
    <t>Электрощётка ЭГ-4 ИЛГТ.685241.1283-01 20х32х50, АО 'Электроконтакт'</t>
  </si>
  <si>
    <t>Электрощётка ЭГ-4 ФР2699-12 25х32х50, АО 'Электроконтакт'</t>
  </si>
  <si>
    <t>Давальческий материал</t>
  </si>
  <si>
    <t>Изолятор подвесной ПС-160Д 112V</t>
  </si>
  <si>
    <t>Изолятор подвесной стеклянный ПС-300В 112V</t>
  </si>
  <si>
    <t>Изолятор ШПО-60-20-Т140-425 УХЛ1, ООО 'Имприм-Энергия'</t>
  </si>
  <si>
    <t>Изоляторы линейные подвесные стеклянные ПС-70Е 212W</t>
  </si>
  <si>
    <t>Кабель силовой с медными жилам..ряжением 1,0 кВ (ГОСТ Р 53769-2010), марки ВВГнг(A)-LS 3х2,5oк(N,PE)</t>
  </si>
  <si>
    <t>Кабель силовой с медными жилами с изоляцией и оболочкой из ПВХ, не распространяющий горение, с низким дымо- и газовыделением, напряжением 1,0кВ (ГОСТ Р 53769-2010), марки ВВГнг(A)-LS 4х2,5oк(N,PE)</t>
  </si>
  <si>
    <t>Лента серебряная 99,99 0,8х200х400 мм</t>
  </si>
  <si>
    <t>Г</t>
  </si>
  <si>
    <t>Припой ПСР 15</t>
  </si>
  <si>
    <t>Светильник Galad ЖКУ16-400-001 : ШО (с/стеклом) 00114 IP54</t>
  </si>
  <si>
    <t>Светильник под натриевую лампу ДНаТ для наружного освещения ЖКУ16-250-001 : ШО (с/стеклом) GALAD 00110</t>
  </si>
  <si>
    <t>Светильник светодиодный УСС-24 220В</t>
  </si>
  <si>
    <t>Тиристор низкочастотный Т183-2500-42-81-УХЛ2  ТУ 3417-062-41687291-2016 Протон Электротекс</t>
  </si>
  <si>
    <t>Материалы, взятые по ФССЦ</t>
  </si>
  <si>
    <t>наименование</t>
  </si>
  <si>
    <t>ед.изм.</t>
  </si>
  <si>
    <t>кол-во</t>
  </si>
  <si>
    <t>цена 2001г</t>
  </si>
  <si>
    <t>Стоимость единицы с учетом Кмат+деф</t>
  </si>
  <si>
    <t>Стоимость за весь объем</t>
  </si>
  <si>
    <t>Паронит маслобензостойкий, марка ПМБ-1, толщина 3,0 мм</t>
  </si>
  <si>
    <t>кг</t>
  </si>
  <si>
    <t>Ткань асбестовая с хлопковым волокном АТ-2, толщина 1,7 мм</t>
  </si>
  <si>
    <t>м2</t>
  </si>
  <si>
    <t>Бензин БР-2 (Нефрас С2 80/120)</t>
  </si>
  <si>
    <t>т</t>
  </si>
  <si>
    <t>Смазка ЦИАТИМ-201 (ГОСТ 6267-74)</t>
  </si>
  <si>
    <t>Смазка ЦИАТИМ-221</t>
  </si>
  <si>
    <t>Спирт этиловый ректификованный технический, сорт I</t>
  </si>
  <si>
    <t>Топливо дизельное из малосернистых нефтей</t>
  </si>
  <si>
    <t>Кислород газообразный технический</t>
  </si>
  <si>
    <t>м3</t>
  </si>
  <si>
    <t>Пропан-бутан смесь техническая</t>
  </si>
  <si>
    <t>Кислота ортофосфорная техническая, сорт I</t>
  </si>
  <si>
    <t>Масло вакуумное (ВМ-4)</t>
  </si>
  <si>
    <t>Сода кальцинированная (натрий углекислый) техническая</t>
  </si>
  <si>
    <t>Дибутилфталат технический, сорт I (ТГМ-3, ГОСТ 8728-88)</t>
  </si>
  <si>
    <t>Кварц молотый пылевидный (Маршалит)</t>
  </si>
  <si>
    <t>Лакоткань на натуральном шелке ЛШМС-105, ширина 700-740, 870-930 мм, толщина от 0,1 до 0,15 мм (Лакоткань на натуральном шелке марки ЛШМ-105, шириной 700-740, 870-930 мм, толщиной от 0,08 до 0,1 мм)</t>
  </si>
  <si>
    <t>10 м2</t>
  </si>
  <si>
    <t>Текстолит листовой А, толщина от 2,2 до 4,5 мм (электротехнический листовой 3 мм, ГОСТ 2910-74)</t>
  </si>
  <si>
    <t>Пленка полиэтиленовая, толщина 0,2-0,5 мм</t>
  </si>
  <si>
    <t>Мел природный кусковой пиленый (Мел для разметки ГОСТ 12085-73 (вес 1шт= 20гр; 15 штх0,02кг=0,3кг))</t>
  </si>
  <si>
    <t>Флюс ПВ-209</t>
  </si>
  <si>
    <t>Электроды сварочные УОНИ 13/55, Э50А, диаметр 4-5 мм</t>
  </si>
  <si>
    <t>Дюбель-гвозди, размер 6х39 мм (Дюбель-гвоздь 6х40)</t>
  </si>
  <si>
    <t>100 шт</t>
  </si>
  <si>
    <r>
      <rPr>
        <sz val="11"/>
        <rFont val="Arial"/>
        <family val="2"/>
        <charset val="204"/>
      </rPr>
      <t xml:space="preserve">Шкурка шлифовальная на тканевой основе водостойкая (Шлифовальная шкурка водостойкая на тканной основе, </t>
    </r>
    <r>
      <rPr>
        <b/>
        <sz val="11"/>
        <color rgb="FFFF0000"/>
        <rFont val="Arial"/>
        <family val="2"/>
        <charset val="204"/>
      </rPr>
      <t>№ 16 (Р 80)</t>
    </r>
    <r>
      <rPr>
        <sz val="11"/>
        <rFont val="Arial"/>
        <family val="2"/>
        <charset val="204"/>
      </rPr>
      <t>, 17х24см, в кол-ве  шт)</t>
    </r>
  </si>
  <si>
    <r>
      <rPr>
        <sz val="11"/>
        <rFont val="Arial"/>
        <family val="2"/>
        <charset val="204"/>
      </rPr>
      <t xml:space="preserve">Шкурка шлифовальная на тканевой основе водостойкая (Шлифовальная шкурка водостойкая на тканной основе, </t>
    </r>
    <r>
      <rPr>
        <b/>
        <sz val="11"/>
        <color rgb="FFFF0000"/>
        <rFont val="Arial"/>
        <family val="2"/>
        <charset val="204"/>
      </rPr>
      <t>№ 6 (Р 180)</t>
    </r>
    <r>
      <rPr>
        <sz val="11"/>
        <rFont val="Arial"/>
        <family val="2"/>
        <charset val="204"/>
      </rPr>
      <t>, 17х24см, в кол-ве  шт)</t>
    </r>
  </si>
  <si>
    <t>Пластина резиновая техническая МБС-С (1Ф-I-МБС-С-10 ГОСТ 7338-90)</t>
  </si>
  <si>
    <t>Пластина резиновая техническая МБС-С (1Ф-I-МБС-С-4 ГОСТ 7338-90)</t>
  </si>
  <si>
    <t>Пластина резиновая техническая МБС-С (1Ф-I-МБС-С-6; ГОСТ 7338-90)</t>
  </si>
  <si>
    <t>Салфетки хлопчатобумажные</t>
  </si>
  <si>
    <t>Сталь листовая горячекатаная марки Ст3 толщиной: 2,0 мм (1250х2500)</t>
  </si>
  <si>
    <t>Сталь листовая горячекатаная марки Ст3 толщиной: 3,0 мм (1250х2500)</t>
  </si>
  <si>
    <t>Прокат толстолистовой горячекатаный в листах, марка стали Ст3, толщина 4,0 мм (1250х2500)</t>
  </si>
  <si>
    <t>Сталь листовая горячекатаная марки Ст3 толщиной: 5,0 мм (1250х2500)</t>
  </si>
  <si>
    <t>Сталь листовая горячекатаная марки Ст3 толщиной: 6-9 мм (толщ.8,0 мм; 1250х2500)</t>
  </si>
  <si>
    <t>Сталь листовая горячекатаная марки Ст3 толщиной: 6,0 мм (1250х2500)</t>
  </si>
  <si>
    <t>Прокат толстолистовой горячекатаный в листах, марка стали Ст3, толщина 10-13 мм (толщ. 12,0 мм; 1250х2500)</t>
  </si>
  <si>
    <t>Прокат толстолистовой горячекатаный в листах, марка стали Ст3, толщина 10-13 мм (толщ.10,0 мм; 1250х2500)</t>
  </si>
  <si>
    <t>Сталь листовая холоднокатаная марки: 08пс толщиной 1,0-1,9 мм (толщ.1,0 мм; 1250х2500)</t>
  </si>
  <si>
    <t>Прокат полосовой, горячекатаный, размер 40х4 мм (Полоса стальная 40х4мм ГОСТ 103-2006; вес 1 м - 1,26 кг; требуется 1100м)</t>
  </si>
  <si>
    <t>Сталь угловая равнополочная, марка стали: Ст3сп, размером 45х45 мм (Уголок стальной равнополочный 45х45х4 г/к, ГОСТ 8509-93; требуется 4 м, вес 1м - 2,73 кг)</t>
  </si>
  <si>
    <t>Клей резиновый N 88-Н (ТУ 38.105.1061-76)</t>
  </si>
  <si>
    <t>Смола эпоксидная ЭД-16</t>
  </si>
  <si>
    <t>Лак битумный для электроизоляционных работ БТ-99 (ГОСТ 8017-74)</t>
  </si>
  <si>
    <t>Эмаль ПФ-115, серая (для наружных работ, ГОСТ 6465-76)</t>
  </si>
  <si>
    <t>Эмаль ПФ-115 цветная (красная для наружных работ, ГОСТ 6465-76)</t>
  </si>
  <si>
    <t>Эмаль ПФ-115 цветная (синяя для наружных работ, ГОСТ 6465-76)</t>
  </si>
  <si>
    <t>Эмаль глифталевая, ГФ-92 ХС (красно-коричневая; глянцевая; ГОСТ 9151-75)</t>
  </si>
  <si>
    <t>Ацетон технический, сорт I</t>
  </si>
  <si>
    <t>Ацетон технический, сорт высший</t>
  </si>
  <si>
    <t>Растворитель марки: № 646 (ГОСТ 18188-72)</t>
  </si>
  <si>
    <t>Нефрас С4-150/200 (заменитель уайт-спирита)</t>
  </si>
  <si>
    <t>Шпатлевка эпоксидная двухкомпонентная, ЭП-0010 (красно-коричневая, ГОСТ 10277-76)</t>
  </si>
  <si>
    <t>Гильзы кабельные медные под опрессовку ГМЛ 6-4</t>
  </si>
  <si>
    <t>Гильзы кабельные медные под опрессовку ГМЛ 10-5 (Гильза под опрессовку ГМЛ -10-5)</t>
  </si>
  <si>
    <t>Гильзы кабельные медные под опрессовку ГМЛ 16-6</t>
  </si>
  <si>
    <t>Наконечники кабельные медные луженные ТМЛ-6 (Наконечник ТМЛ 6-6-4 луженый)</t>
  </si>
  <si>
    <t>Наконечники кабельные медные луженные ТМЛ-10 (Наконечник медный луженный ТМЛ-10-6-5)</t>
  </si>
  <si>
    <t>Наконечники кабельные медные луженные ТМЛ-10 (Наконечник медный луженный ТМЛ-10-8-5)</t>
  </si>
  <si>
    <t>Наконечники кабельные медные луженные ТМЛ-150 (Наконечник медный луженный ТМЛ-150-16-19)</t>
  </si>
  <si>
    <t>Щиты с монтажной панелью: ЩМП-2, размером 500х400х220 мм, степень защиты IP54</t>
  </si>
  <si>
    <t>шт</t>
  </si>
  <si>
    <t>Коробки соединительные и ответвительные тип КОР-74 УЗ, электрических кабелей и проводов сечением до 4 мм2, прокладываемых в неметаллических трубах, четырехрожковое исполнение, размер 140х140х50 мм</t>
  </si>
  <si>
    <t>10 шт</t>
  </si>
  <si>
    <t>Коробка ответвительная КОР-94-3У2 IP43, размер 80х80х43 мм (Коробка распаячная КОР-94-3)</t>
  </si>
  <si>
    <t>Кабель силовой с медными жилами ВВГнг(A)-LS 3х1,5ок-1000 (Кабель силовой с медными жилами с изоляцией и оболочкой из ПВХ, не распространяющий горение, с низким дымо- и газовыделением, напряжением 1,0 кВ (ГОСТ Р 53769-2010), марки ВВГнг(A)-LS 3х1,5ок)</t>
  </si>
  <si>
    <t>Кабель силовой с медными жилами ВВГнг(A)-LS 3х2,5ок-1000. (прим.-Кабель силовой с медными жилами с изоляцией и оболочкой из ПВХ, не распространяющий горение, с низким дымо- и газовыделением, напряжением 1,0 кВ (ГОСТ Р 53769-2010), марки ВВГнг(A)-LS 3х2,5oк)</t>
  </si>
  <si>
    <t>Кабель силовой с медными жилами ВВГнг(A)-LS 3х2,5ок(N, PE)-1000 (Кабель силовой с медными жилами с изоляцией и оболочкой из ПВХ, не распространяющий горение, с низким дымо- и газовыделением, напряжением 1,0 кВ (ГОСТ Р 53769-2010), марки ВВГнг(A)-LS 3х2,5oк(N,PE)</t>
  </si>
  <si>
    <t>Кабель силовой с медными жилами ВВГнг(A)-LS 4х1,5ок(N)-1000. (прим.-Кабель силовой с медными жилами с изоляцией и оболочкой из ПВХ, не распространяющий горение, с низким дымо- и газовыделением, напряжением 1,0 кВ (ГОСТ Р 53769-2010), марки ВВГнг(A)-LS 4х1,5ок(N)</t>
  </si>
  <si>
    <t>Кабель силовой с медными жилами ВВГнг(A)-LS 4х2,5ок(N)-1000. (прим.-Кабель силовой с медными жилами с изоляцией и оболочкой из ПВХ, не распространяющий горение, с низким дымо- и газовыделением, напряжением 1,0 кВ (ГОСТ Р 53769-2010), марки ВВГнг(A)-LS 4х2,5ок(N)</t>
  </si>
  <si>
    <t>Кабель силовой с медными жилами ВВГнг(A)-LS 4х4ок(N)-1000</t>
  </si>
  <si>
    <t>Кабель силовой с медными жилами ВВГнг(A)-LS 5х1,5ок(N, PE)-1000</t>
  </si>
  <si>
    <t>Кабель силовой с медными жилами ВВГнг(A)-LS 5х2,5ок(N, PE)-1000</t>
  </si>
  <si>
    <t>Провод силовой гибкий с медными жилами РКГМ 10-660  (Провода силовые гибкие с изоляцией из кремнийорганической резины в оплетке из стеклянных нитей, пропитанной эмалью или термостойким лаком, марки: РКГМ, сечением 10 мм2)</t>
  </si>
  <si>
    <t>Трубы стальные сварные неоцинкованные водогазопроводные с резьбой, обыкновенные, номинальный диаметр 32 мм, толщина стенки 3,2 мм (Труба 42,3х3,2 стальная водогазопроводная ГОСТ 3262-75)</t>
  </si>
  <si>
    <t>Трубка термоусадочная цветная полиэтиленовая, коэффициент усадки 2:1, ТУТ 12/6</t>
  </si>
  <si>
    <t>Трубка термоусадочная цветная полиэтиленовая, коэффициент усадки 2:1, ТУТ 16/8</t>
  </si>
  <si>
    <t>Посты управления кнопочные для установки на ровной поверхности, степень защиты IP54 и IP00/IP54, пластмассовые, 2 управляющих элемента, У3  (Посты управления кнопочные ПКЕ212-2 У3)</t>
  </si>
  <si>
    <t>Код NSI</t>
  </si>
  <si>
    <t xml:space="preserve">Требуемое количество  </t>
  </si>
  <si>
    <t>DIN-рейка 1000мм оцинкованная</t>
  </si>
  <si>
    <t>NSI-3300359612</t>
  </si>
  <si>
    <t>DIN-рейка 200мм оцинкованная</t>
  </si>
  <si>
    <t>NSI-3300124154</t>
  </si>
  <si>
    <t>DIN-рейка перфорированная EKF tdr-1.0 PROxima 1000х35х15мм оцинкованная</t>
  </si>
  <si>
    <t>NSI-3300267592</t>
  </si>
  <si>
    <t>DIN-рейка перфорированная Omega ТН 35-7.5 2000х35х7.5мм оцинкованная продольный паз</t>
  </si>
  <si>
    <t>NSI-3300185667</t>
  </si>
  <si>
    <t>Азот газообразный технический 40л ГОСТ 9293</t>
  </si>
  <si>
    <t>NSI-3300213478</t>
  </si>
  <si>
    <t>Азот газообразный технический 99.7% 40л 6.3м3</t>
  </si>
  <si>
    <t>NSI-3300213010</t>
  </si>
  <si>
    <t>Анкер клиновой усиленный 10х95мм стальной оцинкованный DKC CM481095HDZ</t>
  </si>
  <si>
    <t>NSI-3300331950</t>
  </si>
  <si>
    <t>Анкер М8х60мм стальной оцинкованный DKC CM430850</t>
  </si>
  <si>
    <t>NSI-3300265070</t>
  </si>
  <si>
    <t>Анкер усиленный с болтом М6х55мм DKC CM460645</t>
  </si>
  <si>
    <t>NSI-3300270976</t>
  </si>
  <si>
    <t>Бирка кабельная КВТ У-134 66781 квадратная 55х55мм белый 100шт</t>
  </si>
  <si>
    <t>NSI-3300027121</t>
  </si>
  <si>
    <t>Бирка кабельная маркировочная Rexant У-134 07-6234 квадратная 55х55мм белая</t>
  </si>
  <si>
    <t>NSI-3300077783</t>
  </si>
  <si>
    <t>Болт CM081035HDZ DKC М10х35мм 5.6 стальной оцинкованный шестигранная головка</t>
  </si>
  <si>
    <t>NSI-3300331957</t>
  </si>
  <si>
    <t>Болт CM081060HDZ DKC М10х60мм 5.6 стальной оцинкованный</t>
  </si>
  <si>
    <t>NSI-3300331968</t>
  </si>
  <si>
    <t>Болт Tech-Krep 136929 М12х120 полная резьба 8.8 оцинкованный шестигранная головка (гайка-2шт, шайба-2шт) DIN 933 2шт</t>
  </si>
  <si>
    <t>NSI-3300284990</t>
  </si>
  <si>
    <t>Болт анкерный М8х100мм</t>
  </si>
  <si>
    <t>NSI-3300309055</t>
  </si>
  <si>
    <t>Болт М10х60мм 5.8 оцинкованный шестигранная головка DIN 931</t>
  </si>
  <si>
    <t>NSI-3300267605</t>
  </si>
  <si>
    <t>Болт М12х16х1.75мм Ст3</t>
  </si>
  <si>
    <t>NSI-3300267633</t>
  </si>
  <si>
    <t>Болт М12х30мм 8.8 оцинкованный шестигранная головка с полной резьбой DIN 933</t>
  </si>
  <si>
    <t>NSI-3300374702</t>
  </si>
  <si>
    <t>Болт М12х50мм стальной оцинкованный шестигранная головка DIN 933</t>
  </si>
  <si>
    <t>NSI-3300303272</t>
  </si>
  <si>
    <t>Болт М12х70мм 5.8 оцинкованный шестигранная головка DIN 931</t>
  </si>
  <si>
    <t>NSI-3300267608</t>
  </si>
  <si>
    <t>Болт М12х80мм шестигранная головка DIN 933</t>
  </si>
  <si>
    <t>NSI-3300208646</t>
  </si>
  <si>
    <t>Болт М12х90мм 5.8 шестигранная головка оцинкованный ГОСТ 7798</t>
  </si>
  <si>
    <t>NSI-3300195107</t>
  </si>
  <si>
    <t>Болт М14х25мм Ст3 шестигранная головка (S22)</t>
  </si>
  <si>
    <t>NSI-3300267637</t>
  </si>
  <si>
    <t>Болт М16х60мм 5.8 оцинкованный шестигранная головка с неполной резьбой DIN 931</t>
  </si>
  <si>
    <t>NSI-3300265961</t>
  </si>
  <si>
    <t>Болт М16х80мм 5.8 оцинкованный шестигранная головка с неполной резьбой DIN 931</t>
  </si>
  <si>
    <t>NSI-3300265957</t>
  </si>
  <si>
    <t>Болт М20х35х10мм Ст3 шестигранная головка</t>
  </si>
  <si>
    <t>NSI-3300267641</t>
  </si>
  <si>
    <t>Болт М6х25мм оцинкованный шестигранная головка DIN 933</t>
  </si>
  <si>
    <t>NSI-3300038575</t>
  </si>
  <si>
    <t>Болт М6х30мм 5.8 оцинкованный шестигранная головка DIN 931</t>
  </si>
  <si>
    <t>NSI-3300267612</t>
  </si>
  <si>
    <t>Болт М8х60мм 5.8 оцинкованный шестигранная головка DIN 931</t>
  </si>
  <si>
    <t>NSI-3300267564</t>
  </si>
  <si>
    <t>Вилка штепсельная 16А 220-250В 1 розетка черная В16-005М с заземлением</t>
  </si>
  <si>
    <t>NSI-3300116559</t>
  </si>
  <si>
    <t>Винт-барашек полнорезьбовой стальной Zametal ZA102071 М8х20х1.25мм оцинкованный (100шт) DIN 316</t>
  </si>
  <si>
    <t>NSI-3300379295</t>
  </si>
  <si>
    <t>100 ШТ</t>
  </si>
  <si>
    <t>Винт с крестообразным шлицем DKC CM010610HDZ М6х10мм оцинкованный</t>
  </si>
  <si>
    <t>NSI-3300266755</t>
  </si>
  <si>
    <t>Винт с потайной головкой М18х40мм DIN 7991</t>
  </si>
  <si>
    <t>NSI-3300266749</t>
  </si>
  <si>
    <t>Винт с цилиндрической головкой и внутренним шестигранником М16х35мм 6.8 DIN 912</t>
  </si>
  <si>
    <t>NSI-3300265894</t>
  </si>
  <si>
    <t>Винт с шестигранной головкой стальной DKC CM030508HDZ 5.0х8мм 5.6 оцинкованный с полной резьбой</t>
  </si>
  <si>
    <t>NSI-3300288639</t>
  </si>
  <si>
    <t>Войлок технический тонкошерстный ТЭ 3мм</t>
  </si>
  <si>
    <t>NSI-3300266077</t>
  </si>
  <si>
    <t>Вставка плавкая EKF ПВЦ 10х38-32А цилиндрическая</t>
  </si>
  <si>
    <t>NSI-3300235716</t>
  </si>
  <si>
    <t>Вставка плавкая TDM ППНН-35 габарит 1 SQ0713-0025 для предохранителя 250А</t>
  </si>
  <si>
    <t>NSI-3300285000</t>
  </si>
  <si>
    <t>Выключатель 1-клавишный 6А 250В IP20 открытой установки белый Schneider Electric Прима A16-051M-B</t>
  </si>
  <si>
    <t>NSI-3300266902</t>
  </si>
  <si>
    <t>Выключатель А16-051М-В одноклавишный 6А 250В белый открытой установки IP20 Прима</t>
  </si>
  <si>
    <t>Гайка с насечкой М6 стальная горячеоцинкованная DKC CM100600HDZ</t>
  </si>
  <si>
    <t>NSI-3300201967</t>
  </si>
  <si>
    <t>Гайка шестигранная М10 кл.пр.6 оцинкованная DIN 934</t>
  </si>
  <si>
    <t>NSI-3300267638</t>
  </si>
  <si>
    <t>Гайка шестигранная М12 кл.пр.6 оцинкованная DIN 934</t>
  </si>
  <si>
    <t>NSI-3300103954;
NSI-3300267640</t>
  </si>
  <si>
    <t>Гайка шестигранная М12х1.5-8.8 оцинкованная DIN 934</t>
  </si>
  <si>
    <t>NSI-3300095827</t>
  </si>
  <si>
    <t>Гайка шестигранная М16 кл.пр.6 оцинкованная DIN 934</t>
  </si>
  <si>
    <t>NSI-3300265965</t>
  </si>
  <si>
    <t>Гайка шестигранная М6 кл.пр.6 оцинкованная DIN 934</t>
  </si>
  <si>
    <t>NSI-3300267642</t>
  </si>
  <si>
    <t>Гайка шестигранная М8 кл.пр.6 оцинкованная DIN 934</t>
  </si>
  <si>
    <t>NSI-3300267570</t>
  </si>
  <si>
    <t>Гайка шестигранная с насечкой М10 стальная горячеоцинкованная DKC CM101000HDZ</t>
  </si>
  <si>
    <t>NSI-3300288645</t>
  </si>
  <si>
    <t>Герметик-прокладка маслобензостойкий силиконовый BSI60 (тюбик 60г)</t>
  </si>
  <si>
    <t>NSI-3300265500</t>
  </si>
  <si>
    <t>Герметик силиконовый для аквариумов и стекла KSK-200 Kudo туба 280мл прозрачный</t>
  </si>
  <si>
    <t>NSI-3300265865</t>
  </si>
  <si>
    <t>Гильза соединительная изолированная ГСИ 6 КВТ</t>
  </si>
  <si>
    <t>NSI-3300111332</t>
  </si>
  <si>
    <t>Грунт-эмаль алкидная по ржавчине 3в1 Престиж серая 0.9кг</t>
  </si>
  <si>
    <t>NSI-3300190741</t>
  </si>
  <si>
    <t>Грунт-эмаль антикоррозионная по металлу 3в1 Ammerheim черная RAL 9005 (ведро 10кг)</t>
  </si>
  <si>
    <t>NSI-3300269092</t>
  </si>
  <si>
    <t>Держатель двускатной крышки DKC 38500RZL цинк-ламельный</t>
  </si>
  <si>
    <t>NSI-3300332328</t>
  </si>
  <si>
    <t>Держатель с защелкой для трубы 32мм DKC 51032</t>
  </si>
  <si>
    <t>NSI-3300355084</t>
  </si>
  <si>
    <t>Дроссель Galad 1И100ДНаТ46Н-003 220В</t>
  </si>
  <si>
    <t>NSI-3300051914</t>
  </si>
  <si>
    <t>Дроссель Galad 1И150ДНаТ46Н-015 220В</t>
  </si>
  <si>
    <t>NSI-3300267456</t>
  </si>
  <si>
    <t>Дроссель Galad 1И250ДНаТ46Н-003УХЛ2 220В</t>
  </si>
  <si>
    <t>NSI-3300045677</t>
  </si>
  <si>
    <t>Дроссель для ДНАТ/ДРИ Galad 1И400ДНаТ46Н-001УХЛ2 220В 02277 400Вт 155x93x96мм</t>
  </si>
  <si>
    <t>NSI-3300086871</t>
  </si>
  <si>
    <t>Дюбель-гвоздь 6х40мм</t>
  </si>
  <si>
    <t>NSI-3300035792</t>
  </si>
  <si>
    <t>Дюбель-гвоздь 6х40мм (100шт)</t>
  </si>
  <si>
    <t>NSI-3300069959</t>
  </si>
  <si>
    <t>Дюбель распорный полипропиленовый 8х60мм</t>
  </si>
  <si>
    <t>NSI-3300352681</t>
  </si>
  <si>
    <t>Заглушка квадратная ПВХ 40х40мм для профильной трубы</t>
  </si>
  <si>
    <t>NSI-3300278861</t>
  </si>
  <si>
    <t>Заглушка фланцевая DN110мм PN16 стальная</t>
  </si>
  <si>
    <t>NSI-3300372203</t>
  </si>
  <si>
    <t>Зажим наборный IEK ЗНИ-70мм2 (JXB250А) YZN10-070-K03 600В серый</t>
  </si>
  <si>
    <t>NSI-3300266923</t>
  </si>
  <si>
    <t>Зажим соединительный переходной ПАС-700-2Т</t>
  </si>
  <si>
    <t>NSI-3300267932</t>
  </si>
  <si>
    <t>Зажим соединительный плашечный ПАМ-5-1</t>
  </si>
  <si>
    <t>NSI-3300270009</t>
  </si>
  <si>
    <t>Зажим соединительный плашечный ПАМ-6-1</t>
  </si>
  <si>
    <t>NSI-3300249991</t>
  </si>
  <si>
    <t>Заклепка вытяжная Креп-комп 3.2х10мм алюминиево/стальная (100шт).  Примечание: Необходимое количество 35 упаковок.</t>
  </si>
  <si>
    <t>NSI-3300054383</t>
  </si>
  <si>
    <t>Замок ABB для щитка Unibox 12530 (ключ)</t>
  </si>
  <si>
    <t>NSI-3300372774</t>
  </si>
  <si>
    <t>Замок врезной ABB для щитка Unibox 12866 (ключ)</t>
  </si>
  <si>
    <t>NSI-3300372790</t>
  </si>
  <si>
    <t>Замок-защелка с трехгранным ключом IP54(22-25/44) YZK21-00</t>
  </si>
  <si>
    <t>NSI-3300039391</t>
  </si>
  <si>
    <t>Изолятор керамический Андреапольский фарфоровый завод 2830</t>
  </si>
  <si>
    <t>NSI-3300268021</t>
  </si>
  <si>
    <t>Изолятор опорный керамический К-263.00.05</t>
  </si>
  <si>
    <t>NSI-3300268180</t>
  </si>
  <si>
    <t>Изолятор опорный керамический К-263.00.06</t>
  </si>
  <si>
    <t>NSI-3300268186</t>
  </si>
  <si>
    <t>Изолятор опорный низковольтный троллейный фарфоровый И-1.8 У2</t>
  </si>
  <si>
    <t>NSI-3300267987</t>
  </si>
  <si>
    <t>Изолятор опорный ШПО-60-20-Т140-425 УХЛ1</t>
  </si>
  <si>
    <t>NSI-3300266503</t>
  </si>
  <si>
    <t>Изолятор подвесной ПС70Е212W стеклянный</t>
  </si>
  <si>
    <t>NSI-3300114976</t>
  </si>
  <si>
    <t>Изолятор подвесной стеклянный ПС-160Д 112V</t>
  </si>
  <si>
    <t>NSI-3300265174</t>
  </si>
  <si>
    <t>NSI-3300265170</t>
  </si>
  <si>
    <t>Кабель-канал DKC TA-GN IN-Liner ПВХ 60х40мм</t>
  </si>
  <si>
    <t>NSI-3300298878</t>
  </si>
  <si>
    <t>Кабель-канал IEK Ecoline CKK11-025-025-1-K01 ПВХ 25х25х2000мм</t>
  </si>
  <si>
    <t>NSI-3300195238</t>
  </si>
  <si>
    <t>Кабель силовой КГтп-ХЛ 3х2.5-0.66кВ</t>
  </si>
  <si>
    <t>NSI-3300022724</t>
  </si>
  <si>
    <t>КМ</t>
  </si>
  <si>
    <t>Кабель силовой с изоляцией из ПВХ ВВГнг(A)-LS 2x1.5-0.66кВ</t>
  </si>
  <si>
    <t>NSI-3300086042</t>
  </si>
  <si>
    <t>Кабель силовой с изоляцией из ПВХ ВВГнг(A)-LS 5х16-1кВ</t>
  </si>
  <si>
    <t>NSI-3300234252</t>
  </si>
  <si>
    <t>Кабель силовой с изоляцией из термопластичного эластомера КГтп-ХЛ 5х6-0.66кВ ГОСТ 24334</t>
  </si>
  <si>
    <t>NSI-3300266886</t>
  </si>
  <si>
    <t>Кабель силовой с резиновой изоляцией КГ-ХЛ 5х10-0.66кВ</t>
  </si>
  <si>
    <t>NSI-3300357014</t>
  </si>
  <si>
    <t>Кабель силовой с резиновой изоляцией КГ-ХЛ 5х4(N)-220/380В</t>
  </si>
  <si>
    <t>NSI-3300242659</t>
  </si>
  <si>
    <t>Карабин стальной оцинкованный 8 мм DIN 5299</t>
  </si>
  <si>
    <t>NSI-3300172431</t>
  </si>
  <si>
    <t>Картон асбестовый КАОН-1 3.5мм ГОСТ 2850-95</t>
  </si>
  <si>
    <t>NSI-3300266910</t>
  </si>
  <si>
    <t>Картон электроизоляционный РЭМ 0.5мм</t>
  </si>
  <si>
    <t>NSI-3300267488</t>
  </si>
  <si>
    <t>Клапан обратный поворотный 19ч21р DN150 PN1.6МПа чугунный межфланцевый</t>
  </si>
  <si>
    <t>NSI-3300365131</t>
  </si>
  <si>
    <t>Клемма вводная IEK YKVM-4-25-FL 4-25мм2 для модульного оборудования КВМ</t>
  </si>
  <si>
    <t>NSI-3300267961</t>
  </si>
  <si>
    <t>Клемма силовая вводная IEK КВС YZN12-050-K03 6-50мм2 серая</t>
  </si>
  <si>
    <t>NSI-3300267979</t>
  </si>
  <si>
    <t>Клемма соединительная Wago 222-413 32А 3-проводная 0.08-4мм2</t>
  </si>
  <si>
    <t>NSI-3300046116</t>
  </si>
  <si>
    <t>Клемма соединительная Wago 222-413 400В 32А 0.08-2.5/4мм² 3 контактная</t>
  </si>
  <si>
    <t>Коробка ответвительная DKC 54300 пластик 312х239х132мм IP55 10шт</t>
  </si>
  <si>
    <t>NSI-3300026608</t>
  </si>
  <si>
    <t>Коробка распаечная IEK КМ41237 UKO11-075-040-000-K41-44 пластик 4вв 75х75х40мм IP44</t>
  </si>
  <si>
    <t>NSI-3300026561</t>
  </si>
  <si>
    <t>Корпус Tekfor КМПн-12 TF5-KP72-N-12-65-K03-K02 IEK с дверцей IP65 пластиковый навесной</t>
  </si>
  <si>
    <t>NSI-3300363498</t>
  </si>
  <si>
    <t>Корпус распределительный ЩРН-24 30251DEK Dekraft 24 модуля IP54 металлический 400х300х120мм</t>
  </si>
  <si>
    <t>NSI-3300247387</t>
  </si>
  <si>
    <t>Кран шаровый КШЦ.Ф.025.016.00 DN25 PN1.6МПа стальной фланцевый</t>
  </si>
  <si>
    <t>NSI-3300250373</t>
  </si>
  <si>
    <t>Кран шаровый цельносварной КШ.Ц.Ф.080.16.00 фланцевый</t>
  </si>
  <si>
    <t>NSI-3300250358</t>
  </si>
  <si>
    <t>Круг отрезной по металлу 125х1.0х22мм Луга-Абразив</t>
  </si>
  <si>
    <t>NSI-3300337873</t>
  </si>
  <si>
    <t>Крышка на лоток с заземлением DKC стальная 3000х400х0.6мм 35526</t>
  </si>
  <si>
    <t>NSI-3300278709</t>
  </si>
  <si>
    <t>Лампа Feron LB-65 25820 50Вт E27/E40 цилиндрическая 230В светодиодная 4600лм 4000К 100х163мм</t>
  </si>
  <si>
    <t>NSI-3300021737</t>
  </si>
  <si>
    <t>Лампа IEK HP LLE-HP-30-230-65-E27 30Вт E27 цилиндрическая 230В светодиодная 2700лм 6500К 112х196мм</t>
  </si>
  <si>
    <t>NSI-3300021729</t>
  </si>
  <si>
    <t>Лампа люминесцентная линейная Osram L36W/840 36Вт G13 белого света</t>
  </si>
  <si>
    <t>NSI-3300123352</t>
  </si>
  <si>
    <t>Лампа люминисцентная Osram L58W/640 58Вт G13 трубчатая 220В 4600лм</t>
  </si>
  <si>
    <t>NSI-3300046221</t>
  </si>
  <si>
    <t>Лампа натриевая Osram NAV-T 100Вт E40 220В</t>
  </si>
  <si>
    <t>NSI-3300119940</t>
  </si>
  <si>
    <t>Лампа натриевая Osram ДНаТ 150Вт E40 трубчатая 220В </t>
  </si>
  <si>
    <t>NSI-3300136073</t>
  </si>
  <si>
    <t>Лампа натриевая Osram ДНаТ 250Вт E40 трубчатая 220В 28000лм</t>
  </si>
  <si>
    <t>NSI-3300043535</t>
  </si>
  <si>
    <t>Лампа натриевая Osram ДНаТ NAV-T 400Вт E40 220В</t>
  </si>
  <si>
    <t>NSI-3300050360</t>
  </si>
  <si>
    <t>Лампа светодиодная Gauss Elementary 20Вт E27 A60 180-240В 1600лм 4100К</t>
  </si>
  <si>
    <t>NSI-3300267222</t>
  </si>
  <si>
    <t>Лента Fortisflex ЛКС (201)-2007 металлическая 50м</t>
  </si>
  <si>
    <t>NSI-3300082764</t>
  </si>
  <si>
    <t>Лента бандажная IEK ЛМ-50 UZA-L50 сталь нержавеющая 20мм 0.7мм 50м</t>
  </si>
  <si>
    <t>NSI-3300210073</t>
  </si>
  <si>
    <t>Лента изоляционная ПВХ IEK UIZ-20-10-K02 19x0.18мм 20м черная</t>
  </si>
  <si>
    <t>NSI-3300046570</t>
  </si>
  <si>
    <t>Лента изоляционная самослипающаяся ЛЭТСАР КФ-0.5 ТУ 38.103.171-80</t>
  </si>
  <si>
    <t>NSI-3300132223</t>
  </si>
  <si>
    <t>Лента сигнальная для маркировки и разметки пола 33м 50мм ПВХ желтый/черный GM-2535</t>
  </si>
  <si>
    <t>NSI-3300308421</t>
  </si>
  <si>
    <t>Лента слюдинитовая стеклотканевая ЛСУ 2х0.13мм</t>
  </si>
  <si>
    <t>NSI-3300266545</t>
  </si>
  <si>
    <t>Лента электроизоляционная ПВХ Профессиональная Aviora 305-030 19мм 20м черная</t>
  </si>
  <si>
    <t>NSI-3300248605</t>
  </si>
  <si>
    <t>Лента электроизоляционная стеклотканевая ЛЭС-0.2х25 ГОСТ 5937-81</t>
  </si>
  <si>
    <t>NSI-3300022623</t>
  </si>
  <si>
    <t>Лист шлифовальный бумажный водостойкий 230х280мм PS8A карбид кремния P2500</t>
  </si>
  <si>
    <t>NSI-3300267237</t>
  </si>
  <si>
    <t>Лоток кабельный перфорированный DKC 3534515HDZ стальной горячеоцинкованный 400х100х3000х1.5мм</t>
  </si>
  <si>
    <t>NSI-3300331991</t>
  </si>
  <si>
    <t>Мастика герметизирующая МГКП для одиночных трубчатых кабельных проходок (ведро 15кг)</t>
  </si>
  <si>
    <t>NSI-3300067618</t>
  </si>
  <si>
    <t>Металлорукав ЗЭТАРУС МРПИнг zeta44405 20мм черный в ПВХ изоляции с протяжкой</t>
  </si>
  <si>
    <t>NSI-3300122212</t>
  </si>
  <si>
    <t>Металлорукав ЗЭТАРУС МРПИнг zeta44408 32мм черный</t>
  </si>
  <si>
    <t>NSI-3300330238</t>
  </si>
  <si>
    <t>Металлорукав Промрукав МРПИ-нг25 25мм</t>
  </si>
  <si>
    <t>NSI-3300063257</t>
  </si>
  <si>
    <t>Муфта кабельная вводная МВПнг-20 20мм</t>
  </si>
  <si>
    <t>NSI-3300026446</t>
  </si>
  <si>
    <t>Муфта кабельная вводная МВПнг-32 32мм</t>
  </si>
  <si>
    <t>NSI-3300026419</t>
  </si>
  <si>
    <t>Муфта кабельная КВТ ПСТк (4-14)/(1.5-2.5)</t>
  </si>
  <si>
    <t>NSI-3300055483</t>
  </si>
  <si>
    <t>Набивка сальниковая Графлекс Н1100 10х10мм</t>
  </si>
  <si>
    <t>NSI-3300146909</t>
  </si>
  <si>
    <t>Наконечник кабельный луженый ТМЛ 150-16-19 Texenergo CLCT150-16-19LR медный</t>
  </si>
  <si>
    <t>NSI-3300163444</t>
  </si>
  <si>
    <t>Наконечник штыревой втулочный изолированный НШВИ 2.5-8 2.5мм2 8мм медь/полипропилен</t>
  </si>
  <si>
    <t>NSI-3300026760</t>
  </si>
  <si>
    <t>Ограничитель на DIN-рейку для клеммовых зажимов для УХВ IEK YXD10 металл 35мм</t>
  </si>
  <si>
    <t>NSI-3300048562</t>
  </si>
  <si>
    <t>Отвердитель амино-фенольный АФ-2</t>
  </si>
  <si>
    <t>NSI-3300385068</t>
  </si>
  <si>
    <t>Отвердитель Этал-45М</t>
  </si>
  <si>
    <t>NSI-3300266894</t>
  </si>
  <si>
    <t>Патрон Feron LH01 керамический E27</t>
  </si>
  <si>
    <t>NSI-3300166526</t>
  </si>
  <si>
    <t>Патрон подвесной Е-40 250В керамический 16А</t>
  </si>
  <si>
    <t>NSI-3300118831</t>
  </si>
  <si>
    <t>Пена монтажная огнеупорная противопожарная Penosil Fire Rated Gunfoam B1 (баллон 750мл)</t>
  </si>
  <si>
    <t>NSI-3300266867</t>
  </si>
  <si>
    <t>Пластина резиновая трансформаторная УМ 4х1000х5000мм ГОСТ 12855</t>
  </si>
  <si>
    <t>NSI-3300266594</t>
  </si>
  <si>
    <t>Пластина резиновая трансформаторная УМ 6х1000х5000мм ГОСТ 12855</t>
  </si>
  <si>
    <t>NSI-3300266888</t>
  </si>
  <si>
    <t>Пластина резиновая трансформаторная УМ 8х1000х5000мм ГОСТ 12855</t>
  </si>
  <si>
    <t>NSI-3300375698</t>
  </si>
  <si>
    <t>Пластина резиновая трансформаторная УМ 10х250х5000мм ГОСТ 12855</t>
  </si>
  <si>
    <t>NSI-3300267901</t>
  </si>
  <si>
    <t>Пленка полиэтиленовая 0.1мм 1.5м черная</t>
  </si>
  <si>
    <t>NSI-3300265543</t>
  </si>
  <si>
    <t>Плитка тротуарная 500х500х50мм серая гладкая армированная</t>
  </si>
  <si>
    <t>NSI-3300270731</t>
  </si>
  <si>
    <t>Подвес вертикальный двойной горячеоцинкованный DKC BSD4110HDZ 41х41х1000мм</t>
  </si>
  <si>
    <t>NSI-3300331970</t>
  </si>
  <si>
    <t>Подшипник роликовый радиальный однорядный цилиндрический NU317 85х180х41мм BS Bearing</t>
  </si>
  <si>
    <t>NSI-3300374416</t>
  </si>
  <si>
    <t>Подшипник шариковый радиальный однорядный 6206 2RS 30х62х16мм BS Bearing</t>
  </si>
  <si>
    <t>NSI-3300373865</t>
  </si>
  <si>
    <t>Подшипник шариковый радиальный однорядный 6317 2RS 85х180х41мм BS Bearing</t>
  </si>
  <si>
    <t>NSI-3300373886</t>
  </si>
  <si>
    <t>Подшипник шариковый радиальный однорядный закрытый 6205 2RS 25х52х15мм BS Bearing</t>
  </si>
  <si>
    <t>NSI-3300373875</t>
  </si>
  <si>
    <t>Полоса монтажная перфорированная DKC BMA1321HDZ оцинкованная 30мм 1.5мм (2м)</t>
  </si>
  <si>
    <t>NSI-3300266884</t>
  </si>
  <si>
    <t>Полотно нетканое нитепрошивное неткол 160см 160г/м2</t>
  </si>
  <si>
    <t>NSI-3300265483</t>
  </si>
  <si>
    <t>NSI-3300266776</t>
  </si>
  <si>
    <t>Предохранитель высоковольтный ПКТ 102-10-40-12.5 У3</t>
  </si>
  <si>
    <t>NSI-3300196516</t>
  </si>
  <si>
    <t>Предохранитель высоковольтный ПКТ 103-10-80-20 У3</t>
  </si>
  <si>
    <t>NSI-3300196646</t>
  </si>
  <si>
    <t>Предохранитель низковольтный КЭАЗ ПН2-400-400А 110892 380В 400А У3</t>
  </si>
  <si>
    <t>NSI-3300023775</t>
  </si>
  <si>
    <t>Предохранитель низковольтный ООО КЭАЗ ПН2-100-100А 110863 380В 100А для защиты электрооборудования У3 ТУ 3424-050-05758109-2009</t>
  </si>
  <si>
    <t>NSI-3300023779</t>
  </si>
  <si>
    <t>Предохранитель низковольтный ПН2-250-250А 380В 250А</t>
  </si>
  <si>
    <t>NSI-3300138569</t>
  </si>
  <si>
    <t>Припой оловянно-свинцовый ПОС-60 пруток 8мм ГОСТ 21931</t>
  </si>
  <si>
    <t>NSI-3300266495</t>
  </si>
  <si>
    <t>Провод монтажный МГШВЭ 2х0.75</t>
  </si>
  <si>
    <t>NSI-3300234704</t>
  </si>
  <si>
    <t>Провод силовой установочный с медными жилами ПуГВ 1х6-450 (ФСБЦ-21.2.03.05-1078)</t>
  </si>
  <si>
    <t>NSI-3300150260</t>
  </si>
  <si>
    <t>Провод термостойкий РКГМ 1х10 1кВ</t>
  </si>
  <si>
    <t>NSI-3300266001</t>
  </si>
  <si>
    <t>Провод установочный ПуГВ 1x6 желто-зеленый ГОСТ 31947</t>
  </si>
  <si>
    <t>NSI-3300242463</t>
  </si>
  <si>
    <t>Прожектор Galad ЖО-04-400-001 400Вт 220В 48000лм E40 IP65 (встроенный ПРА)</t>
  </si>
  <si>
    <t>NSI-3300124726</t>
  </si>
  <si>
    <t>Профиль Z-образный 2000х30х30мм 2мм стальной оцинкованный</t>
  </si>
  <si>
    <t>NSI-3300255660</t>
  </si>
  <si>
    <t>Профиль С-образный 1000х41х41мм 2.5мм стальной BPM4110HDZ DKC</t>
  </si>
  <si>
    <t>NSI-3300331946</t>
  </si>
  <si>
    <t>Профиль С-образный DKC BPM4105HDZ горячеоцинкованный 41х41х2.5х500мм</t>
  </si>
  <si>
    <t>NSI-3300331964</t>
  </si>
  <si>
    <t>Розетка двойная с заземлением 2х2К+3 16А белая Schneider Electric Этюд РС16-007b</t>
  </si>
  <si>
    <t>NSI-3300072263</t>
  </si>
  <si>
    <t>Розетка с заземлением 16А 250В 1-местная IP20 открытой установки молочная Systeme Electric Blanca BLNRA010112</t>
  </si>
  <si>
    <t>NSI-3300261834</t>
  </si>
  <si>
    <t>Розетка с заземлением 16А 250В 1 розетка IP20 белая PAp10-3-ОП IEK на DIN-рейку</t>
  </si>
  <si>
    <t>NSI-3300222565</t>
  </si>
  <si>
    <t>Розетка с заземлением 16А 250В 2-местная IP20 открытой установки белая Systeme Electric Blanca BLNRA010211</t>
  </si>
  <si>
    <t>NSI-3300195736</t>
  </si>
  <si>
    <t>Розетка с заземлением без шторок с изолирующей пластиной двухместная 16А 250В белая открытой установки IP20 Systeme Electric Blanca BLNRA010211</t>
  </si>
  <si>
    <t>Розетка с заземлением 16А 250В 3-местная открытой установки молочная Systeme Electric Blanca BLNRA010312</t>
  </si>
  <si>
    <t>NSI-3300185100</t>
  </si>
  <si>
    <t>Розетка с заземлением 1шт 16А 250В белая скрытая IP20 Systeme Electric Этюд PC16-003B</t>
  </si>
  <si>
    <t>NSI-3300178281</t>
  </si>
  <si>
    <t>Розетка силовая двойная 16А 220-240В 2Р+РЕ IP44 106-0400-0110/110 Lezard открытой установки</t>
  </si>
  <si>
    <t>NSI-3300267517</t>
  </si>
  <si>
    <t>Рым-гайка стальная M8</t>
  </si>
  <si>
    <t>NSI-3300202335</t>
  </si>
  <si>
    <t>Светильник Feron НБУ 01-60-200 230В E27</t>
  </si>
  <si>
    <t>NSI-3300267627</t>
  </si>
  <si>
    <t>Светильник Galad РТУ-06-125-004 125Вт 230В 6300лм E27 IP54 ДРЛ уличный</t>
  </si>
  <si>
    <t>NSI-3300268121</t>
  </si>
  <si>
    <t>Светильник IEK НПП1201 LNPP0-1201-1-100-K01 100Вт 220В E27 IP54 (плафон белый овал)</t>
  </si>
  <si>
    <t>NSI-3300268125</t>
  </si>
  <si>
    <t>Светильник консольный уличный Galad ЖКУ 16-250-001: ШО 00110 250Вт 220В 30000лм 690х335х310мм IP54 ДНАТ (со стеклом)</t>
  </si>
  <si>
    <t>NSI-3300267496</t>
  </si>
  <si>
    <t>Светильник консольный уличный Galad ЖКУ 16-400-001 00114 400Вт 220В 48000лм E40 IP54</t>
  </si>
  <si>
    <t>NSI-3300267471</t>
  </si>
  <si>
    <t>Светильник люминесцентный ВСС ЛСПО 01-2х58 (ЭПРА с бипараболическим отражателем)</t>
  </si>
  <si>
    <t>NSI-3300267487</t>
  </si>
  <si>
    <t>Светильник светодиодный встраиваемый Philips RC091V LED36S/840 PSU W60L60 4000К 36Вт 220-240В 3600лм 595х595х9мм IP20</t>
  </si>
  <si>
    <t>NSI-3300266553</t>
  </si>
  <si>
    <t>Светильник светодиодный консольный Фокус УСС 180 Магистраль Ш1-2 AC170-264/DC200-370 IP67</t>
  </si>
  <si>
    <t>NSI-3300267549</t>
  </si>
  <si>
    <t>Светильник светодиодный консольный Фокус УСС-18 НВ 4000К 21Вт AC10-38/DC12-55В матовое стекло IP67</t>
  </si>
  <si>
    <t>NSI-3300266068</t>
  </si>
  <si>
    <t>Светильник светодиодный консольный Фокус УСС-48 Д</t>
  </si>
  <si>
    <t>NSI-3300267610</t>
  </si>
  <si>
    <t>Светильник светодиодный консольный Фокус УСС-48 Д Э120480399 4000К 50Вт 220В 7000лм 468х214х98мм алюминиевый IP67 LED наружного освещения</t>
  </si>
  <si>
    <t>NSI-3300292127</t>
  </si>
  <si>
    <t>Светильник светодиодный консольный Фокус УСС 65 Магистраль Ш1-2 65Вт AC170-264/DC200-370 8100лм IP67</t>
  </si>
  <si>
    <t>NSI-3300267552</t>
  </si>
  <si>
    <t>Светильник светодиодный Леда-27-П 4000-6000К 27Вт 4500лм 600х180х40мм IP54</t>
  </si>
  <si>
    <t>NSI-3300380089</t>
  </si>
  <si>
    <t>Светильник светодиодный накладной Световые технологии STAR LED 1418000020 4000К 17Вт 230В 1700лм IP65</t>
  </si>
  <si>
    <t>NSI-3300380831</t>
  </si>
  <si>
    <t>Светильник светодиодный накладной Эра SPB-103-2-40K-012 4000К 12Вт 75-260В 1150лм 350х75х50мм пластиковый IP65 (с оптико-акустическим датчиком) для ЖКХ</t>
  </si>
  <si>
    <t>NSI-3300380800</t>
  </si>
  <si>
    <t>Светильник светодиодный настенный IEK ДПА 2101 LDPA0-2101-30-K01 4000К 1.5Вт 3.6В 180лм 260х100х47мм 30шт пластиковый IP20 аккумулятор аварийный</t>
  </si>
  <si>
    <t>NSI-3300335341</t>
  </si>
  <si>
    <t>Светильник светодиодный настенный/потолочный Фокус СПО-18 4000К 22Вт 170…264В 2900лм 180х140х69мм матовое стекло IP40</t>
  </si>
  <si>
    <t>NSI-3300058065</t>
  </si>
  <si>
    <t>Светильник светодиодный потолочный Леда Леда-1200-55 IP54 3000…5500К 55Вт 120…250В 5000лм 1200х200х50мм сталь IP54 LED для промышленного освещения</t>
  </si>
  <si>
    <t>NSI-3300021364</t>
  </si>
  <si>
    <t>Светильник светодиодный уличный УСС-18 Д USS00-018D0DDF03F06002 4000К 22Вт 264В алюминиевый IP67 (скоба) для промышленного освещения</t>
  </si>
  <si>
    <t>NSI-3300127821</t>
  </si>
  <si>
    <t>Светильник светодиодный уличный Фокус УСС-36 Э120360399 4000К 38Вт 170-264В 5320лм IP67</t>
  </si>
  <si>
    <t>NSI-3300266918</t>
  </si>
  <si>
    <t xml:space="preserve">Светильник светодиодный УСС-24НВ Магистраль Ш1-2 4000К 24Вт 3000лм LED
</t>
  </si>
  <si>
    <t>NSI-3300158663</t>
  </si>
  <si>
    <t>Светильник светодиодный Фокус УСС-24Д 5000К 28Вт AC170-264/DC200-370В 2800лм матовое стекло (скоба)</t>
  </si>
  <si>
    <t>NSI-3300380121</t>
  </si>
  <si>
    <t>Серьга сцепная СР-30-24</t>
  </si>
  <si>
    <t>NSI-3300270044</t>
  </si>
  <si>
    <t>Силикагель КСКГ</t>
  </si>
  <si>
    <t>NSI-3300177686</t>
  </si>
  <si>
    <t>Силикагель КСКГ первый сорт ГОСТ 3956</t>
  </si>
  <si>
    <t>Силикагель КСКГ сорт индикаторный ГОСТ 8984-75</t>
  </si>
  <si>
    <t>NSI-3300114270</t>
  </si>
  <si>
    <t>Скоба металлическая двухлапковая 31-32мм</t>
  </si>
  <si>
    <t>NSI-3300316327</t>
  </si>
  <si>
    <t>Скоба металлическая двухлапковая СМД 19-20 19-20мм</t>
  </si>
  <si>
    <t>NSI-3300157379</t>
  </si>
  <si>
    <t>Скоба соединительная СКД-16-1А</t>
  </si>
  <si>
    <t>NSI-3300219681</t>
  </si>
  <si>
    <t>Скоба соединительная СКД-30-1</t>
  </si>
  <si>
    <t>NSI-3300270045</t>
  </si>
  <si>
    <t>Скоба соединительная СКД-7-1А</t>
  </si>
  <si>
    <t>NSI-3300270047</t>
  </si>
  <si>
    <t>Скрепа бандажная СМ(201)-20 (100шт)</t>
  </si>
  <si>
    <t>NSI-3300239772</t>
  </si>
  <si>
    <t>Смазка высокотемпературная LGHP 2/0.4 SKF</t>
  </si>
  <si>
    <t>NSI-3300265184</t>
  </si>
  <si>
    <t>Смазка контактная Суперконт (туба 100г)</t>
  </si>
  <si>
    <t>NSI-3300085440</t>
  </si>
  <si>
    <t>Смазка проникающая универсальная WD-40 аэрозоль 100мл</t>
  </si>
  <si>
    <t>NSI-3300019696</t>
  </si>
  <si>
    <t>Смывка для удаления лакокрасочных покрытий Престиж банка 0.8кг</t>
  </si>
  <si>
    <t>NSI-3300119943</t>
  </si>
  <si>
    <t>Соединитель Т-образный DKC BSF4106HDZ горячеоцинкованный 145х53х100мм</t>
  </si>
  <si>
    <t>NSI-3300331969</t>
  </si>
  <si>
    <t>Средство моющее техническое МС-15</t>
  </si>
  <si>
    <t>NSI-3300265851</t>
  </si>
  <si>
    <t>Стартер одиночного включения ЛЛ IEK LS111M 4-65Вт 220-240В LLD111-LS-65 4…65Вт пластик IP20 1шт</t>
  </si>
  <si>
    <t>NSI-3300021767</t>
  </si>
  <si>
    <t>Стяжка кабельная Fortisflex СКС (304) 74913 сталь нержавеющая 4.6х350мм (100шт)</t>
  </si>
  <si>
    <t>NSI-3300204399</t>
  </si>
  <si>
    <t>Тепловентилятор электрический ЕС-21 5100м3/ч 21кВт Греерс</t>
  </si>
  <si>
    <t>NSI-3300266900</t>
  </si>
  <si>
    <t>Термоэтикетка индикаторная самоклеющаяся Термоэлектрика 80х20мм 80-140С 7
меток</t>
  </si>
  <si>
    <t>NSI-3300312879</t>
  </si>
  <si>
    <t>Труба гофрированная ПВХ 20мм CTG20-20-K41-0501 IEK с протяжкой серая</t>
  </si>
  <si>
    <t>NSI-3300193343</t>
  </si>
  <si>
    <t>Углекислота твердая Сухой лед гранулы 3мм</t>
  </si>
  <si>
    <t>NSI-3300266530</t>
  </si>
  <si>
    <t>Угол крепежный двойной DKC BMC1021HDZ горячеоцинкованный 107.5х92.5х40х6мм</t>
  </si>
  <si>
    <t>NSI-3300331967</t>
  </si>
  <si>
    <t>Устройство импульсное зажигающее ДРИ и ДНаТ Ремар ИЗУ-1М 100/1000 двухконтактное</t>
  </si>
  <si>
    <t>NSI-3300038407</t>
  </si>
  <si>
    <t>Устройство сигнальное полупроводниковое УПС 1А-К 6Вт 220В красный E27</t>
  </si>
  <si>
    <t>NSI-3300268001</t>
  </si>
  <si>
    <t>Ушко двухлапчатое У2-16-20</t>
  </si>
  <si>
    <t>NSI-3300097874</t>
  </si>
  <si>
    <t>Ушко однолапчатое У1-16-20</t>
  </si>
  <si>
    <t>Хомут кабельный DKC 25325 полиамидный 7.8х240мм черный (100шт)</t>
  </si>
  <si>
    <t>NSI-3300040710</t>
  </si>
  <si>
    <t>Хомут-стяжка кабельный нейлоновый 3х200мм (100шт)</t>
  </si>
  <si>
    <t>NSI-3300054154</t>
  </si>
  <si>
    <t>Хомут-стяжка нейлоновый 2.5х250мм (100шт)</t>
  </si>
  <si>
    <t>NSI-3300037598</t>
  </si>
  <si>
    <t>Цепь длиннозвенная сварная оцинкованная 4 мм DIN 763</t>
  </si>
  <si>
    <t>NSI-3300123631</t>
  </si>
  <si>
    <t>Шайба кузовная М6 6.6х18х1.6мм стальная горячеоцинкованная DKC CM120600HDZ</t>
  </si>
  <si>
    <t>NSI-3300270978</t>
  </si>
  <si>
    <t>Шайба плоская М10 стальная оцинкованная DIN 125A</t>
  </si>
  <si>
    <t>NSI-3300267868</t>
  </si>
  <si>
    <t>Шайба плоская увеличенная М10 оцинкованная DIN 9021</t>
  </si>
  <si>
    <t>NSI-3300168232</t>
  </si>
  <si>
    <t>Шайба плоская М12 стальная оцинкованная DIN 125</t>
  </si>
  <si>
    <t>NSI-3300306016</t>
  </si>
  <si>
    <t>Шайба плоская М12 стальная оцинкованная DIN 125A</t>
  </si>
  <si>
    <t>NSI-3300267871</t>
  </si>
  <si>
    <t>Шайба плоская стальная М12 оцинкованная DIN 125</t>
  </si>
  <si>
    <t>NSI-3300193732</t>
  </si>
  <si>
    <t>Шайба плоская М16 стальная оцинкованная DIN 125A</t>
  </si>
  <si>
    <t>NSI-3300265968</t>
  </si>
  <si>
    <t>Шайба плоская стальная М16 оцинкованная</t>
  </si>
  <si>
    <t>NSI-3300170328</t>
  </si>
  <si>
    <t>Шайба плоская М6 стальная оцинкованная DIN 125A</t>
  </si>
  <si>
    <t>NSI-3300267874</t>
  </si>
  <si>
    <t>Шайба плоская Форма A М8 стальная оцинкованная DIN 125</t>
  </si>
  <si>
    <t>NSI-3300267575</t>
  </si>
  <si>
    <t>Шайба пружинная гроверная М10 оцинкованная DIN 127</t>
  </si>
  <si>
    <t>NSI-3300062835</t>
  </si>
  <si>
    <t>Шайба пружинная гроверная М12 стальная оцинкованная DIN 127</t>
  </si>
  <si>
    <t>NSI-3300131231</t>
  </si>
  <si>
    <t>Шайба пружинная гроверная М16 оцинкованная DIN 127</t>
  </si>
  <si>
    <t>NSI-3300265984</t>
  </si>
  <si>
    <t>Шайба пружинная гроверная М6 оцинкованная DIN 127</t>
  </si>
  <si>
    <t>NSI-3300064010</t>
  </si>
  <si>
    <t>Шайба пружинная гроверная М8 оцинкованная DIN 127</t>
  </si>
  <si>
    <t>NSI-3300062834</t>
  </si>
  <si>
    <t>Шампунь для бесконтактной мойки автомобиля REIN Premium</t>
  </si>
  <si>
    <t>NSI-3300265534</t>
  </si>
  <si>
    <t>Шина нулевая N IEK ШНИ 6х9-12-Д-С YNN10-69-12D-K07 100А 12отв. 6х9мм на DIN-изоляторе латунь синий</t>
  </si>
  <si>
    <t>NSI-3300025600</t>
  </si>
  <si>
    <t>Шина нулевая N Navigator NBB-M69-20D/B 100А 20 отверстий на DIN-изоляторе</t>
  </si>
  <si>
    <t>NSI-3300084201</t>
  </si>
  <si>
    <t>Шина электротехническая М1 100х10мм медная</t>
  </si>
  <si>
    <t>NSI-3300128572</t>
  </si>
  <si>
    <t>Шнур чулок стекловолоконный АСЭЧ(б) 3.5мм</t>
  </si>
  <si>
    <t>NSI-3300167687</t>
  </si>
  <si>
    <t>Шпилька резьбовая стальная М10х1000мм 6.8 оцинкованная DIN 975</t>
  </si>
  <si>
    <t>NSI-3300366773</t>
  </si>
  <si>
    <t>Шуруп по бетону (нагель) 7.5х72мм острый потайная головка оцинкованный ГОСТ Р 56711-2015</t>
  </si>
  <si>
    <t>NSI-3300119561</t>
  </si>
  <si>
    <t>Щетка Электроконтакт ЭГ-4 ч.ИЛГТ.685241.1283-01 20х32х50мм</t>
  </si>
  <si>
    <t>NSI-3300266516</t>
  </si>
  <si>
    <t>Щетка Электроконтакт ЭГ-4 ч.ФР2699-12 25х32х50мм электрографитовая</t>
  </si>
  <si>
    <t>NSI-3300291438</t>
  </si>
  <si>
    <t>Щит автоматического переключения ЩАП-43 63А АВР VG212087 Электроспектр</t>
  </si>
  <si>
    <t>NSI-3300036761</t>
  </si>
  <si>
    <t>Щит распределительный ЩРн-12 SQ0905-0070 TDM IP66 стальной 265х330х120мм навесной</t>
  </si>
  <si>
    <t>NSI-3300171340</t>
  </si>
  <si>
    <t>Щит распределительный ЩРн-12з-1 36 MKM14-N-12-31-Z IEK IP31 УХЛ3 стальной 265х310х120мм настенный</t>
  </si>
  <si>
    <t>NSI-3300025897</t>
  </si>
  <si>
    <t>Щит распределительный ЩРН-36 mb24-36 IP54 стальной 520х310х120мм навесной</t>
  </si>
  <si>
    <t>NSI-3300247597</t>
  </si>
  <si>
    <t>Щит ЩРН-12з-1 76 Б0028758 ЭРА 12 модулей IP31 УХЛ3 металлический 220х300х125мм навесной</t>
  </si>
  <si>
    <t>NSI-3300123780</t>
  </si>
  <si>
    <t>Электрод сварочный Goodel МР-3 рутиловый 3мм</t>
  </si>
  <si>
    <t>NSI-3300265486</t>
  </si>
  <si>
    <t>Электрод сварочный Goodel МР-3 рутиловый 4мм</t>
  </si>
  <si>
    <t>NSI-3300265491</t>
  </si>
  <si>
    <t>Эмаль алкидная универсальная Pesto 90 C Tikkivala высокоглянцевая желтая RAL 1016</t>
  </si>
  <si>
    <t>NSI-3300371366</t>
  </si>
  <si>
    <t>Эмаль алкидная универсальная Pesto 90 C Tikkivala высокоглянцевая зеленая RAL 6024</t>
  </si>
  <si>
    <t>NSI-3300371383</t>
  </si>
  <si>
    <t>Эмаль алкидная универсальная Pesto 90 C Tikkivala высокоглянцевая красная RAL 3020</t>
  </si>
  <si>
    <t>NSI-3300371380</t>
  </si>
  <si>
    <t>Эмаль алкидная универсальная Pesto 90 C Tikkivala высокоглянцевая серая RAL 7040</t>
  </si>
  <si>
    <t>NSI-3300371389</t>
  </si>
  <si>
    <t>Эмаль алкидная универсальная Pesto 90 C Tikkivala высокоглянцевая синяя RAL 5010</t>
  </si>
  <si>
    <t>NSI-3300371365</t>
  </si>
  <si>
    <t>Эмаль алкидная универсальная Pesto 90 C Tikkivala высокоглянцевая черная RAL 9005</t>
  </si>
  <si>
    <t>NSI-3300371382</t>
  </si>
  <si>
    <t>Эмаль противообрастающая подводного нанесения Эксидис компонент А-основа Сибирь серая</t>
  </si>
  <si>
    <t>NSI-3300385067</t>
  </si>
  <si>
    <t>Оборудование Подрядчика</t>
  </si>
  <si>
    <t>Аппарат электронный пускорегулирующий ЭПРА IEK LLV258D-EBFL-2-58 2х58Вт</t>
  </si>
  <si>
    <t>NSI-3300267486</t>
  </si>
  <si>
    <t>Аппарат электронный пускорегулирующий ЭПРА Philips HF-S236 TL-DII 72Вт IP20</t>
  </si>
  <si>
    <t>NSI-3300266914</t>
  </si>
  <si>
    <t>NSI-3300370565</t>
  </si>
  <si>
    <t>NSI-3300266905</t>
  </si>
  <si>
    <t>Вентилятор с фильтром Finder 7F.20.8.230.2055 IP54 с электродвигателем 20Вт 55м3/ч</t>
  </si>
  <si>
    <t>NSI-3300266034</t>
  </si>
  <si>
    <t>Выключатель DKC MD63-1C10-6 AC 10А C 1P 6кА</t>
  </si>
  <si>
    <t>NSI-3300272568</t>
  </si>
  <si>
    <t>Выключатель автоматический ABB S203 63А C 3P 6кА</t>
  </si>
  <si>
    <t>NSI-3300037417</t>
  </si>
  <si>
    <t>Выключатель автоматический DKC Yon MD63 16А C 1P 6кА MD63-1C16-6</t>
  </si>
  <si>
    <t>NSI-3300267216</t>
  </si>
  <si>
    <t>Выключатель автоматический DKC Yon MD63 16А C 3P 10кА MD63-3C16-10</t>
  </si>
  <si>
    <t>NSI-3300350915</t>
  </si>
  <si>
    <t>Выключатель автоматический DKC Yon MD63 40А C 3P 10кА MD63-3C40-10</t>
  </si>
  <si>
    <t>NSI-3300350914</t>
  </si>
  <si>
    <t>Выключатель автоматический DKC Yon MD63 AC 50А C 3P 6кА AC IP20 MD63-3C50-6</t>
  </si>
  <si>
    <t>NSI-3300267133</t>
  </si>
  <si>
    <t>Выключатель автоматический Systeme Electric City9 Set AC 10А C 1P 6кА 230В C9F36110</t>
  </si>
  <si>
    <t>NSI-3300267934</t>
  </si>
  <si>
    <t>Выключатель автоматический Systeme Electric City9 Set AC 25А C 3P 6кА 400В C9F36325</t>
  </si>
  <si>
    <t>NSI-3300267884</t>
  </si>
  <si>
    <t>Выключатель автоматический ВА51-35М1-340010-100А-1250-690AC AC 100А 3P 10кА 690В УХЛ3</t>
  </si>
  <si>
    <t>NSI-3300104808</t>
  </si>
  <si>
    <t>Выключатель автоматический дифференциального тока DKC Yon MDR63-22C16-A AC 16А 2P 6кА 30мА</t>
  </si>
  <si>
    <t>NSI-3300267581</t>
  </si>
  <si>
    <t>Выключатель автоматический модульный ABB S201 C10 AC 10А C 1P 6кА</t>
  </si>
  <si>
    <t>NSI-3300267939</t>
  </si>
  <si>
    <t>Выключатель автоматический модульный DKC MD63-3C25-6 AC 25А C 3P 6кА</t>
  </si>
  <si>
    <t>NSI-3300272580</t>
  </si>
  <si>
    <t>Выключатель автоматический модульный DKC Yon MD63 25А C 1P 6кА MD63-1C25-6</t>
  </si>
  <si>
    <t>NSI-3300271237</t>
  </si>
  <si>
    <t>Выключатель автоматический модульный DKC Yon MD63-3C25-10 25А 3P 10кА</t>
  </si>
  <si>
    <t>NSI-3300267211</t>
  </si>
  <si>
    <t>Выключатель автоматический модульный DKC Yon MD63-3C25-10 25А C 3P 10кА</t>
  </si>
  <si>
    <t>Выключатель автоматический модульный DKC Yon MD63-3C32-10 32А 3P 10кА</t>
  </si>
  <si>
    <t>NSI-3300267218</t>
  </si>
  <si>
    <t>Выключатель автоматический модульный DKC Yon MD63 AC 16А C 3P 6кА 400В MD63-3C16-6</t>
  </si>
  <si>
    <t>NSI-3300349512</t>
  </si>
  <si>
    <t>Выключатель автоматический модульный DKC Yon MD63H-3PC63 63А C 3P 10кА</t>
  </si>
  <si>
    <t>NSI-3300268749</t>
  </si>
  <si>
    <t>Выключатель пакетный EKF PROxima ПВ 2-16 М1 380В 16А IP56 пластиковый</t>
  </si>
  <si>
    <t>NSI-3300045916</t>
  </si>
  <si>
    <t>Грундбукса ч.РЧ 59.00 20Х13</t>
  </si>
  <si>
    <t>NSI-3300366042</t>
  </si>
  <si>
    <t>Источник питания Аргос ИПС50-350Т 50Вт IP20 Офис 0111</t>
  </si>
  <si>
    <t>NSI-3300048976</t>
  </si>
  <si>
    <t>Компенсатор шинный ч.РЧ 49.00 СБ/РЧ 49.01/РЧ 49.02 медный</t>
  </si>
  <si>
    <t>NSI-3300266620</t>
  </si>
  <si>
    <t>Конвектор электрический 1.5кВт 580х440х80мм CNX-4 Plus 1500 Noirot</t>
  </si>
  <si>
    <t>NSI-3300364817</t>
  </si>
  <si>
    <t>Конвектор электрический 1.5кВт напольный/настенный 580х440х80мм Spot E-3 PLUS 1500 Noirot</t>
  </si>
  <si>
    <t>NSI-3300006347</t>
  </si>
  <si>
    <t>Конвектор электрический 1кВт 420х440х80мм CNX-4 Plus 1000 Noirot</t>
  </si>
  <si>
    <t>NSI-3300364814</t>
  </si>
  <si>
    <t>Конструкция троллеев ч.0485.01-01.00-ЭЛ-06 (Токопитатель, в составе: Изолятор троллеедержатель К263.00.05 ГОСТ 13871-78 – 2шт; Изолятор троллеедержатель К-263.00.06 ГОСТ 13871-78 – 2шт; Лист медный профильный П-образный 320х180х5 – 1шт; Труба стальная прямоугольного сечения окрашенная цинксодержащей краской 100х40х5, L-270мм – 1шт; Болт М6х25 оцинкованный DIN 933 – 4шт; Гайка М6 оцинкованная DIN 934– 4шт; Шайба 6 оцинкованная DIN 125 – 4шт; Болт М12х90 оцинкованный DIN 933 – 2шт; Болт М12х30 оцинкованный DIN 933 – 1шт; Гайка М12 оцинкованная DIN 934 – 5шт; Шайба 12 оцинкованная DIN 125- 4шт; Шайба 12 увеличенная оцинкованная DIN 9021– 2шт)</t>
  </si>
  <si>
    <t>NSI-3300268175</t>
  </si>
  <si>
    <t>Контактор электромагнитный IEK КМИ-49512 230В 95А IP20 3Р 1НЗ+1НО</t>
  </si>
  <si>
    <t>NSI-3300025022</t>
  </si>
  <si>
    <t>Контактор электромагнитный Schneider Electric LC1E95M5 Easypact TVS 3P 400/220В 95А IP2x 3Р 1НЗ+1НО</t>
  </si>
  <si>
    <t>NSI-3300025146</t>
  </si>
  <si>
    <t>Крышка передняя ч.РЧ 60.00 для маслоохладителя</t>
  </si>
  <si>
    <t>NSI-3300367296</t>
  </si>
  <si>
    <t>Модуль светодиодный Line 470X11.5 2X10 40K80 10W0.3A 2835 Аргос</t>
  </si>
  <si>
    <t>NSI-3300266916</t>
  </si>
  <si>
    <t>Модуль тиристорный двухпозиционный МТ3-320-18-С1 У2 Протон-Электротекс</t>
  </si>
  <si>
    <t>NSI-3300266896</t>
  </si>
  <si>
    <t>Насос масляный СР 100/20 для трансформатора  ООО 'Системы охлаждения'. </t>
  </si>
  <si>
    <t>NSI-3300353250</t>
  </si>
  <si>
    <t>Переключатель кулачковый КЭАЗ 138251 OptiSwitch 4G10-52-U-R014</t>
  </si>
  <si>
    <t>NSI-3300103052</t>
  </si>
  <si>
    <t>Реле электротепловое токовое РТИ-3361 55-70А ИЭК</t>
  </si>
  <si>
    <t>NSI-3300187634</t>
  </si>
  <si>
    <t>Ремкомплект РТИ для трансформатора ТМ 25-160кВА (22 предмета)</t>
  </si>
  <si>
    <t>NSI-3300198979</t>
  </si>
  <si>
    <t>Тепловентилятор электрический ЕС-21 IP54 5100м3/ч 21кВт Греерс</t>
  </si>
  <si>
    <t>Тиристор низкочастотный Т183-2500-42-81 УХЛ2 Протон-Электротекс</t>
  </si>
  <si>
    <t>NSI-3300266769</t>
  </si>
  <si>
    <t>Трансформатор напряжения понижающий ОСО-0.25-09 0.25кВА 220/24В УХЛЗ (Применительно к Трансформатор напряжения понижающий ОСО-0.25 0.25кВА
220/36В УХЛЗ)</t>
  </si>
  <si>
    <t>NSI-3300193435</t>
  </si>
  <si>
    <t>Трансформатор понижающий ТСЗИ-2.5 380-220/36В</t>
  </si>
  <si>
    <t>NSI-3300284574</t>
  </si>
  <si>
    <t>Устройство токопитающее ч.9530/8-04-ЭМ1 (Токопитатель, в составе: Изолятор троллеедержатель К263.00.05 ГОСТ 13871-78 – 2шт; Изолятор троллеедержатель К-263.00.06 ГОСТ 13871-78 – 2шт; Лист медный профильный П-образный 320х200х5 – 1шт; Труба стальная прямоугольного сечения окрашенная цинксодержащей краской 120х40х5, L-270мм – 1шт; Болт М6х25 оцинкованный DIN 933 – 4шт; Гайка М6 оцинкованная DIN 934– 4шт; Шайба 6 оцинкованная DIN 125– 4шт; Болт М12х90 оцинкованный DIN 933 – 2шт; Болт М12х30 оцинкованный DIN 933 – 1шт; Гайка М12 оцинкованная DIN 934 – 5шт; Шайба 12 оцинкованная DIN 125- 4шт; Шайба 12 увеличенная оцинкованная DIN 9021 – 2шт)</t>
  </si>
  <si>
    <t>NSI-3300268148</t>
  </si>
  <si>
    <t>Фотореле ООО ТД МЕАНДР 4680019911649 ФР-М01-1-15 230В УХЛ4 93х62х18мм 16А, 3600Вт</t>
  </si>
  <si>
    <t>NSI-3300024866</t>
  </si>
  <si>
    <t>Ящик с понижающим трансформатором ЯТП 0.25 220/36В (выключатель автоматический-3шт) IP54</t>
  </si>
  <si>
    <t>NSI-3300376227</t>
  </si>
  <si>
    <t>прошлогодняя цена</t>
  </si>
  <si>
    <t>Блок распределительный EKF PROxima КБР plc-kbr125 125А на DIN-рейку и монтажную панель</t>
  </si>
  <si>
    <t>NSI-3300130809</t>
  </si>
  <si>
    <t>Блок распределительный EKF PROxima КБР plc-kbr80 80А на DIN-рейку и монтажную панель</t>
  </si>
  <si>
    <t>Выключатель автоматический Systeme Electric City9 Set AC 32А C 3P 6кА 400В C9F36332</t>
  </si>
  <si>
    <t>NSI-3300267928</t>
  </si>
  <si>
    <t>Выключатель автоматический модульный DKC Yon MD125-3C100-20 100А C 3P 20кА</t>
  </si>
  <si>
    <t>NSI-3300268496</t>
  </si>
  <si>
    <t>Выключатель автоматический модульный DKC Yon MD63 16А C 3P 6кА MD63-3C16-6</t>
  </si>
  <si>
    <t>Выключатель автоматический модульный DKC Yon MD63-3C16-10 16А C 3P 10кА</t>
  </si>
  <si>
    <t>Выключатель автоматический модульный DKC Yon MD63-3C32-6 32А C 3P 6кА</t>
  </si>
  <si>
    <t>Выключатель автоматический модульный DKC Yon MD63-3C40-10 40А C 3P 10кА</t>
  </si>
  <si>
    <t>Выключатель автоматический модульный DKC Yon MD63-3C63-10 63А C 3P 10кА</t>
  </si>
  <si>
    <t>Выключатель автоматический модульный DKC Yon MD63H-3PC63 63А C 3P 6кА</t>
  </si>
  <si>
    <t>Выключатель автоматический модульный Systeme Electric City9 Set AC 40А C 3P 6кА 400В C9F36340</t>
  </si>
  <si>
    <t>NSI-3300268654</t>
  </si>
  <si>
    <t>Источник питания Аргос ИПС50-350Т 50Вт</t>
  </si>
  <si>
    <t>Конвектор электрический 1.5кВт напольный/настенный EPK4570M15 Ivigo</t>
  </si>
  <si>
    <t>NSI-3300267588</t>
  </si>
  <si>
    <t>Конвектор электрический 1кВт напольный/настенный EPK4590M10 Ivigo</t>
  </si>
  <si>
    <t>NSI-3300267587</t>
  </si>
  <si>
    <t>Конвектор электрический 2кВт напольный/настенный 900х450х80мм EPK4590M20 Ivigo</t>
  </si>
  <si>
    <t>NSI-3300256223</t>
  </si>
  <si>
    <t>Контактор вакуумный ВК49-400 3Р 400А</t>
  </si>
  <si>
    <t>NSI-3300266064</t>
  </si>
  <si>
    <t>Контактор электромагнитный IEK KKM41-065-230-11 КМИ-46512 230В 65А IP20 1НО+1НЗ</t>
  </si>
  <si>
    <t>NSI-3300267577</t>
  </si>
  <si>
    <t>Контактор электромагнитный IEK КМИ-11810 230В 18А IP20 трехполюсной, 1НО</t>
  </si>
  <si>
    <t>NSI-3300025120</t>
  </si>
  <si>
    <t>Контактор электромагнитный IEK КМИ-22510 230В 25А IP20 трехполюсной, 1НО</t>
  </si>
  <si>
    <t>NSI-3300025119</t>
  </si>
  <si>
    <t>Контактор электромагнитный КМИ-10910 400В 9А IP20 АС3 1НО</t>
  </si>
  <si>
    <t>NSI-3300266907</t>
  </si>
  <si>
    <t>Крышка передняя ч.ПТ-093.00.05.СБ для маслоохладителя</t>
  </si>
  <si>
    <t>NSI-3300266764</t>
  </si>
  <si>
    <t>Нагреватель трубчатый ТЭНР-83-13/3.0-0-220В (ВУ-18, 19)</t>
  </si>
  <si>
    <t>NSI-3300266761</t>
  </si>
  <si>
    <t>Реле протока Danfoss FQS U30G</t>
  </si>
  <si>
    <t>NSI-3300266742</t>
  </si>
  <si>
    <t>Ремкомплект РТИ для трансформатора ТМ 25-160кВА 22 предмета</t>
  </si>
  <si>
    <t>Счетчик регистрации разрядных импульсов-количества срабатываний ОПН СПО-1</t>
  </si>
  <si>
    <t>NSI-3300267636</t>
  </si>
  <si>
    <t>Трансформатор напряжения ОСМ-1.0 380/24В</t>
  </si>
  <si>
    <t>NSI-3300267473</t>
  </si>
  <si>
    <t>Трансформатор напряжения понижающий ОСО-0.25-09 0.25кВА 220/24В УХЛЗ</t>
  </si>
  <si>
    <t>Шайба полюсная ч.3М56437 СТЭФ-У для генератора</t>
  </si>
  <si>
    <t>NSI-3300267628</t>
  </si>
  <si>
    <r>
      <t xml:space="preserve">Батарея аккумуляторная жидкий электролит 2В 800А.ч Stark 8 GroE 800 328х268х542мм. Примечание: </t>
    </r>
    <r>
      <rPr>
        <b/>
        <sz val="9"/>
        <color rgb="FF000000"/>
        <rFont val="Arial"/>
        <family val="2"/>
        <charset val="204"/>
      </rPr>
      <t>залитая электролитом</t>
    </r>
    <r>
      <rPr>
        <sz val="9"/>
        <color rgb="FF000000"/>
        <rFont val="Arial"/>
        <family val="2"/>
        <charset val="204"/>
      </rPr>
      <t>, в комплекте с крепежом для сбора в батарею.</t>
    </r>
  </si>
  <si>
    <r>
      <t>Батарея аккумуляторная жидкий электролит 2В 800А.ч Stark 8 GroE 800 328х268х542мм. Примечание:</t>
    </r>
    <r>
      <rPr>
        <b/>
        <sz val="9"/>
        <color rgb="FF000000"/>
        <rFont val="Arial"/>
        <family val="2"/>
        <charset val="204"/>
      </rPr>
      <t xml:space="preserve"> сухозаряженная,</t>
    </r>
    <r>
      <rPr>
        <sz val="9"/>
        <color rgb="FF000000"/>
        <rFont val="Arial"/>
        <family val="2"/>
        <charset val="204"/>
      </rPr>
      <t xml:space="preserve"> в комплекте с крепежом для сбора в батарею.</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</si>
</sst>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 _₽_-;_-@_-"/>
    <numFmt numFmtId="165" formatCode="_-* #,##0\ _₽_-;\-* #,##0\ _₽_-;_-* \-??\ _₽_-;_-@_-"/>
    <numFmt numFmtId="166" formatCode="#,##0.00&quot; ₽&quot;"/>
    <numFmt numFmtId="167" formatCode="#,##0.000"/>
    <numFmt numFmtId="168" formatCode="0.00000"/>
    <numFmt numFmtId="169" formatCode="0.0"/>
    <numFmt numFmtId="170" formatCode="0.000"/>
    <numFmt numFmtId="171" formatCode="0.0000"/>
  </numFmts>
  <fonts count="38" x14ac:knownFonts="1">
    <font>
      <sz val="11"/>
      <color rgb="FF000000"/>
      <name val="Calibri"/>
      <family val="2"/>
      <charset val="1"/>
    </font>
    <font>
      <sz val="10"/>
      <name val="Arial Cyr"/>
      <charset val="204"/>
    </font>
    <font>
      <sz val="11"/>
      <color rgb="FF000000"/>
      <name val="Calibri"/>
      <family val="2"/>
      <charset val="204"/>
    </font>
    <font>
      <sz val="11"/>
      <color rgb="FF000000"/>
      <name val="Arial"/>
      <family val="2"/>
      <charset val="204"/>
    </font>
    <font>
      <i/>
      <sz val="20"/>
      <color rgb="FFFF0000"/>
      <name val="Arial"/>
      <family val="2"/>
      <charset val="204"/>
    </font>
    <font>
      <sz val="11"/>
      <color rgb="FFFF0000"/>
      <name val="Arial"/>
      <family val="2"/>
      <charset val="204"/>
    </font>
    <font>
      <b/>
      <sz val="14"/>
      <name val="Arial"/>
      <family val="2"/>
      <charset val="204"/>
    </font>
    <font>
      <sz val="11"/>
      <name val="Arial"/>
      <family val="2"/>
      <charset val="204"/>
    </font>
    <font>
      <b/>
      <sz val="12"/>
      <name val="Arial"/>
      <family val="2"/>
      <charset val="204"/>
    </font>
    <font>
      <b/>
      <sz val="16"/>
      <name val="Arial"/>
      <family val="2"/>
      <charset val="204"/>
    </font>
    <font>
      <b/>
      <sz val="16"/>
      <color rgb="FF00B050"/>
      <name val="Arial"/>
      <family val="2"/>
      <charset val="204"/>
    </font>
    <font>
      <b/>
      <sz val="16"/>
      <color rgb="FFFF0000"/>
      <name val="Arial"/>
      <family val="2"/>
      <charset val="204"/>
    </font>
    <font>
      <b/>
      <sz val="12"/>
      <color rgb="FF000000"/>
      <name val="Arial"/>
      <family val="2"/>
      <charset val="204"/>
    </font>
    <font>
      <sz val="10"/>
      <name val="Arial"/>
      <family val="2"/>
      <charset val="204"/>
    </font>
    <font>
      <sz val="12"/>
      <color rgb="FF000000"/>
      <name val="Arial"/>
      <family val="2"/>
      <charset val="204"/>
    </font>
    <font>
      <b/>
      <sz val="18"/>
      <name val="Arial"/>
      <family val="2"/>
      <charset val="204"/>
    </font>
    <font>
      <b/>
      <sz val="11"/>
      <name val="Arial"/>
      <family val="2"/>
      <charset val="204"/>
    </font>
    <font>
      <b/>
      <sz val="11"/>
      <color rgb="FFFF0000"/>
      <name val="Arial"/>
      <family val="2"/>
      <charset val="204"/>
    </font>
    <font>
      <b/>
      <sz val="11"/>
      <color rgb="FF000000"/>
      <name val="Arial"/>
      <family val="2"/>
      <charset val="204"/>
    </font>
    <font>
      <sz val="9"/>
      <color rgb="FF000000"/>
      <name val="Tahoma"/>
      <family val="2"/>
      <charset val="204"/>
    </font>
    <font>
      <strike/>
      <sz val="11"/>
      <name val="Arial"/>
      <family val="2"/>
      <charset val="204"/>
    </font>
    <font>
      <b/>
      <strike/>
      <sz val="11"/>
      <name val="Arial"/>
      <family val="2"/>
      <charset val="204"/>
    </font>
    <font>
      <sz val="12"/>
      <name val="Times New Roman"/>
      <family val="1"/>
      <charset val="204"/>
    </font>
    <font>
      <u/>
      <sz val="12"/>
      <color rgb="FF0563C1"/>
      <name val="Times New Roman"/>
      <family val="1"/>
      <charset val="204"/>
    </font>
    <font>
      <u/>
      <sz val="11"/>
      <color rgb="FF0563C1"/>
      <name val="Calibri"/>
      <family val="2"/>
      <charset val="1"/>
    </font>
    <font>
      <strike/>
      <sz val="11"/>
      <color rgb="FFFF0000"/>
      <name val="Arial"/>
      <family val="2"/>
      <charset val="204"/>
    </font>
    <font>
      <b/>
      <strike/>
      <sz val="11"/>
      <color rgb="FFFF0000"/>
      <name val="Arial"/>
      <family val="2"/>
      <charset val="204"/>
    </font>
    <font>
      <i/>
      <sz val="11"/>
      <color rgb="FFFF0000"/>
      <name val="Arial"/>
      <family val="2"/>
      <charset val="204"/>
    </font>
    <font>
      <b/>
      <sz val="11"/>
      <color rgb="FF00B050"/>
      <name val="Arial"/>
      <family val="2"/>
      <charset val="204"/>
    </font>
    <font>
      <sz val="12"/>
      <color rgb="FF000000"/>
      <name val="Times New Roman"/>
      <family val="1"/>
      <charset val="204"/>
    </font>
    <font>
      <sz val="12"/>
      <color rgb="FF000000"/>
      <name val="Times New Roman"/>
      <family val="1"/>
      <charset val="1"/>
    </font>
    <font>
      <i/>
      <sz val="12"/>
      <color rgb="FFFF0000"/>
      <name val="Times New Roman"/>
      <family val="1"/>
      <charset val="1"/>
    </font>
    <font>
      <sz val="12"/>
      <color rgb="FFFF0000"/>
      <name val="Times New Roman"/>
      <family val="1"/>
      <charset val="1"/>
    </font>
    <font>
      <b/>
      <sz val="12"/>
      <name val="Times New Roman"/>
      <family val="1"/>
      <charset val="1"/>
    </font>
    <font>
      <sz val="12"/>
      <name val="Times New Roman"/>
      <family val="1"/>
      <charset val="1"/>
    </font>
    <font>
      <b/>
      <sz val="9"/>
      <color rgb="FF000000"/>
      <name val="Arial"/>
      <family val="2"/>
      <charset val="204"/>
    </font>
    <font>
      <sz val="9"/>
      <color rgb="FF000000"/>
      <name val="Arial"/>
      <family val="2"/>
      <charset val="204"/>
    </font>
    <font>
      <sz val="11"/>
      <color rgb="FF000000"/>
      <name val="Calibri"/>
      <family val="2"/>
      <charset val="1"/>
    </font>
  </fonts>
  <fills count="17">
    <fill>
      <patternFill patternType="none"/>
    </fill>
    <fill>
      <patternFill patternType="gray125"/>
    </fill>
    <fill>
      <patternFill patternType="solid">
        <fgColor rgb="FFF4B183"/>
        <bgColor rgb="FFFF8080"/>
      </patternFill>
    </fill>
    <fill>
      <patternFill patternType="solid">
        <fgColor rgb="FFD9D9D9"/>
        <bgColor rgb="FFDBDBDB"/>
      </patternFill>
    </fill>
    <fill>
      <patternFill patternType="solid">
        <fgColor rgb="FFFFFFFF"/>
        <bgColor rgb="FFF2F2F2"/>
      </patternFill>
    </fill>
    <fill>
      <patternFill patternType="solid">
        <fgColor rgb="FFC5E0B4"/>
        <bgColor rgb="FFD9D9D9"/>
      </patternFill>
    </fill>
    <fill>
      <patternFill patternType="solid">
        <fgColor rgb="FFF2F2F2"/>
        <bgColor rgb="FFE7E6E6"/>
      </patternFill>
    </fill>
    <fill>
      <patternFill patternType="solid">
        <fgColor rgb="FF9DC3E6"/>
        <bgColor rgb="FFB4C7E7"/>
      </patternFill>
    </fill>
    <fill>
      <patternFill patternType="solid">
        <fgColor rgb="FFE7E6E6"/>
        <bgColor rgb="FFDEEBF7"/>
      </patternFill>
    </fill>
    <fill>
      <patternFill patternType="solid">
        <fgColor rgb="FFFFFF00"/>
        <bgColor rgb="FFFFFF00"/>
      </patternFill>
    </fill>
    <fill>
      <patternFill patternType="solid">
        <fgColor rgb="FFDBDBDB"/>
        <bgColor rgb="FFD9D9D9"/>
      </patternFill>
    </fill>
    <fill>
      <patternFill patternType="solid">
        <fgColor rgb="FFFF0000"/>
        <bgColor rgb="FFC9211E"/>
      </patternFill>
    </fill>
    <fill>
      <patternFill patternType="solid">
        <fgColor rgb="FF00B050"/>
        <bgColor rgb="FF008080"/>
      </patternFill>
    </fill>
    <fill>
      <patternFill patternType="solid">
        <fgColor rgb="FF92D050"/>
        <bgColor rgb="FFA9D18E"/>
      </patternFill>
    </fill>
    <fill>
      <patternFill patternType="solid">
        <fgColor rgb="FFA9D18E"/>
        <bgColor rgb="FFC5E0B4"/>
      </patternFill>
    </fill>
    <fill>
      <patternFill patternType="solid">
        <fgColor rgb="FFB4C7E7"/>
        <bgColor rgb="FF9DC3E6"/>
      </patternFill>
    </fill>
    <fill>
      <patternFill patternType="solid">
        <fgColor rgb="FFDEEBF7"/>
        <bgColor rgb="FFE7E6E6"/>
      </patternFill>
    </fill>
  </fills>
  <borders count="19">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222A35"/>
      </left>
      <right style="thin">
        <color rgb="FF222A35"/>
      </right>
      <top style="medium">
        <color auto="1"/>
      </top>
      <bottom style="thin">
        <color auto="1"/>
      </bottom>
      <diagonal/>
    </border>
    <border>
      <left style="thin">
        <color rgb="FF222A35"/>
      </left>
      <right style="thin">
        <color rgb="FF222A35"/>
      </right>
      <top style="medium">
        <color auto="1"/>
      </top>
      <bottom/>
      <diagonal/>
    </border>
    <border>
      <left style="thin">
        <color rgb="FF222A35"/>
      </left>
      <right/>
      <top style="medium">
        <color auto="1"/>
      </top>
      <bottom/>
      <diagonal/>
    </border>
    <border>
      <left style="thin">
        <color rgb="FF222A35"/>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s>
  <cellStyleXfs count="7">
    <xf numFmtId="0" fontId="0" fillId="0" borderId="0"/>
    <xf numFmtId="164" fontId="37" fillId="0" borderId="0" applyBorder="0" applyProtection="0"/>
    <xf numFmtId="0" fontId="24" fillId="0" borderId="0" applyBorder="0" applyProtection="0"/>
    <xf numFmtId="0" fontId="1" fillId="0" borderId="0"/>
    <xf numFmtId="0" fontId="2" fillId="0" borderId="0"/>
    <xf numFmtId="0" fontId="2" fillId="0" borderId="0"/>
    <xf numFmtId="0" fontId="2" fillId="0" borderId="0"/>
  </cellStyleXfs>
  <cellXfs count="235">
    <xf numFmtId="0" fontId="0" fillId="0" borderId="0" xfId="0"/>
    <xf numFmtId="0" fontId="3" fillId="0" borderId="0" xfId="0" applyFont="1" applyAlignment="1" applyProtection="1"/>
    <xf numFmtId="0" fontId="3" fillId="0" borderId="0" xfId="0" applyFont="1" applyAlignment="1" applyProtection="1">
      <alignment vertical="center"/>
    </xf>
    <xf numFmtId="4" fontId="3" fillId="2" borderId="0" xfId="0" applyNumberFormat="1" applyFont="1" applyFill="1" applyAlignment="1" applyProtection="1">
      <alignment vertical="center"/>
    </xf>
    <xf numFmtId="0" fontId="3" fillId="3" borderId="0" xfId="0" applyFont="1" applyFill="1" applyAlignment="1" applyProtection="1"/>
    <xf numFmtId="0" fontId="4" fillId="0" borderId="0" xfId="0" applyFont="1" applyAlignment="1" applyProtection="1">
      <alignment horizontal="center" vertical="top" wrapText="1"/>
    </xf>
    <xf numFmtId="0" fontId="5" fillId="0" borderId="0" xfId="0" applyFont="1" applyAlignment="1" applyProtection="1">
      <alignment horizontal="left" vertical="top" wrapText="1"/>
    </xf>
    <xf numFmtId="0" fontId="5" fillId="0" borderId="0" xfId="0" applyFont="1" applyAlignment="1" applyProtection="1">
      <alignment horizontal="left" vertical="center" wrapText="1"/>
    </xf>
    <xf numFmtId="4" fontId="5" fillId="2" borderId="0" xfId="0" applyNumberFormat="1" applyFont="1" applyFill="1" applyAlignment="1" applyProtection="1">
      <alignment horizontal="left" vertical="center" wrapText="1"/>
    </xf>
    <xf numFmtId="0" fontId="5" fillId="3" borderId="0" xfId="0" applyFont="1" applyFill="1" applyAlignment="1" applyProtection="1">
      <alignment horizontal="left" vertical="top" wrapText="1"/>
    </xf>
    <xf numFmtId="0" fontId="7" fillId="0" borderId="0" xfId="0" applyFont="1" applyAlignment="1" applyProtection="1"/>
    <xf numFmtId="0" fontId="7" fillId="0" borderId="0" xfId="0" applyFont="1" applyAlignment="1" applyProtection="1">
      <alignment vertical="center"/>
    </xf>
    <xf numFmtId="4" fontId="7" fillId="2" borderId="0" xfId="0" applyNumberFormat="1" applyFont="1" applyFill="1" applyAlignment="1" applyProtection="1">
      <alignment vertical="center"/>
    </xf>
    <xf numFmtId="0" fontId="7" fillId="3" borderId="0" xfId="0" applyFont="1" applyFill="1" applyAlignment="1" applyProtection="1"/>
    <xf numFmtId="0" fontId="8" fillId="6" borderId="1" xfId="0" applyFont="1" applyFill="1" applyBorder="1" applyAlignment="1" applyProtection="1">
      <alignment horizontal="center" vertical="top" wrapText="1"/>
    </xf>
    <xf numFmtId="0" fontId="8" fillId="3" borderId="5" xfId="0" applyFont="1" applyFill="1" applyBorder="1" applyAlignment="1" applyProtection="1">
      <alignment horizontal="center" vertical="top" wrapText="1"/>
    </xf>
    <xf numFmtId="0" fontId="8" fillId="6" borderId="5" xfId="0" applyFont="1" applyFill="1" applyBorder="1" applyAlignment="1" applyProtection="1">
      <alignment horizontal="center" vertical="top" wrapText="1"/>
    </xf>
    <xf numFmtId="0" fontId="8" fillId="5" borderId="7" xfId="0" applyFont="1" applyFill="1" applyBorder="1" applyAlignment="1" applyProtection="1">
      <alignment horizontal="center" vertical="center" wrapText="1"/>
    </xf>
    <xf numFmtId="0" fontId="7" fillId="8" borderId="0" xfId="0" applyFont="1" applyFill="1" applyAlignment="1" applyProtection="1"/>
    <xf numFmtId="0" fontId="13" fillId="4" borderId="8" xfId="0" applyFont="1" applyFill="1" applyBorder="1" applyAlignment="1" applyProtection="1">
      <alignment horizontal="center" vertical="center" wrapText="1"/>
    </xf>
    <xf numFmtId="0" fontId="13" fillId="4" borderId="9" xfId="0" applyFont="1" applyFill="1" applyBorder="1" applyAlignment="1" applyProtection="1">
      <alignment horizontal="center" vertical="center" wrapText="1"/>
    </xf>
    <xf numFmtId="0" fontId="13" fillId="4" borderId="10" xfId="0" applyFont="1" applyFill="1" applyBorder="1" applyAlignment="1" applyProtection="1">
      <alignment horizontal="center" vertical="center" wrapText="1"/>
    </xf>
    <xf numFmtId="4" fontId="13" fillId="2" borderId="10" xfId="0" applyNumberFormat="1"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7" fillId="4" borderId="0" xfId="0" applyFont="1" applyFill="1" applyAlignment="1" applyProtection="1">
      <alignment horizontal="center" vertical="center"/>
    </xf>
    <xf numFmtId="0" fontId="14" fillId="0" borderId="0" xfId="0" applyFont="1" applyAlignment="1" applyProtection="1">
      <alignment horizontal="center" vertical="center" wrapText="1"/>
    </xf>
    <xf numFmtId="0" fontId="7" fillId="0" borderId="0" xfId="0" applyFont="1" applyAlignment="1" applyProtection="1">
      <alignment horizontal="left"/>
    </xf>
    <xf numFmtId="165" fontId="14" fillId="0" borderId="7" xfId="1" applyNumberFormat="1" applyFont="1" applyBorder="1" applyAlignment="1" applyProtection="1">
      <alignment horizontal="center" vertical="center" wrapText="1"/>
    </xf>
    <xf numFmtId="0" fontId="7" fillId="4" borderId="13" xfId="0" applyFont="1" applyFill="1" applyBorder="1" applyAlignment="1" applyProtection="1">
      <alignment horizontal="center" vertical="center"/>
    </xf>
    <xf numFmtId="0" fontId="7" fillId="0" borderId="7" xfId="0" applyFont="1" applyBorder="1" applyAlignment="1" applyProtection="1">
      <alignment horizontal="left" vertical="center" wrapText="1"/>
    </xf>
    <xf numFmtId="0" fontId="7" fillId="0" borderId="7" xfId="0" applyFont="1" applyBorder="1" applyAlignment="1" applyProtection="1">
      <alignment horizontal="center" vertical="center" wrapText="1"/>
    </xf>
    <xf numFmtId="49" fontId="7" fillId="0" borderId="7" xfId="0" applyNumberFormat="1" applyFont="1" applyBorder="1" applyAlignment="1" applyProtection="1">
      <alignment horizontal="center" vertical="center" wrapText="1"/>
    </xf>
    <xf numFmtId="4" fontId="7" fillId="2" borderId="14" xfId="0" applyNumberFormat="1" applyFont="1" applyFill="1" applyBorder="1" applyAlignment="1" applyProtection="1">
      <alignment horizontal="center" vertical="center" wrapText="1"/>
    </xf>
    <xf numFmtId="4" fontId="7" fillId="5" borderId="14" xfId="0" applyNumberFormat="1"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166" fontId="7" fillId="3" borderId="7" xfId="0" applyNumberFormat="1" applyFont="1" applyFill="1" applyBorder="1" applyAlignment="1" applyProtection="1">
      <alignment horizontal="center" vertical="center" wrapText="1"/>
    </xf>
    <xf numFmtId="166" fontId="7" fillId="0" borderId="7" xfId="0" applyNumberFormat="1" applyFont="1" applyBorder="1" applyAlignment="1" applyProtection="1">
      <alignment horizontal="center" vertical="center" wrapText="1"/>
    </xf>
    <xf numFmtId="166" fontId="16" fillId="7" borderId="7" xfId="0" applyNumberFormat="1" applyFont="1" applyFill="1" applyBorder="1" applyAlignment="1" applyProtection="1">
      <alignment horizontal="center" vertical="center" wrapText="1"/>
    </xf>
    <xf numFmtId="167" fontId="16" fillId="0" borderId="7" xfId="0" applyNumberFormat="1" applyFont="1" applyBorder="1" applyAlignment="1" applyProtection="1">
      <alignment horizontal="center" vertical="center" wrapText="1"/>
    </xf>
    <xf numFmtId="0" fontId="7" fillId="0" borderId="7" xfId="0" applyFont="1" applyBorder="1" applyAlignment="1" applyProtection="1">
      <alignment horizontal="right" vertical="top" wrapText="1"/>
    </xf>
    <xf numFmtId="165" fontId="7" fillId="0" borderId="7" xfId="1" applyNumberFormat="1" applyFont="1" applyBorder="1" applyAlignment="1" applyProtection="1">
      <alignment horizontal="center" vertical="center" wrapText="1"/>
    </xf>
    <xf numFmtId="4" fontId="7" fillId="2" borderId="7" xfId="0" applyNumberFormat="1" applyFont="1" applyFill="1" applyBorder="1" applyAlignment="1" applyProtection="1">
      <alignment horizontal="center" vertical="center" wrapText="1"/>
    </xf>
    <xf numFmtId="4" fontId="16" fillId="0" borderId="7" xfId="0" applyNumberFormat="1" applyFont="1" applyBorder="1" applyAlignment="1" applyProtection="1">
      <alignment vertical="center" wrapText="1"/>
    </xf>
    <xf numFmtId="4" fontId="7" fillId="9" borderId="14" xfId="0" applyNumberFormat="1" applyFont="1" applyFill="1" applyBorder="1" applyAlignment="1" applyProtection="1">
      <alignment horizontal="center" vertical="center" wrapText="1"/>
    </xf>
    <xf numFmtId="4" fontId="17" fillId="0" borderId="15" xfId="0" applyNumberFormat="1" applyFont="1" applyBorder="1" applyAlignment="1" applyProtection="1">
      <alignment horizontal="center" vertical="center" wrapText="1"/>
    </xf>
    <xf numFmtId="4" fontId="16" fillId="0" borderId="7" xfId="0" applyNumberFormat="1" applyFont="1" applyBorder="1" applyAlignment="1" applyProtection="1">
      <alignment horizontal="center" vertical="center" wrapText="1"/>
    </xf>
    <xf numFmtId="4" fontId="17" fillId="0" borderId="7" xfId="0" applyNumberFormat="1" applyFont="1" applyBorder="1" applyAlignment="1" applyProtection="1">
      <alignment horizontal="center" vertical="center" wrapText="1"/>
    </xf>
    <xf numFmtId="0" fontId="7" fillId="9" borderId="7" xfId="0" applyFont="1" applyFill="1" applyBorder="1" applyAlignment="1" applyProtection="1">
      <alignment horizontal="center" vertical="center" wrapText="1"/>
    </xf>
    <xf numFmtId="49" fontId="7" fillId="9" borderId="7" xfId="0" applyNumberFormat="1" applyFont="1" applyFill="1" applyBorder="1" applyAlignment="1" applyProtection="1">
      <alignment horizontal="center" vertical="center" wrapText="1"/>
    </xf>
    <xf numFmtId="166" fontId="7" fillId="10" borderId="7" xfId="0" applyNumberFormat="1" applyFont="1" applyFill="1" applyBorder="1" applyAlignment="1" applyProtection="1">
      <alignment horizontal="center" vertical="center" wrapText="1"/>
    </xf>
    <xf numFmtId="166" fontId="7" fillId="0" borderId="7" xfId="0" applyNumberFormat="1" applyFont="1" applyBorder="1" applyAlignment="1" applyProtection="1">
      <alignment horizontal="right" vertical="top" wrapText="1"/>
    </xf>
    <xf numFmtId="1" fontId="7" fillId="0" borderId="0" xfId="0" applyNumberFormat="1" applyFont="1" applyAlignment="1" applyProtection="1">
      <alignment horizontal="left"/>
    </xf>
    <xf numFmtId="2" fontId="7" fillId="0" borderId="7" xfId="1" applyNumberFormat="1" applyFont="1" applyBorder="1" applyAlignment="1" applyProtection="1">
      <alignment horizontal="center" vertical="center" wrapText="1"/>
    </xf>
    <xf numFmtId="4" fontId="7" fillId="5" borderId="7" xfId="0" applyNumberFormat="1" applyFont="1" applyFill="1" applyBorder="1" applyAlignment="1" applyProtection="1">
      <alignment horizontal="center" vertical="center" wrapText="1"/>
    </xf>
    <xf numFmtId="4" fontId="7" fillId="5" borderId="7" xfId="0" applyNumberFormat="1" applyFont="1" applyFill="1" applyBorder="1" applyAlignment="1" applyProtection="1">
      <alignment horizontal="center" vertical="center"/>
    </xf>
    <xf numFmtId="4" fontId="7" fillId="0" borderId="7" xfId="0" applyNumberFormat="1" applyFont="1" applyBorder="1" applyAlignment="1" applyProtection="1">
      <alignment horizontal="center" vertical="center" wrapText="1"/>
    </xf>
    <xf numFmtId="0" fontId="13" fillId="0" borderId="0" xfId="0" applyFont="1" applyBorder="1" applyAlignment="1" applyProtection="1"/>
    <xf numFmtId="0" fontId="8" fillId="0" borderId="0" xfId="0" applyFont="1" applyBorder="1" applyAlignment="1" applyProtection="1"/>
    <xf numFmtId="0" fontId="13" fillId="3" borderId="0" xfId="0" applyFont="1" applyFill="1" applyBorder="1" applyAlignment="1" applyProtection="1"/>
    <xf numFmtId="0" fontId="7" fillId="11" borderId="7" xfId="0" applyFont="1" applyFill="1" applyBorder="1" applyAlignment="1" applyProtection="1">
      <alignment horizontal="left" vertical="center" wrapText="1"/>
    </xf>
    <xf numFmtId="4" fontId="7" fillId="11" borderId="14" xfId="0" applyNumberFormat="1" applyFont="1" applyFill="1" applyBorder="1" applyAlignment="1" applyProtection="1">
      <alignment horizontal="center" vertical="center" wrapText="1"/>
    </xf>
    <xf numFmtId="4" fontId="17" fillId="0" borderId="7" xfId="0" applyNumberFormat="1" applyFont="1" applyBorder="1" applyAlignment="1" applyProtection="1">
      <alignment vertical="center" wrapText="1"/>
    </xf>
    <xf numFmtId="0" fontId="17" fillId="0" borderId="7" xfId="0" applyFont="1" applyBorder="1" applyAlignment="1" applyProtection="1">
      <alignment horizontal="center" vertical="center" wrapText="1"/>
    </xf>
    <xf numFmtId="0" fontId="20" fillId="4" borderId="13" xfId="0" applyFont="1" applyFill="1" applyBorder="1" applyAlignment="1" applyProtection="1">
      <alignment horizontal="center" vertical="center"/>
    </xf>
    <xf numFmtId="0" fontId="20" fillId="0" borderId="7" xfId="0" applyFont="1" applyBorder="1" applyAlignment="1" applyProtection="1">
      <alignment horizontal="left" vertical="center" wrapText="1"/>
    </xf>
    <xf numFmtId="0" fontId="20" fillId="0" borderId="7" xfId="0" applyFont="1" applyBorder="1" applyAlignment="1" applyProtection="1">
      <alignment horizontal="center" vertical="center" wrapText="1"/>
    </xf>
    <xf numFmtId="49" fontId="20" fillId="0" borderId="7" xfId="0" applyNumberFormat="1" applyFont="1" applyBorder="1" applyAlignment="1" applyProtection="1">
      <alignment horizontal="center" vertical="center" wrapText="1"/>
    </xf>
    <xf numFmtId="4" fontId="20" fillId="5" borderId="14" xfId="0" applyNumberFormat="1" applyFont="1" applyFill="1" applyBorder="1" applyAlignment="1" applyProtection="1">
      <alignment horizontal="center" vertical="center" wrapText="1"/>
    </xf>
    <xf numFmtId="166" fontId="20" fillId="3" borderId="7" xfId="0" applyNumberFormat="1" applyFont="1" applyFill="1" applyBorder="1" applyAlignment="1" applyProtection="1">
      <alignment horizontal="center" vertical="center" wrapText="1"/>
    </xf>
    <xf numFmtId="166" fontId="20" fillId="0" borderId="7" xfId="0" applyNumberFormat="1" applyFont="1" applyBorder="1" applyAlignment="1" applyProtection="1">
      <alignment horizontal="center" vertical="center" wrapText="1"/>
    </xf>
    <xf numFmtId="166" fontId="21" fillId="7" borderId="7" xfId="0" applyNumberFormat="1" applyFont="1" applyFill="1" applyBorder="1" applyAlignment="1" applyProtection="1">
      <alignment horizontal="center" vertical="center" wrapText="1"/>
    </xf>
    <xf numFmtId="167" fontId="21" fillId="0" borderId="7" xfId="0" applyNumberFormat="1" applyFont="1" applyBorder="1" applyAlignment="1" applyProtection="1">
      <alignment horizontal="center" vertical="center" wrapText="1"/>
    </xf>
    <xf numFmtId="0" fontId="7" fillId="0" borderId="7" xfId="0" applyFont="1" applyBorder="1" applyAlignment="1" applyProtection="1">
      <alignment horizontal="left" vertical="top" wrapText="1"/>
    </xf>
    <xf numFmtId="4" fontId="7" fillId="12" borderId="14" xfId="0" applyNumberFormat="1" applyFont="1" applyFill="1" applyBorder="1" applyAlignment="1" applyProtection="1">
      <alignment horizontal="center" vertical="center" wrapText="1"/>
    </xf>
    <xf numFmtId="0" fontId="22" fillId="0" borderId="7" xfId="0" applyFont="1" applyBorder="1" applyAlignment="1" applyProtection="1">
      <alignment horizontal="center" vertical="center" wrapText="1"/>
    </xf>
    <xf numFmtId="166" fontId="22" fillId="3" borderId="7" xfId="0" applyNumberFormat="1" applyFont="1" applyFill="1" applyBorder="1" applyAlignment="1" applyProtection="1">
      <alignment horizontal="center" vertical="center" wrapText="1"/>
    </xf>
    <xf numFmtId="166" fontId="22" fillId="0" borderId="7" xfId="0" applyNumberFormat="1" applyFont="1" applyBorder="1" applyAlignment="1" applyProtection="1">
      <alignment horizontal="center" vertical="center" wrapText="1"/>
    </xf>
    <xf numFmtId="0" fontId="23" fillId="13" borderId="7" xfId="2" applyFont="1" applyFill="1" applyBorder="1" applyAlignment="1" applyProtection="1">
      <alignment horizontal="center" vertical="center" wrapText="1"/>
    </xf>
    <xf numFmtId="166" fontId="22" fillId="13" borderId="7" xfId="0" applyNumberFormat="1" applyFont="1" applyFill="1" applyBorder="1" applyAlignment="1" applyProtection="1">
      <alignment horizontal="center" vertical="center" wrapText="1"/>
    </xf>
    <xf numFmtId="0" fontId="25" fillId="4" borderId="13" xfId="0" applyFont="1" applyFill="1" applyBorder="1" applyAlignment="1" applyProtection="1">
      <alignment horizontal="center" vertical="center"/>
    </xf>
    <xf numFmtId="0" fontId="25" fillId="0" borderId="7" xfId="0" applyFont="1" applyBorder="1" applyAlignment="1" applyProtection="1">
      <alignment horizontal="left" vertical="center" wrapText="1"/>
    </xf>
    <xf numFmtId="0" fontId="25" fillId="0" borderId="7" xfId="0" applyFont="1" applyBorder="1" applyAlignment="1" applyProtection="1">
      <alignment horizontal="center" vertical="center" wrapText="1"/>
    </xf>
    <xf numFmtId="49" fontId="25" fillId="0" borderId="7" xfId="0" applyNumberFormat="1" applyFont="1" applyBorder="1" applyAlignment="1" applyProtection="1">
      <alignment horizontal="center" vertical="center" wrapText="1"/>
    </xf>
    <xf numFmtId="4" fontId="25" fillId="5" borderId="14" xfId="0" applyNumberFormat="1" applyFont="1" applyFill="1" applyBorder="1" applyAlignment="1" applyProtection="1">
      <alignment horizontal="center" vertical="center" wrapText="1"/>
    </xf>
    <xf numFmtId="166" fontId="25" fillId="3" borderId="7" xfId="0" applyNumberFormat="1" applyFont="1" applyFill="1" applyBorder="1" applyAlignment="1" applyProtection="1">
      <alignment horizontal="center" vertical="center" wrapText="1"/>
    </xf>
    <xf numFmtId="166" fontId="25" fillId="0" borderId="7" xfId="0" applyNumberFormat="1" applyFont="1" applyBorder="1" applyAlignment="1" applyProtection="1">
      <alignment horizontal="center" vertical="center" wrapText="1"/>
    </xf>
    <xf numFmtId="166" fontId="26" fillId="7" borderId="7" xfId="0" applyNumberFormat="1" applyFont="1" applyFill="1" applyBorder="1" applyAlignment="1" applyProtection="1">
      <alignment horizontal="center" vertical="center" wrapText="1"/>
    </xf>
    <xf numFmtId="167" fontId="26" fillId="0" borderId="7" xfId="0" applyNumberFormat="1"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xf>
    <xf numFmtId="0" fontId="27" fillId="0" borderId="0" xfId="0" applyFont="1" applyAlignment="1" applyProtection="1">
      <alignment horizontal="center" vertical="top" wrapText="1"/>
    </xf>
    <xf numFmtId="0" fontId="5" fillId="0" borderId="0" xfId="0" applyFont="1" applyAlignment="1" applyProtection="1">
      <alignment horizontal="center" vertical="center" wrapText="1"/>
    </xf>
    <xf numFmtId="4" fontId="5" fillId="0" borderId="0" xfId="0" applyNumberFormat="1" applyFont="1" applyAlignment="1" applyProtection="1">
      <alignment horizontal="center" vertical="center" wrapText="1"/>
    </xf>
    <xf numFmtId="0" fontId="16" fillId="0" borderId="0" xfId="0" applyFont="1" applyBorder="1" applyAlignment="1" applyProtection="1">
      <alignment horizontal="center" vertical="center" wrapText="1"/>
    </xf>
    <xf numFmtId="0" fontId="7" fillId="0" borderId="0" xfId="0" applyFont="1" applyAlignment="1" applyProtection="1">
      <alignment horizontal="center"/>
    </xf>
    <xf numFmtId="0" fontId="7" fillId="0" borderId="0" xfId="0" applyFont="1" applyAlignment="1" applyProtection="1">
      <alignment horizontal="left" vertical="center"/>
    </xf>
    <xf numFmtId="0" fontId="7" fillId="0" borderId="0" xfId="0" applyFont="1" applyAlignment="1" applyProtection="1">
      <alignment horizontal="center" vertical="center"/>
    </xf>
    <xf numFmtId="4" fontId="7" fillId="0" borderId="0" xfId="0" applyNumberFormat="1" applyFont="1" applyAlignment="1" applyProtection="1">
      <alignment horizontal="center" vertical="center"/>
    </xf>
    <xf numFmtId="0" fontId="16" fillId="0" borderId="1" xfId="0" applyFont="1" applyBorder="1" applyAlignment="1" applyProtection="1">
      <alignment horizontal="center" vertical="top" wrapText="1"/>
    </xf>
    <xf numFmtId="0" fontId="16" fillId="0" borderId="5" xfId="0" applyFont="1" applyBorder="1" applyAlignment="1" applyProtection="1">
      <alignment horizontal="center" vertical="top" wrapText="1"/>
    </xf>
    <xf numFmtId="0" fontId="16" fillId="5"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4" fontId="7" fillId="4" borderId="10" xfId="0" applyNumberFormat="1" applyFont="1" applyFill="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165" fontId="3" fillId="0" borderId="7" xfId="1" applyNumberFormat="1" applyFont="1" applyBorder="1" applyAlignment="1" applyProtection="1">
      <alignment horizontal="center" vertical="center" wrapText="1"/>
    </xf>
    <xf numFmtId="0" fontId="3" fillId="0" borderId="7" xfId="0" applyFont="1" applyBorder="1" applyAlignment="1" applyProtection="1">
      <alignment horizontal="left" vertical="center" wrapText="1"/>
    </xf>
    <xf numFmtId="0" fontId="3" fillId="0" borderId="7" xfId="0" applyFont="1" applyBorder="1" applyAlignment="1" applyProtection="1">
      <alignment horizontal="center" vertical="center" wrapText="1"/>
    </xf>
    <xf numFmtId="2" fontId="3" fillId="0" borderId="7" xfId="0" applyNumberFormat="1" applyFont="1" applyBorder="1" applyAlignment="1" applyProtection="1">
      <alignment vertical="center"/>
    </xf>
    <xf numFmtId="4" fontId="17" fillId="0" borderId="14" xfId="0" applyNumberFormat="1" applyFont="1" applyBorder="1" applyAlignment="1" applyProtection="1">
      <alignment horizontal="center" vertical="center"/>
    </xf>
    <xf numFmtId="0" fontId="7" fillId="4" borderId="7" xfId="0" applyFont="1" applyFill="1" applyBorder="1" applyAlignment="1" applyProtection="1">
      <alignment horizontal="center" vertical="center" wrapText="1"/>
    </xf>
    <xf numFmtId="166" fontId="7" fillId="4" borderId="7" xfId="0" applyNumberFormat="1" applyFont="1" applyFill="1" applyBorder="1" applyAlignment="1" applyProtection="1">
      <alignment horizontal="center" vertical="center" wrapText="1"/>
    </xf>
    <xf numFmtId="167" fontId="16" fillId="4" borderId="7" xfId="0" applyNumberFormat="1" applyFont="1" applyFill="1" applyBorder="1" applyAlignment="1" applyProtection="1">
      <alignment horizontal="center" vertical="center" wrapText="1"/>
    </xf>
    <xf numFmtId="4" fontId="17" fillId="0" borderId="14" xfId="0" applyNumberFormat="1" applyFont="1" applyBorder="1" applyAlignment="1" applyProtection="1">
      <alignment vertical="center"/>
    </xf>
    <xf numFmtId="0" fontId="5" fillId="0" borderId="7" xfId="0" applyFont="1" applyBorder="1" applyAlignment="1" applyProtection="1">
      <alignment horizontal="left" vertical="center" wrapText="1"/>
    </xf>
    <xf numFmtId="0" fontId="5" fillId="0" borderId="7" xfId="0" applyFont="1" applyBorder="1" applyAlignment="1" applyProtection="1">
      <alignment vertical="center" wrapText="1"/>
    </xf>
    <xf numFmtId="4" fontId="17" fillId="0" borderId="7" xfId="0" applyNumberFormat="1" applyFont="1" applyBorder="1" applyAlignment="1" applyProtection="1">
      <alignment horizontal="center" vertical="center"/>
    </xf>
    <xf numFmtId="4" fontId="17" fillId="0" borderId="14" xfId="0" applyNumberFormat="1" applyFont="1" applyBorder="1" applyAlignment="1" applyProtection="1">
      <alignment horizontal="center" vertical="center" wrapText="1"/>
    </xf>
    <xf numFmtId="0" fontId="7" fillId="15" borderId="0" xfId="0" applyFont="1" applyFill="1" applyAlignment="1" applyProtection="1">
      <alignment horizontal="left"/>
    </xf>
    <xf numFmtId="0" fontId="9" fillId="15" borderId="16" xfId="0" applyFont="1" applyFill="1" applyBorder="1" applyAlignment="1" applyProtection="1">
      <alignment vertical="center"/>
    </xf>
    <xf numFmtId="4" fontId="9" fillId="15" borderId="16" xfId="0" applyNumberFormat="1" applyFont="1" applyFill="1" applyBorder="1" applyAlignment="1" applyProtection="1">
      <alignment vertical="center"/>
    </xf>
    <xf numFmtId="0" fontId="8" fillId="15" borderId="16" xfId="0" applyFont="1" applyFill="1" applyBorder="1" applyAlignment="1" applyProtection="1">
      <alignment horizontal="center" vertical="center"/>
    </xf>
    <xf numFmtId="0" fontId="9" fillId="15" borderId="17" xfId="0" applyFont="1" applyFill="1" applyBorder="1" applyAlignment="1" applyProtection="1">
      <alignment vertical="center"/>
    </xf>
    <xf numFmtId="0" fontId="9" fillId="15" borderId="7" xfId="0" applyFont="1" applyFill="1" applyBorder="1" applyAlignment="1" applyProtection="1">
      <alignment vertical="center"/>
    </xf>
    <xf numFmtId="0" fontId="8" fillId="15" borderId="7" xfId="0" applyFont="1" applyFill="1" applyBorder="1" applyAlignment="1" applyProtection="1">
      <alignment horizontal="center" vertical="center"/>
    </xf>
    <xf numFmtId="4" fontId="8" fillId="15" borderId="7" xfId="0" applyNumberFormat="1" applyFont="1" applyFill="1" applyBorder="1" applyAlignment="1" applyProtection="1">
      <alignment horizontal="center" vertical="center"/>
    </xf>
    <xf numFmtId="0" fontId="8" fillId="15" borderId="7" xfId="0" applyFont="1" applyFill="1" applyBorder="1" applyAlignment="1" applyProtection="1">
      <alignment horizontal="center" vertical="center" wrapText="1"/>
    </xf>
    <xf numFmtId="0" fontId="3" fillId="16" borderId="7" xfId="0" applyFont="1" applyFill="1" applyBorder="1" applyAlignment="1" applyProtection="1">
      <alignment horizontal="left" vertical="top" wrapText="1"/>
    </xf>
    <xf numFmtId="0" fontId="3" fillId="16" borderId="7" xfId="0" applyFont="1" applyFill="1" applyBorder="1" applyAlignment="1" applyProtection="1">
      <alignment horizontal="center" vertical="top" wrapText="1"/>
    </xf>
    <xf numFmtId="1" fontId="3" fillId="16" borderId="7" xfId="0" applyNumberFormat="1" applyFont="1" applyFill="1" applyBorder="1" applyAlignment="1" applyProtection="1">
      <alignment vertical="top"/>
    </xf>
    <xf numFmtId="4" fontId="3" fillId="16" borderId="7" xfId="0" applyNumberFormat="1" applyFont="1" applyFill="1" applyBorder="1" applyAlignment="1" applyProtection="1">
      <alignment vertical="top"/>
    </xf>
    <xf numFmtId="2" fontId="3" fillId="16" borderId="7" xfId="0" applyNumberFormat="1" applyFont="1" applyFill="1" applyBorder="1" applyAlignment="1" applyProtection="1">
      <alignment horizontal="right" vertical="top" wrapText="1"/>
    </xf>
    <xf numFmtId="4" fontId="7" fillId="0" borderId="7" xfId="0" applyNumberFormat="1" applyFont="1" applyBorder="1" applyAlignment="1" applyProtection="1">
      <alignment horizontal="right" vertical="top" wrapText="1"/>
    </xf>
    <xf numFmtId="166" fontId="16" fillId="0" borderId="7" xfId="0" applyNumberFormat="1" applyFont="1" applyBorder="1" applyAlignment="1" applyProtection="1">
      <alignment horizontal="center" vertical="center" wrapText="1"/>
    </xf>
    <xf numFmtId="168" fontId="3" fillId="16" borderId="7" xfId="0" applyNumberFormat="1" applyFont="1" applyFill="1" applyBorder="1" applyAlignment="1" applyProtection="1">
      <alignment vertical="top"/>
    </xf>
    <xf numFmtId="4" fontId="3" fillId="16" borderId="7" xfId="0" applyNumberFormat="1" applyFont="1" applyFill="1" applyBorder="1" applyAlignment="1" applyProtection="1">
      <alignment horizontal="right" vertical="top" wrapText="1"/>
    </xf>
    <xf numFmtId="169" fontId="3" fillId="16" borderId="7" xfId="0" applyNumberFormat="1" applyFont="1" applyFill="1" applyBorder="1" applyAlignment="1" applyProtection="1">
      <alignment vertical="top"/>
    </xf>
    <xf numFmtId="2" fontId="3" fillId="16" borderId="7" xfId="0" applyNumberFormat="1" applyFont="1" applyFill="1" applyBorder="1" applyAlignment="1" applyProtection="1">
      <alignment vertical="top"/>
    </xf>
    <xf numFmtId="170" fontId="3" fillId="16" borderId="7" xfId="0" applyNumberFormat="1" applyFont="1" applyFill="1" applyBorder="1" applyAlignment="1" applyProtection="1">
      <alignment vertical="top"/>
    </xf>
    <xf numFmtId="171" fontId="3" fillId="16" borderId="7" xfId="0" applyNumberFormat="1" applyFont="1" applyFill="1" applyBorder="1" applyAlignment="1" applyProtection="1">
      <alignment vertical="top"/>
    </xf>
    <xf numFmtId="0" fontId="7" fillId="16" borderId="7" xfId="0" applyFont="1" applyFill="1" applyBorder="1" applyAlignment="1" applyProtection="1">
      <alignment horizontal="left" vertical="top" wrapText="1"/>
    </xf>
    <xf numFmtId="0" fontId="7" fillId="0" borderId="0" xfId="0" applyFont="1" applyBorder="1" applyAlignment="1" applyProtection="1"/>
    <xf numFmtId="0" fontId="16" fillId="0" borderId="0" xfId="0" applyFont="1" applyBorder="1" applyAlignment="1" applyProtection="1">
      <alignment wrapText="1"/>
    </xf>
    <xf numFmtId="4" fontId="16" fillId="0" borderId="0" xfId="0" applyNumberFormat="1" applyFont="1" applyBorder="1" applyAlignment="1" applyProtection="1">
      <alignment wrapText="1"/>
    </xf>
    <xf numFmtId="0" fontId="16" fillId="0" borderId="0" xfId="0" applyFont="1" applyBorder="1" applyAlignment="1" applyProtection="1"/>
    <xf numFmtId="0" fontId="3" fillId="0" borderId="0" xfId="0" applyFont="1" applyAlignment="1" applyProtection="1">
      <alignment horizontal="left"/>
    </xf>
    <xf numFmtId="4" fontId="3" fillId="0" borderId="0" xfId="0" applyNumberFormat="1" applyFont="1" applyAlignment="1" applyProtection="1">
      <alignment horizontal="center"/>
    </xf>
    <xf numFmtId="4" fontId="3" fillId="0" borderId="0" xfId="0" applyNumberFormat="1" applyFont="1" applyAlignment="1" applyProtection="1"/>
    <xf numFmtId="0" fontId="18" fillId="0" borderId="0" xfId="0" applyFont="1" applyAlignment="1" applyProtection="1"/>
    <xf numFmtId="0" fontId="17" fillId="0" borderId="0" xfId="0" applyFont="1" applyAlignment="1" applyProtection="1">
      <alignment horizontal="left" vertical="top" wrapText="1"/>
    </xf>
    <xf numFmtId="0" fontId="16" fillId="0" borderId="0" xfId="0" applyFont="1" applyAlignment="1" applyProtection="1"/>
    <xf numFmtId="0" fontId="16" fillId="4" borderId="10" xfId="0" applyFont="1" applyFill="1" applyBorder="1" applyAlignment="1" applyProtection="1">
      <alignment horizontal="center" vertical="center" wrapText="1"/>
    </xf>
    <xf numFmtId="0" fontId="7" fillId="0" borderId="13" xfId="0" applyFont="1" applyBorder="1" applyAlignment="1" applyProtection="1">
      <alignment horizontal="center" vertical="center"/>
    </xf>
    <xf numFmtId="2" fontId="3" fillId="0" borderId="7" xfId="0" applyNumberFormat="1" applyFont="1" applyBorder="1" applyAlignment="1" applyProtection="1">
      <alignment horizontal="center" vertical="center"/>
    </xf>
    <xf numFmtId="4" fontId="5" fillId="0" borderId="14" xfId="0" applyNumberFormat="1" applyFont="1" applyBorder="1" applyAlignment="1" applyProtection="1">
      <alignment horizontal="center" vertical="center"/>
    </xf>
    <xf numFmtId="4" fontId="16" fillId="5" borderId="14" xfId="0" applyNumberFormat="1" applyFont="1" applyFill="1" applyBorder="1" applyAlignment="1" applyProtection="1">
      <alignment horizontal="center" vertical="center" wrapText="1"/>
    </xf>
    <xf numFmtId="166" fontId="16" fillId="0" borderId="0" xfId="0" applyNumberFormat="1" applyFont="1" applyBorder="1" applyAlignment="1" applyProtection="1">
      <alignment horizontal="center" vertical="center"/>
    </xf>
    <xf numFmtId="4" fontId="18" fillId="0" borderId="0" xfId="0" applyNumberFormat="1" applyFont="1" applyAlignment="1" applyProtection="1"/>
    <xf numFmtId="0" fontId="30" fillId="0" borderId="0" xfId="0" applyFont="1" applyFill="1" applyAlignment="1" applyProtection="1"/>
    <xf numFmtId="0" fontId="32" fillId="0" borderId="0" xfId="0" applyFont="1" applyFill="1" applyAlignment="1" applyProtection="1">
      <alignment horizontal="left" vertical="top" wrapText="1"/>
    </xf>
    <xf numFmtId="0" fontId="34" fillId="0" borderId="0" xfId="0" applyFont="1" applyFill="1" applyAlignment="1" applyProtection="1"/>
    <xf numFmtId="0" fontId="34" fillId="0" borderId="8"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xf>
    <xf numFmtId="0" fontId="29" fillId="0" borderId="0" xfId="0" applyFont="1" applyFill="1" applyAlignment="1" applyProtection="1"/>
    <xf numFmtId="0" fontId="30" fillId="0" borderId="7" xfId="0" applyFont="1" applyFill="1" applyBorder="1" applyAlignment="1" applyProtection="1">
      <alignment horizontal="left" vertical="top" wrapText="1"/>
    </xf>
    <xf numFmtId="0" fontId="34" fillId="0" borderId="0" xfId="0" applyFont="1" applyFill="1" applyAlignment="1" applyProtection="1">
      <alignment horizontal="left"/>
    </xf>
    <xf numFmtId="0" fontId="12" fillId="5" borderId="6"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xf>
    <xf numFmtId="4" fontId="7" fillId="2" borderId="7" xfId="0" applyNumberFormat="1"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3" fillId="0" borderId="0" xfId="0" applyFont="1" applyBorder="1" applyAlignment="1" applyProtection="1"/>
    <xf numFmtId="0" fontId="3" fillId="0" borderId="0" xfId="0" applyFont="1" applyBorder="1" applyAlignment="1" applyProtection="1">
      <alignment wrapText="1"/>
    </xf>
    <xf numFmtId="0" fontId="4" fillId="0" borderId="0" xfId="0" applyFont="1" applyBorder="1" applyAlignment="1" applyProtection="1">
      <alignment horizontal="center" vertical="top" wrapText="1"/>
    </xf>
    <xf numFmtId="0" fontId="6" fillId="0" borderId="0" xfId="0" applyFont="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4" fontId="8" fillId="2" borderId="3" xfId="0" applyNumberFormat="1"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xf>
    <xf numFmtId="0" fontId="7" fillId="4" borderId="7" xfId="0" applyFont="1" applyFill="1" applyBorder="1" applyAlignment="1" applyProtection="1">
      <alignment horizontal="center" vertical="top"/>
    </xf>
    <xf numFmtId="0" fontId="8" fillId="0" borderId="0" xfId="0" applyFont="1" applyBorder="1" applyAlignment="1" applyProtection="1">
      <alignment horizontal="right" wrapText="1"/>
    </xf>
    <xf numFmtId="0" fontId="18" fillId="0" borderId="0" xfId="0" applyFont="1" applyBorder="1" applyAlignment="1" applyProtection="1">
      <alignment wrapText="1"/>
    </xf>
    <xf numFmtId="0" fontId="8" fillId="6" borderId="3" xfId="0" applyFont="1" applyFill="1" applyBorder="1" applyAlignment="1" applyProtection="1">
      <alignment horizontal="center" vertical="center"/>
    </xf>
    <xf numFmtId="0" fontId="9" fillId="7" borderId="5"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27" fillId="0" borderId="0" xfId="0" applyFont="1" applyBorder="1" applyAlignment="1" applyProtection="1">
      <alignment horizontal="center" vertical="top" wrapText="1"/>
    </xf>
    <xf numFmtId="0" fontId="16" fillId="0" borderId="0" xfId="0" applyFont="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16" fillId="4" borderId="2" xfId="0" applyFont="1" applyFill="1" applyBorder="1" applyAlignment="1" applyProtection="1">
      <alignment horizontal="left" vertical="center" wrapText="1"/>
    </xf>
    <xf numFmtId="0" fontId="16" fillId="4" borderId="3" xfId="0" applyFont="1" applyFill="1" applyBorder="1" applyAlignment="1" applyProtection="1">
      <alignment horizontal="center" vertical="center" wrapText="1"/>
    </xf>
    <xf numFmtId="4" fontId="17" fillId="4" borderId="3" xfId="0" applyNumberFormat="1" applyFont="1" applyFill="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0" borderId="4"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7" borderId="5" xfId="0" applyFont="1" applyFill="1" applyBorder="1" applyAlignment="1" applyProtection="1">
      <alignment horizontal="center" vertical="center" wrapText="1"/>
    </xf>
    <xf numFmtId="0" fontId="9" fillId="15" borderId="16" xfId="0" applyFont="1" applyFill="1" applyBorder="1" applyAlignment="1" applyProtection="1">
      <alignment horizontal="center" vertical="center"/>
    </xf>
    <xf numFmtId="0" fontId="18" fillId="5" borderId="6" xfId="0" applyFont="1" applyFill="1" applyBorder="1" applyAlignment="1" applyProtection="1">
      <alignment horizontal="center" vertical="center" wrapText="1"/>
    </xf>
    <xf numFmtId="0" fontId="9" fillId="14" borderId="12" xfId="0" applyFont="1" applyFill="1" applyBorder="1" applyAlignment="1" applyProtection="1">
      <alignment horizontal="center" vertical="center"/>
    </xf>
    <xf numFmtId="0" fontId="5" fillId="0" borderId="7" xfId="0" applyFont="1" applyBorder="1" applyAlignment="1" applyProtection="1">
      <alignment horizontal="center" vertical="center" wrapText="1"/>
    </xf>
    <xf numFmtId="0" fontId="9" fillId="9" borderId="12" xfId="0" applyFont="1" applyFill="1" applyBorder="1" applyAlignment="1" applyProtection="1">
      <alignment horizontal="center" vertical="center"/>
    </xf>
    <xf numFmtId="0" fontId="31" fillId="0" borderId="0" xfId="0" applyFont="1" applyFill="1" applyBorder="1" applyAlignment="1" applyProtection="1">
      <alignment horizontal="center" vertical="top" wrapText="1"/>
    </xf>
    <xf numFmtId="0" fontId="31" fillId="0" borderId="0" xfId="0" applyFont="1" applyBorder="1" applyAlignment="1" applyProtection="1">
      <alignment horizontal="center" vertical="top" wrapText="1"/>
    </xf>
    <xf numFmtId="0" fontId="33" fillId="0" borderId="0" xfId="0" applyFont="1" applyFill="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0" fontId="30" fillId="0" borderId="0" xfId="0" applyFont="1" applyFill="1" applyAlignment="1" applyProtection="1">
      <alignment horizontal="left" vertical="center"/>
    </xf>
    <xf numFmtId="0" fontId="30" fillId="0" borderId="0" xfId="0" applyFont="1" applyFill="1" applyAlignment="1" applyProtection="1">
      <alignment horizontal="center" vertical="center"/>
    </xf>
    <xf numFmtId="0" fontId="32" fillId="0" borderId="0" xfId="0" applyFont="1" applyFill="1" applyAlignment="1" applyProtection="1">
      <alignment horizontal="left" vertical="center" wrapText="1"/>
    </xf>
    <xf numFmtId="0" fontId="32" fillId="0" borderId="0" xfId="0" applyFont="1" applyFill="1" applyAlignment="1" applyProtection="1">
      <alignment horizontal="center" vertical="center" wrapText="1"/>
    </xf>
    <xf numFmtId="0" fontId="34" fillId="0" borderId="0" xfId="0" applyFont="1" applyFill="1" applyAlignment="1" applyProtection="1">
      <alignment horizontal="left" vertical="center"/>
    </xf>
    <xf numFmtId="0" fontId="34" fillId="0" borderId="0" xfId="0" applyFont="1" applyFill="1" applyAlignment="1" applyProtection="1">
      <alignment horizontal="center" vertical="center"/>
    </xf>
    <xf numFmtId="0" fontId="33" fillId="0" borderId="2"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3" fillId="0" borderId="18" xfId="0" applyFont="1" applyFill="1" applyBorder="1" applyAlignment="1" applyProtection="1">
      <alignment horizontal="center" vertical="center"/>
    </xf>
    <xf numFmtId="0" fontId="33" fillId="0" borderId="16" xfId="0" applyFont="1" applyFill="1" applyBorder="1" applyAlignment="1" applyProtection="1">
      <alignment horizontal="center" vertical="center"/>
    </xf>
    <xf numFmtId="0" fontId="33" fillId="0" borderId="16" xfId="0" applyFont="1" applyFill="1" applyBorder="1" applyAlignment="1" applyProtection="1">
      <alignment vertical="center"/>
    </xf>
    <xf numFmtId="0" fontId="30" fillId="0" borderId="7" xfId="0" applyFont="1" applyFill="1" applyBorder="1" applyAlignment="1" applyProtection="1">
      <alignment horizontal="center" vertical="top" wrapText="1"/>
    </xf>
    <xf numFmtId="4" fontId="30" fillId="0" borderId="7" xfId="0" applyNumberFormat="1" applyFont="1" applyFill="1" applyBorder="1" applyAlignment="1" applyProtection="1">
      <alignment vertical="top"/>
    </xf>
    <xf numFmtId="0" fontId="29" fillId="0" borderId="0" xfId="0" applyFont="1" applyFill="1" applyAlignment="1" applyProtection="1">
      <alignment horizontal="left" vertical="center"/>
    </xf>
    <xf numFmtId="0" fontId="29" fillId="0" borderId="0" xfId="0" applyFont="1" applyFill="1" applyAlignment="1" applyProtection="1">
      <alignment horizontal="center" vertical="center"/>
    </xf>
  </cellXfs>
  <cellStyles count="7">
    <cellStyle name="Гиперссылка" xfId="2" builtinId="8"/>
    <cellStyle name="Обычный" xfId="0" builtinId="0"/>
    <cellStyle name="Обычный 2" xfId="3"/>
    <cellStyle name="Обычный 3" xfId="4"/>
    <cellStyle name="Обычный 4" xfId="5"/>
    <cellStyle name="Обычный 5" xfId="6"/>
    <cellStyle name="Финансовый" xfId="1" builtinId="3"/>
  </cellStyles>
  <dxfs count="23">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A9D18E"/>
      <rgbColor rgb="FF8FAADC"/>
      <rgbColor rgb="FF993366"/>
      <rgbColor rgb="FFFFF2CC"/>
      <rgbColor rgb="FFDEEBF7"/>
      <rgbColor rgb="FF660066"/>
      <rgbColor rgb="FFFF8080"/>
      <rgbColor rgb="FF0563C1"/>
      <rgbColor rgb="FFD9D9D9"/>
      <rgbColor rgb="FF000080"/>
      <rgbColor rgb="FFFF00FF"/>
      <rgbColor rgb="FFFFFF00"/>
      <rgbColor rgb="FF00FFFF"/>
      <rgbColor rgb="FF800080"/>
      <rgbColor rgb="FF800000"/>
      <rgbColor rgb="FF008080"/>
      <rgbColor rgb="FF0000FF"/>
      <rgbColor rgb="FF00B0F0"/>
      <rgbColor rgb="FFF2F2F2"/>
      <rgbColor rgb="FFC5E0B4"/>
      <rgbColor rgb="FFE7E6E6"/>
      <rgbColor rgb="FF9DC3E6"/>
      <rgbColor rgb="FFEA72DC"/>
      <rgbColor rgb="FFDBDBDB"/>
      <rgbColor rgb="FFF4B183"/>
      <rgbColor rgb="FF3366FF"/>
      <rgbColor rgb="FF33CCCC"/>
      <rgbColor rgb="FF92D050"/>
      <rgbColor rgb="FFFFC000"/>
      <rgbColor rgb="FFFF9900"/>
      <rgbColor rgb="FFFF6600"/>
      <rgbColor rgb="FF666699"/>
      <rgbColor rgb="FF729FCF"/>
      <rgbColor rgb="FF003366"/>
      <rgbColor rgb="FF00B050"/>
      <rgbColor rgb="FF003300"/>
      <rgbColor rgb="FF333300"/>
      <rgbColor rgb="FFC9211E"/>
      <rgbColor rgb="FF993366"/>
      <rgbColor rgb="FF333399"/>
      <rgbColor rgb="FF222A35"/>
      <rgbColor rgb="00003366"/>
      <rgbColor rgb="00339966"/>
      <rgbColor rgb="00003300"/>
      <rgbColor rgb="00333300"/>
      <rgbColor rgb="00993300"/>
      <rgbColor rgb="00993366"/>
      <rgbColor rgb="00333399"/>
      <rgbColor rgb="00333333"/>
    </indexedColors>
    <mruColors>
      <color rgb="FF5DD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kitenergo.ru/catalog/perednie_i_zadnie_elementy_tsokolya_iz_nerzhaveyushchey_stali_za/perednie_i_zadnie_elementy_tsokolya_iz_nerzhaveyushchey_stali_za_80_00_s_v_2/"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J347"/>
  <sheetViews>
    <sheetView topLeftCell="A7" zoomScale="60" zoomScaleNormal="60" workbookViewId="0">
      <pane ySplit="4" topLeftCell="A11" activePane="bottomLeft" state="frozen"/>
      <selection activeCell="A7" sqref="A7"/>
      <selection pane="bottomLeft" activeCell="C19" activeCellId="1" sqref="J50:J51 C19"/>
    </sheetView>
  </sheetViews>
  <sheetFormatPr defaultColWidth="9.140625" defaultRowHeight="14.25" outlineLevelCol="1" x14ac:dyDescent="0.2"/>
  <cols>
    <col min="1" max="1" width="6.7109375" style="1" customWidth="1"/>
    <col min="2" max="2" width="39.7109375" style="2" customWidth="1"/>
    <col min="3" max="3" width="14.28515625" style="2" customWidth="1"/>
    <col min="4" max="4" width="15.140625" style="2" customWidth="1"/>
    <col min="5" max="5" width="14.85546875" style="3" customWidth="1"/>
    <col min="6" max="6" width="16" style="1" customWidth="1"/>
    <col min="7" max="7" width="21" style="1" customWidth="1"/>
    <col min="8" max="8" width="17.5703125" style="4" customWidth="1"/>
    <col min="9" max="9" width="17.42578125" style="1" customWidth="1"/>
    <col min="10" max="10" width="19.85546875" style="1" customWidth="1"/>
    <col min="11" max="11" width="16.28515625" style="4" customWidth="1"/>
    <col min="12" max="12" width="17.85546875" style="1" customWidth="1"/>
    <col min="13" max="13" width="20.140625" style="1" customWidth="1"/>
    <col min="14" max="14" width="17.28515625" style="4" customWidth="1"/>
    <col min="15" max="15" width="19.7109375" style="1" customWidth="1"/>
    <col min="16" max="18" width="23.42578125" style="1" customWidth="1"/>
    <col min="19" max="19" width="26" style="1" customWidth="1"/>
    <col min="20" max="20" width="9.140625" style="1"/>
    <col min="21" max="23" width="13" style="1" customWidth="1" outlineLevel="1"/>
    <col min="24" max="16384" width="9.140625" style="1"/>
  </cols>
  <sheetData>
    <row r="1" spans="1:36" x14ac:dyDescent="0.2">
      <c r="P1" s="179" t="s">
        <v>0</v>
      </c>
      <c r="Q1" s="179"/>
      <c r="R1" s="179"/>
      <c r="S1" s="179"/>
    </row>
    <row r="2" spans="1:36" ht="32.25" customHeight="1" x14ac:dyDescent="0.2">
      <c r="P2" s="180" t="s">
        <v>1</v>
      </c>
      <c r="Q2" s="180"/>
      <c r="R2" s="180"/>
      <c r="S2" s="180"/>
    </row>
    <row r="3" spans="1:36" ht="25.5" customHeight="1" x14ac:dyDescent="0.2">
      <c r="A3" s="181" t="s">
        <v>2</v>
      </c>
      <c r="B3" s="181"/>
      <c r="C3" s="181"/>
      <c r="D3" s="181"/>
      <c r="E3" s="181"/>
      <c r="F3" s="181"/>
      <c r="G3" s="181"/>
      <c r="H3" s="181"/>
      <c r="I3" s="181"/>
      <c r="J3" s="181"/>
      <c r="K3" s="181"/>
      <c r="L3" s="181"/>
      <c r="M3" s="181"/>
      <c r="N3" s="181"/>
      <c r="O3" s="181"/>
      <c r="P3" s="181"/>
      <c r="Q3" s="5"/>
      <c r="R3" s="5"/>
    </row>
    <row r="4" spans="1:36" ht="17.25" customHeight="1" x14ac:dyDescent="0.2">
      <c r="A4" s="6"/>
      <c r="B4" s="7"/>
      <c r="C4" s="7"/>
      <c r="D4" s="7"/>
      <c r="E4" s="8"/>
      <c r="F4" s="6"/>
      <c r="G4" s="6"/>
      <c r="H4" s="9"/>
      <c r="I4" s="6"/>
      <c r="J4" s="6"/>
      <c r="K4" s="9"/>
      <c r="L4" s="6"/>
      <c r="M4" s="6"/>
      <c r="N4" s="9"/>
      <c r="O4" s="6"/>
    </row>
    <row r="5" spans="1:36" s="10" customFormat="1" ht="28.5" customHeight="1" x14ac:dyDescent="0.2">
      <c r="A5" s="182" t="s">
        <v>3</v>
      </c>
      <c r="B5" s="182"/>
      <c r="C5" s="182"/>
      <c r="D5" s="182"/>
      <c r="E5" s="182"/>
      <c r="F5" s="182"/>
      <c r="G5" s="182"/>
      <c r="H5" s="182"/>
      <c r="I5" s="182"/>
      <c r="J5" s="182"/>
      <c r="K5" s="182"/>
      <c r="L5" s="182"/>
      <c r="M5" s="182"/>
      <c r="N5" s="182"/>
      <c r="O5" s="182"/>
      <c r="P5" s="182"/>
      <c r="Q5" s="182"/>
    </row>
    <row r="6" spans="1:36" s="10" customFormat="1" x14ac:dyDescent="0.2">
      <c r="B6" s="11"/>
      <c r="C6" s="11"/>
      <c r="D6" s="11"/>
      <c r="E6" s="12"/>
      <c r="H6" s="13"/>
      <c r="K6" s="13"/>
      <c r="N6" s="13"/>
    </row>
    <row r="7" spans="1:36" s="10" customFormat="1" ht="27" customHeight="1" x14ac:dyDescent="0.2">
      <c r="A7" s="183" t="s">
        <v>4</v>
      </c>
      <c r="B7" s="184" t="s">
        <v>5</v>
      </c>
      <c r="C7" s="185" t="s">
        <v>6</v>
      </c>
      <c r="D7" s="185" t="s">
        <v>7</v>
      </c>
      <c r="E7" s="186" t="s">
        <v>8</v>
      </c>
      <c r="F7" s="187" t="s">
        <v>9</v>
      </c>
      <c r="G7" s="188" t="s">
        <v>10</v>
      </c>
      <c r="H7" s="188"/>
      <c r="I7" s="188"/>
      <c r="J7" s="188" t="s">
        <v>11</v>
      </c>
      <c r="K7" s="188"/>
      <c r="L7" s="188"/>
      <c r="M7" s="192" t="s">
        <v>12</v>
      </c>
      <c r="N7" s="192"/>
      <c r="O7" s="192"/>
      <c r="P7" s="193" t="s">
        <v>13</v>
      </c>
      <c r="Q7" s="194" t="s">
        <v>14</v>
      </c>
      <c r="R7" s="193" t="s">
        <v>15</v>
      </c>
      <c r="S7" s="185" t="s">
        <v>16</v>
      </c>
      <c r="U7" s="175" t="s">
        <v>17</v>
      </c>
      <c r="V7" s="175"/>
      <c r="W7" s="175"/>
    </row>
    <row r="8" spans="1:36" s="10" customFormat="1" ht="30.75" customHeight="1" x14ac:dyDescent="0.2">
      <c r="A8" s="183"/>
      <c r="B8" s="183"/>
      <c r="C8" s="183"/>
      <c r="D8" s="183"/>
      <c r="E8" s="186"/>
      <c r="F8" s="187"/>
      <c r="G8" s="188"/>
      <c r="H8" s="188"/>
      <c r="I8" s="188"/>
      <c r="J8" s="188"/>
      <c r="K8" s="188"/>
      <c r="L8" s="188"/>
      <c r="M8" s="192"/>
      <c r="N8" s="192"/>
      <c r="O8" s="192"/>
      <c r="P8" s="193"/>
      <c r="Q8" s="194"/>
      <c r="R8" s="193"/>
      <c r="S8" s="185"/>
      <c r="U8" s="175"/>
      <c r="V8" s="175"/>
      <c r="W8" s="175"/>
    </row>
    <row r="9" spans="1:36" s="18" customFormat="1" ht="132.75" customHeight="1" x14ac:dyDescent="0.2">
      <c r="A9" s="183"/>
      <c r="B9" s="183"/>
      <c r="C9" s="185"/>
      <c r="D9" s="185"/>
      <c r="E9" s="186"/>
      <c r="F9" s="187"/>
      <c r="G9" s="14" t="s">
        <v>18</v>
      </c>
      <c r="H9" s="15" t="s">
        <v>19</v>
      </c>
      <c r="I9" s="16" t="s">
        <v>20</v>
      </c>
      <c r="J9" s="14" t="s">
        <v>18</v>
      </c>
      <c r="K9" s="15" t="s">
        <v>19</v>
      </c>
      <c r="L9" s="16" t="s">
        <v>20</v>
      </c>
      <c r="M9" s="14" t="s">
        <v>18</v>
      </c>
      <c r="N9" s="15" t="s">
        <v>21</v>
      </c>
      <c r="O9" s="16" t="s">
        <v>22</v>
      </c>
      <c r="P9" s="193"/>
      <c r="Q9" s="194"/>
      <c r="R9" s="193"/>
      <c r="S9" s="185"/>
      <c r="T9" s="10"/>
      <c r="U9" s="17" t="s">
        <v>10</v>
      </c>
      <c r="V9" s="17" t="s">
        <v>11</v>
      </c>
      <c r="W9" s="17" t="s">
        <v>12</v>
      </c>
      <c r="X9" s="10"/>
      <c r="Y9" s="10"/>
      <c r="Z9" s="10"/>
      <c r="AA9" s="10"/>
      <c r="AB9" s="10"/>
      <c r="AC9" s="10"/>
      <c r="AD9" s="10"/>
      <c r="AE9" s="10"/>
      <c r="AF9" s="10"/>
      <c r="AG9" s="10"/>
      <c r="AH9" s="10"/>
      <c r="AI9" s="10"/>
      <c r="AJ9" s="10"/>
    </row>
    <row r="10" spans="1:36" s="26" customFormat="1" ht="14.25" customHeight="1" x14ac:dyDescent="0.25">
      <c r="A10" s="19">
        <v>1</v>
      </c>
      <c r="B10" s="20">
        <v>2</v>
      </c>
      <c r="C10" s="21">
        <v>3</v>
      </c>
      <c r="D10" s="21">
        <v>4</v>
      </c>
      <c r="E10" s="22"/>
      <c r="F10" s="21"/>
      <c r="G10" s="23">
        <v>5</v>
      </c>
      <c r="H10" s="24">
        <v>6</v>
      </c>
      <c r="I10" s="20">
        <v>7</v>
      </c>
      <c r="J10" s="23">
        <v>8</v>
      </c>
      <c r="K10" s="25">
        <v>9</v>
      </c>
      <c r="L10" s="20">
        <v>10</v>
      </c>
      <c r="M10" s="23">
        <v>11</v>
      </c>
      <c r="N10" s="25">
        <v>12</v>
      </c>
      <c r="O10" s="20">
        <v>12</v>
      </c>
      <c r="P10" s="23">
        <v>15</v>
      </c>
      <c r="Q10" s="23">
        <v>16</v>
      </c>
      <c r="R10" s="23">
        <v>17</v>
      </c>
      <c r="S10" s="23">
        <v>18</v>
      </c>
      <c r="U10" s="27"/>
      <c r="V10" s="27"/>
      <c r="W10" s="27"/>
    </row>
    <row r="11" spans="1:36" s="28" customFormat="1" ht="35.25" customHeight="1" x14ac:dyDescent="0.2">
      <c r="A11" s="176" t="s">
        <v>23</v>
      </c>
      <c r="B11" s="176"/>
      <c r="C11" s="176"/>
      <c r="D11" s="176"/>
      <c r="E11" s="176"/>
      <c r="F11" s="176"/>
      <c r="G11" s="176"/>
      <c r="H11" s="176"/>
      <c r="I11" s="176"/>
      <c r="J11" s="176"/>
      <c r="K11" s="176"/>
      <c r="L11" s="176"/>
      <c r="M11" s="176"/>
      <c r="N11" s="176"/>
      <c r="O11" s="176"/>
      <c r="P11" s="176"/>
      <c r="Q11" s="176"/>
      <c r="R11" s="176"/>
      <c r="S11" s="176"/>
      <c r="U11" s="29"/>
      <c r="V11" s="29"/>
      <c r="W11" s="29"/>
    </row>
    <row r="12" spans="1:36" s="28" customFormat="1" ht="73.5" customHeight="1" x14ac:dyDescent="0.2">
      <c r="A12" s="30">
        <v>1</v>
      </c>
      <c r="B12" s="31" t="s">
        <v>24</v>
      </c>
      <c r="C12" s="32" t="s">
        <v>25</v>
      </c>
      <c r="D12" s="33">
        <v>12</v>
      </c>
      <c r="E12" s="34" t="s">
        <v>26</v>
      </c>
      <c r="F12" s="35">
        <v>211.5</v>
      </c>
      <c r="G12" s="36" t="s">
        <v>27</v>
      </c>
      <c r="H12" s="37">
        <f>241.6/1.2</f>
        <v>201.33333333333334</v>
      </c>
      <c r="I12" s="38">
        <f t="shared" ref="I12:I43" si="0">D12*H12</f>
        <v>2416</v>
      </c>
      <c r="J12" s="38" t="s">
        <v>28</v>
      </c>
      <c r="K12" s="37">
        <f>264.54/1.2</f>
        <v>220.45000000000002</v>
      </c>
      <c r="L12" s="38">
        <f t="shared" ref="L12:L75" si="1">D12*K12</f>
        <v>2645.4</v>
      </c>
      <c r="M12" s="32" t="s">
        <v>29</v>
      </c>
      <c r="N12" s="37">
        <v>214.67</v>
      </c>
      <c r="O12" s="38">
        <f t="shared" ref="O12:O75" si="2">D12*N12</f>
        <v>2576.04</v>
      </c>
      <c r="P12" s="39">
        <f t="shared" ref="P12:P75" si="3">AVERAGE(H12,K12,N12)</f>
        <v>212.15111111111113</v>
      </c>
      <c r="Q12" s="40">
        <f t="shared" ref="Q12:Q75" si="4">F12*100/P12-100</f>
        <v>-0.30690912138099691</v>
      </c>
      <c r="R12" s="39">
        <f t="shared" ref="R12:R75" si="5">D12*F12</f>
        <v>2538</v>
      </c>
      <c r="S12" s="41"/>
      <c r="U12" s="42">
        <f t="shared" ref="U12:U75" si="6">ROUND(H12*100/P12-100,0)</f>
        <v>-5</v>
      </c>
      <c r="V12" s="42">
        <f t="shared" ref="V12:V75" si="7">ROUND(K12*100/P12-100,0)</f>
        <v>4</v>
      </c>
      <c r="W12" s="42">
        <f t="shared" ref="W12:W75" si="8">ROUND(N12*100/P12-100,0)</f>
        <v>1</v>
      </c>
    </row>
    <row r="13" spans="1:36" s="28" customFormat="1" ht="73.5" customHeight="1" x14ac:dyDescent="0.2">
      <c r="A13" s="30">
        <v>2</v>
      </c>
      <c r="B13" s="31" t="s">
        <v>30</v>
      </c>
      <c r="C13" s="32" t="s">
        <v>25</v>
      </c>
      <c r="D13" s="33">
        <v>1</v>
      </c>
      <c r="E13" s="34" t="s">
        <v>26</v>
      </c>
      <c r="F13" s="35">
        <v>77750.45</v>
      </c>
      <c r="G13" s="32" t="s">
        <v>31</v>
      </c>
      <c r="H13" s="37">
        <f>89307.79/1.2</f>
        <v>74423.158333333326</v>
      </c>
      <c r="I13" s="38">
        <f t="shared" si="0"/>
        <v>74423.158333333326</v>
      </c>
      <c r="J13" s="32" t="s">
        <v>32</v>
      </c>
      <c r="K13" s="37">
        <f>107832.34/1.2</f>
        <v>89860.28333333334</v>
      </c>
      <c r="L13" s="38">
        <f t="shared" si="1"/>
        <v>89860.28333333334</v>
      </c>
      <c r="M13" s="32" t="s">
        <v>33</v>
      </c>
      <c r="N13" s="37">
        <f>82801.69/1.2</f>
        <v>69001.40833333334</v>
      </c>
      <c r="O13" s="38">
        <f t="shared" si="2"/>
        <v>69001.40833333334</v>
      </c>
      <c r="P13" s="39">
        <f t="shared" si="3"/>
        <v>77761.616666666654</v>
      </c>
      <c r="Q13" s="40">
        <f t="shared" si="4"/>
        <v>-1.4360126686312924E-2</v>
      </c>
      <c r="R13" s="39">
        <f t="shared" si="5"/>
        <v>77750.45</v>
      </c>
      <c r="S13" s="41"/>
      <c r="U13" s="42">
        <f t="shared" si="6"/>
        <v>-4</v>
      </c>
      <c r="V13" s="42">
        <f t="shared" si="7"/>
        <v>16</v>
      </c>
      <c r="W13" s="42">
        <f t="shared" si="8"/>
        <v>-11</v>
      </c>
      <c r="Y13" s="28">
        <v>2</v>
      </c>
    </row>
    <row r="14" spans="1:36" s="28" customFormat="1" ht="73.5" customHeight="1" x14ac:dyDescent="0.2">
      <c r="A14" s="30">
        <v>3</v>
      </c>
      <c r="B14" s="31" t="s">
        <v>34</v>
      </c>
      <c r="C14" s="32" t="s">
        <v>25</v>
      </c>
      <c r="D14" s="33">
        <v>1</v>
      </c>
      <c r="E14" s="34" t="s">
        <v>26</v>
      </c>
      <c r="F14" s="35">
        <v>84551</v>
      </c>
      <c r="G14" s="32" t="s">
        <v>31</v>
      </c>
      <c r="H14" s="37">
        <f>99534.53/1.2</f>
        <v>82945.441666666666</v>
      </c>
      <c r="I14" s="38">
        <f t="shared" si="0"/>
        <v>82945.441666666666</v>
      </c>
      <c r="J14" s="32" t="s">
        <v>32</v>
      </c>
      <c r="K14" s="37">
        <f>115890.88/1.2</f>
        <v>96575.733333333337</v>
      </c>
      <c r="L14" s="38">
        <f t="shared" si="1"/>
        <v>96575.733333333337</v>
      </c>
      <c r="M14" s="32" t="s">
        <v>33</v>
      </c>
      <c r="N14" s="37">
        <f>88990.14/1.2</f>
        <v>74158.45</v>
      </c>
      <c r="O14" s="38">
        <f t="shared" si="2"/>
        <v>74158.45</v>
      </c>
      <c r="P14" s="39">
        <f t="shared" si="3"/>
        <v>84559.875</v>
      </c>
      <c r="Q14" s="40">
        <f t="shared" si="4"/>
        <v>-1.0495521664381613E-2</v>
      </c>
      <c r="R14" s="39">
        <f t="shared" si="5"/>
        <v>84551</v>
      </c>
      <c r="S14" s="41"/>
      <c r="U14" s="42">
        <f t="shared" si="6"/>
        <v>-2</v>
      </c>
      <c r="V14" s="42">
        <f t="shared" si="7"/>
        <v>14</v>
      </c>
      <c r="W14" s="42">
        <f t="shared" si="8"/>
        <v>-12</v>
      </c>
      <c r="Y14" s="28">
        <v>3</v>
      </c>
    </row>
    <row r="15" spans="1:36" s="28" customFormat="1" ht="73.5" customHeight="1" x14ac:dyDescent="0.2">
      <c r="A15" s="30">
        <v>4</v>
      </c>
      <c r="B15" s="31" t="s">
        <v>35</v>
      </c>
      <c r="C15" s="32" t="s">
        <v>25</v>
      </c>
      <c r="D15" s="33">
        <v>1</v>
      </c>
      <c r="E15" s="34" t="s">
        <v>26</v>
      </c>
      <c r="F15" s="35">
        <v>155.25</v>
      </c>
      <c r="G15" s="32" t="s">
        <v>27</v>
      </c>
      <c r="H15" s="37">
        <f>177.86/1.2</f>
        <v>148.2166666666667</v>
      </c>
      <c r="I15" s="38">
        <f t="shared" si="0"/>
        <v>148.2166666666667</v>
      </c>
      <c r="J15" s="38" t="s">
        <v>28</v>
      </c>
      <c r="K15" s="37">
        <v>165.48</v>
      </c>
      <c r="L15" s="38">
        <f t="shared" si="1"/>
        <v>165.48</v>
      </c>
      <c r="M15" s="32" t="s">
        <v>29</v>
      </c>
      <c r="N15" s="37">
        <v>159.71</v>
      </c>
      <c r="O15" s="38">
        <f t="shared" si="2"/>
        <v>159.71</v>
      </c>
      <c r="P15" s="39">
        <f t="shared" si="3"/>
        <v>157.80222222222224</v>
      </c>
      <c r="Q15" s="40">
        <f t="shared" si="4"/>
        <v>-1.6173550576671403</v>
      </c>
      <c r="R15" s="39">
        <f t="shared" si="5"/>
        <v>155.25</v>
      </c>
      <c r="S15" s="41"/>
      <c r="U15" s="42">
        <f t="shared" si="6"/>
        <v>-6</v>
      </c>
      <c r="V15" s="42">
        <f t="shared" si="7"/>
        <v>5</v>
      </c>
      <c r="W15" s="42">
        <f t="shared" si="8"/>
        <v>1</v>
      </c>
      <c r="Y15" s="28">
        <v>4</v>
      </c>
    </row>
    <row r="16" spans="1:36" s="28" customFormat="1" ht="73.5" customHeight="1" x14ac:dyDescent="0.2">
      <c r="A16" s="30">
        <v>5</v>
      </c>
      <c r="B16" s="31" t="s">
        <v>36</v>
      </c>
      <c r="C16" s="32" t="s">
        <v>25</v>
      </c>
      <c r="D16" s="33">
        <v>2</v>
      </c>
      <c r="E16" s="34" t="s">
        <v>26</v>
      </c>
      <c r="F16" s="35">
        <v>1088.6500000000001</v>
      </c>
      <c r="G16" s="32" t="s">
        <v>27</v>
      </c>
      <c r="H16" s="37">
        <f>1302.94/1.2</f>
        <v>1085.7833333333335</v>
      </c>
      <c r="I16" s="38">
        <f t="shared" si="0"/>
        <v>2171.5666666666671</v>
      </c>
      <c r="J16" s="38" t="s">
        <v>28</v>
      </c>
      <c r="K16" s="37">
        <v>1070.69</v>
      </c>
      <c r="L16" s="38">
        <f t="shared" si="1"/>
        <v>2141.38</v>
      </c>
      <c r="M16" s="32" t="s">
        <v>29</v>
      </c>
      <c r="N16" s="37">
        <v>1115.47</v>
      </c>
      <c r="O16" s="38">
        <f t="shared" si="2"/>
        <v>2230.94</v>
      </c>
      <c r="P16" s="39">
        <f t="shared" si="3"/>
        <v>1090.6477777777779</v>
      </c>
      <c r="Q16" s="40">
        <f t="shared" si="4"/>
        <v>-0.18317350646863417</v>
      </c>
      <c r="R16" s="39">
        <f t="shared" si="5"/>
        <v>2177.3000000000002</v>
      </c>
      <c r="S16" s="41"/>
      <c r="U16" s="42">
        <f t="shared" si="6"/>
        <v>0</v>
      </c>
      <c r="V16" s="42">
        <f t="shared" si="7"/>
        <v>-2</v>
      </c>
      <c r="W16" s="42">
        <f t="shared" si="8"/>
        <v>2</v>
      </c>
      <c r="Y16" s="28">
        <v>5</v>
      </c>
    </row>
    <row r="17" spans="1:25" s="28" customFormat="1" ht="73.5" customHeight="1" x14ac:dyDescent="0.2">
      <c r="A17" s="30">
        <v>6</v>
      </c>
      <c r="B17" s="31" t="s">
        <v>37</v>
      </c>
      <c r="C17" s="32" t="s">
        <v>25</v>
      </c>
      <c r="D17" s="33">
        <v>12</v>
      </c>
      <c r="E17" s="34" t="s">
        <v>26</v>
      </c>
      <c r="F17" s="35">
        <v>810.4</v>
      </c>
      <c r="G17" s="32" t="s">
        <v>27</v>
      </c>
      <c r="H17" s="37">
        <f>957.31/1.2</f>
        <v>797.75833333333333</v>
      </c>
      <c r="I17" s="38">
        <f t="shared" si="0"/>
        <v>9573.1</v>
      </c>
      <c r="J17" s="38" t="s">
        <v>28</v>
      </c>
      <c r="K17" s="37">
        <v>850.7</v>
      </c>
      <c r="L17" s="38">
        <f t="shared" si="1"/>
        <v>10208.400000000001</v>
      </c>
      <c r="M17" s="32" t="s">
        <v>29</v>
      </c>
      <c r="N17" s="37">
        <v>786.42</v>
      </c>
      <c r="O17" s="38">
        <f t="shared" si="2"/>
        <v>9437.0399999999991</v>
      </c>
      <c r="P17" s="39">
        <f t="shared" si="3"/>
        <v>811.62611111111119</v>
      </c>
      <c r="Q17" s="40">
        <f t="shared" si="4"/>
        <v>-0.15106846543325503</v>
      </c>
      <c r="R17" s="39">
        <f t="shared" si="5"/>
        <v>9724.7999999999993</v>
      </c>
      <c r="S17" s="41"/>
      <c r="U17" s="42">
        <f t="shared" si="6"/>
        <v>-2</v>
      </c>
      <c r="V17" s="42">
        <f t="shared" si="7"/>
        <v>5</v>
      </c>
      <c r="W17" s="42">
        <f t="shared" si="8"/>
        <v>-3</v>
      </c>
      <c r="Y17" s="28">
        <v>6</v>
      </c>
    </row>
    <row r="18" spans="1:25" s="28" customFormat="1" ht="73.5" customHeight="1" x14ac:dyDescent="0.2">
      <c r="A18" s="30">
        <v>7</v>
      </c>
      <c r="B18" s="31" t="s">
        <v>38</v>
      </c>
      <c r="C18" s="32" t="s">
        <v>25</v>
      </c>
      <c r="D18" s="33">
        <v>4</v>
      </c>
      <c r="E18" s="34">
        <v>3583.33</v>
      </c>
      <c r="F18" s="35">
        <v>4105.6000000000004</v>
      </c>
      <c r="G18" s="32" t="s">
        <v>39</v>
      </c>
      <c r="H18" s="37">
        <v>3911.74</v>
      </c>
      <c r="I18" s="38">
        <f t="shared" si="0"/>
        <v>15646.96</v>
      </c>
      <c r="J18" s="32" t="s">
        <v>40</v>
      </c>
      <c r="K18" s="37">
        <f>5150/1.2</f>
        <v>4291.666666666667</v>
      </c>
      <c r="L18" s="38">
        <f t="shared" si="1"/>
        <v>17166.666666666668</v>
      </c>
      <c r="M18" s="38" t="s">
        <v>41</v>
      </c>
      <c r="N18" s="37">
        <f>4944.77/1.2</f>
        <v>4120.6416666666673</v>
      </c>
      <c r="O18" s="38">
        <f t="shared" si="2"/>
        <v>16482.566666666669</v>
      </c>
      <c r="P18" s="39">
        <f t="shared" si="3"/>
        <v>4108.0161111111111</v>
      </c>
      <c r="Q18" s="40">
        <f t="shared" si="4"/>
        <v>-5.8814548087468665E-2</v>
      </c>
      <c r="R18" s="39">
        <f t="shared" si="5"/>
        <v>16422.400000000001</v>
      </c>
      <c r="S18" s="41"/>
      <c r="U18" s="42">
        <f t="shared" si="6"/>
        <v>-5</v>
      </c>
      <c r="V18" s="42">
        <f t="shared" si="7"/>
        <v>4</v>
      </c>
      <c r="W18" s="42">
        <f t="shared" si="8"/>
        <v>0</v>
      </c>
      <c r="Y18" s="28">
        <v>7</v>
      </c>
    </row>
    <row r="19" spans="1:25" s="28" customFormat="1" ht="73.5" customHeight="1" x14ac:dyDescent="0.2">
      <c r="A19" s="30">
        <v>8</v>
      </c>
      <c r="B19" s="31" t="s">
        <v>42</v>
      </c>
      <c r="C19" s="32" t="s">
        <v>25</v>
      </c>
      <c r="D19" s="33" t="s">
        <v>43</v>
      </c>
      <c r="E19" s="34" t="s">
        <v>26</v>
      </c>
      <c r="F19" s="35">
        <v>5173.66</v>
      </c>
      <c r="G19" s="32" t="s">
        <v>27</v>
      </c>
      <c r="H19" s="37">
        <f>6183.86/1.2</f>
        <v>5153.2166666666662</v>
      </c>
      <c r="I19" s="38">
        <f t="shared" si="0"/>
        <v>288580.1333333333</v>
      </c>
      <c r="J19" s="38" t="s">
        <v>28</v>
      </c>
      <c r="K19" s="37">
        <v>5129.75</v>
      </c>
      <c r="L19" s="38">
        <f t="shared" si="1"/>
        <v>287266</v>
      </c>
      <c r="M19" s="32" t="s">
        <v>29</v>
      </c>
      <c r="N19" s="37">
        <v>5251.46</v>
      </c>
      <c r="O19" s="38">
        <f t="shared" si="2"/>
        <v>294081.76</v>
      </c>
      <c r="P19" s="39">
        <f t="shared" si="3"/>
        <v>5178.1422222222218</v>
      </c>
      <c r="Q19" s="40">
        <f t="shared" si="4"/>
        <v>-8.6560430939613298E-2</v>
      </c>
      <c r="R19" s="39">
        <f t="shared" si="5"/>
        <v>289724.95999999996</v>
      </c>
      <c r="S19" s="41"/>
      <c r="U19" s="42">
        <f t="shared" si="6"/>
        <v>0</v>
      </c>
      <c r="V19" s="42">
        <f t="shared" si="7"/>
        <v>-1</v>
      </c>
      <c r="W19" s="42">
        <f t="shared" si="8"/>
        <v>1</v>
      </c>
      <c r="Y19" s="28">
        <v>8</v>
      </c>
    </row>
    <row r="20" spans="1:25" s="28" customFormat="1" ht="73.5" customHeight="1" x14ac:dyDescent="0.2">
      <c r="A20" s="30">
        <v>9</v>
      </c>
      <c r="B20" s="31" t="s">
        <v>44</v>
      </c>
      <c r="C20" s="32" t="s">
        <v>45</v>
      </c>
      <c r="D20" s="33">
        <v>24.9</v>
      </c>
      <c r="E20" s="34">
        <v>1431.56</v>
      </c>
      <c r="F20" s="35">
        <v>2000</v>
      </c>
      <c r="G20" s="32" t="s">
        <v>39</v>
      </c>
      <c r="H20" s="37">
        <f>123.52*1000/65</f>
        <v>1900.3076923076924</v>
      </c>
      <c r="I20" s="38">
        <f t="shared" si="0"/>
        <v>47317.661538461536</v>
      </c>
      <c r="J20" s="32" t="s">
        <v>46</v>
      </c>
      <c r="K20" s="37">
        <v>2005.78</v>
      </c>
      <c r="L20" s="38">
        <f t="shared" si="1"/>
        <v>49943.921999999999</v>
      </c>
      <c r="M20" s="38" t="s">
        <v>41</v>
      </c>
      <c r="N20" s="37">
        <f>2520.94/1.2</f>
        <v>2100.7833333333333</v>
      </c>
      <c r="O20" s="38">
        <f t="shared" si="2"/>
        <v>52309.504999999997</v>
      </c>
      <c r="P20" s="39">
        <f t="shared" si="3"/>
        <v>2002.2903418803417</v>
      </c>
      <c r="Q20" s="40">
        <f t="shared" si="4"/>
        <v>-0.11438610237668456</v>
      </c>
      <c r="R20" s="39">
        <f t="shared" si="5"/>
        <v>49800</v>
      </c>
      <c r="S20" s="41"/>
      <c r="U20" s="42">
        <f t="shared" si="6"/>
        <v>-5</v>
      </c>
      <c r="V20" s="42">
        <f t="shared" si="7"/>
        <v>0</v>
      </c>
      <c r="W20" s="42">
        <f t="shared" si="8"/>
        <v>5</v>
      </c>
      <c r="Y20" s="28">
        <v>9</v>
      </c>
    </row>
    <row r="21" spans="1:25" s="28" customFormat="1" ht="73.5" customHeight="1" x14ac:dyDescent="0.2">
      <c r="A21" s="30">
        <v>10</v>
      </c>
      <c r="B21" s="31" t="s">
        <v>47</v>
      </c>
      <c r="C21" s="32" t="s">
        <v>25</v>
      </c>
      <c r="D21" s="33">
        <v>1</v>
      </c>
      <c r="E21" s="34" t="s">
        <v>26</v>
      </c>
      <c r="F21" s="35">
        <v>227.1</v>
      </c>
      <c r="G21" s="32" t="s">
        <v>27</v>
      </c>
      <c r="H21" s="37">
        <f>272.44/1.2</f>
        <v>227.03333333333333</v>
      </c>
      <c r="I21" s="38">
        <f t="shared" si="0"/>
        <v>227.03333333333333</v>
      </c>
      <c r="J21" s="38" t="s">
        <v>28</v>
      </c>
      <c r="K21" s="37">
        <v>219.78</v>
      </c>
      <c r="L21" s="38">
        <f t="shared" si="1"/>
        <v>219.78</v>
      </c>
      <c r="M21" s="32" t="s">
        <v>29</v>
      </c>
      <c r="N21" s="37">
        <v>235.12</v>
      </c>
      <c r="O21" s="38">
        <f t="shared" si="2"/>
        <v>235.12</v>
      </c>
      <c r="P21" s="39">
        <f t="shared" si="3"/>
        <v>227.31111111111113</v>
      </c>
      <c r="Q21" s="40">
        <f t="shared" si="4"/>
        <v>-9.2873203636727908E-2</v>
      </c>
      <c r="R21" s="39">
        <f t="shared" si="5"/>
        <v>227.1</v>
      </c>
      <c r="S21" s="41"/>
      <c r="U21" s="42">
        <f t="shared" si="6"/>
        <v>0</v>
      </c>
      <c r="V21" s="42">
        <f t="shared" si="7"/>
        <v>-3</v>
      </c>
      <c r="W21" s="42">
        <f t="shared" si="8"/>
        <v>3</v>
      </c>
      <c r="Y21" s="28">
        <v>10</v>
      </c>
    </row>
    <row r="22" spans="1:25" s="28" customFormat="1" ht="73.5" customHeight="1" x14ac:dyDescent="0.2">
      <c r="A22" s="30">
        <v>11</v>
      </c>
      <c r="B22" s="31" t="s">
        <v>48</v>
      </c>
      <c r="C22" s="32" t="s">
        <v>25</v>
      </c>
      <c r="D22" s="33">
        <v>1</v>
      </c>
      <c r="E22" s="34" t="s">
        <v>26</v>
      </c>
      <c r="F22" s="35">
        <v>261.5</v>
      </c>
      <c r="G22" s="32" t="s">
        <v>27</v>
      </c>
      <c r="H22" s="37">
        <f>311.2/1.2</f>
        <v>259.33333333333331</v>
      </c>
      <c r="I22" s="38">
        <f t="shared" si="0"/>
        <v>259.33333333333331</v>
      </c>
      <c r="J22" s="38" t="s">
        <v>28</v>
      </c>
      <c r="K22" s="37">
        <v>255.13</v>
      </c>
      <c r="L22" s="38">
        <f t="shared" si="1"/>
        <v>255.13</v>
      </c>
      <c r="M22" s="32" t="s">
        <v>29</v>
      </c>
      <c r="N22" s="37">
        <v>272.39999999999998</v>
      </c>
      <c r="O22" s="38">
        <f t="shared" si="2"/>
        <v>272.39999999999998</v>
      </c>
      <c r="P22" s="39">
        <f t="shared" si="3"/>
        <v>262.28777777777776</v>
      </c>
      <c r="Q22" s="40">
        <f t="shared" si="4"/>
        <v>-0.30034864165314445</v>
      </c>
      <c r="R22" s="39">
        <f t="shared" si="5"/>
        <v>261.5</v>
      </c>
      <c r="S22" s="41"/>
      <c r="U22" s="42">
        <f t="shared" si="6"/>
        <v>-1</v>
      </c>
      <c r="V22" s="42">
        <f t="shared" si="7"/>
        <v>-3</v>
      </c>
      <c r="W22" s="42">
        <f t="shared" si="8"/>
        <v>4</v>
      </c>
      <c r="Y22" s="28">
        <v>11</v>
      </c>
    </row>
    <row r="23" spans="1:25" s="28" customFormat="1" ht="73.5" customHeight="1" x14ac:dyDescent="0.2">
      <c r="A23" s="30">
        <v>12</v>
      </c>
      <c r="B23" s="31" t="s">
        <v>49</v>
      </c>
      <c r="C23" s="32" t="s">
        <v>25</v>
      </c>
      <c r="D23" s="33">
        <v>61</v>
      </c>
      <c r="E23" s="34" t="s">
        <v>26</v>
      </c>
      <c r="F23" s="35">
        <v>501.3</v>
      </c>
      <c r="G23" s="32" t="s">
        <v>27</v>
      </c>
      <c r="H23" s="37">
        <f>588.83/1.2</f>
        <v>490.69166666666672</v>
      </c>
      <c r="I23" s="38">
        <f t="shared" si="0"/>
        <v>29932.191666666669</v>
      </c>
      <c r="J23" s="38" t="s">
        <v>28</v>
      </c>
      <c r="K23" s="37">
        <v>536.87</v>
      </c>
      <c r="L23" s="38">
        <f t="shared" si="1"/>
        <v>32749.07</v>
      </c>
      <c r="M23" s="32" t="s">
        <v>29</v>
      </c>
      <c r="N23" s="37">
        <v>480.65</v>
      </c>
      <c r="O23" s="38">
        <f t="shared" si="2"/>
        <v>29319.649999999998</v>
      </c>
      <c r="P23" s="39">
        <f t="shared" si="3"/>
        <v>502.73722222222221</v>
      </c>
      <c r="Q23" s="40">
        <f t="shared" si="4"/>
        <v>-0.28587941347754509</v>
      </c>
      <c r="R23" s="39">
        <f t="shared" si="5"/>
        <v>30579.3</v>
      </c>
      <c r="S23" s="41"/>
      <c r="U23" s="42">
        <f t="shared" si="6"/>
        <v>-2</v>
      </c>
      <c r="V23" s="42">
        <f t="shared" si="7"/>
        <v>7</v>
      </c>
      <c r="W23" s="42">
        <f t="shared" si="8"/>
        <v>-4</v>
      </c>
      <c r="Y23" s="28">
        <v>12</v>
      </c>
    </row>
    <row r="24" spans="1:25" s="28" customFormat="1" ht="73.5" customHeight="1" x14ac:dyDescent="0.2">
      <c r="A24" s="30">
        <v>13</v>
      </c>
      <c r="B24" s="31" t="s">
        <v>50</v>
      </c>
      <c r="C24" s="32" t="s">
        <v>25</v>
      </c>
      <c r="D24" s="33">
        <v>107</v>
      </c>
      <c r="E24" s="34" t="s">
        <v>26</v>
      </c>
      <c r="F24" s="35">
        <v>487.5</v>
      </c>
      <c r="G24" s="32" t="s">
        <v>27</v>
      </c>
      <c r="H24" s="37">
        <f>569.51/1.2</f>
        <v>474.5916666666667</v>
      </c>
      <c r="I24" s="38">
        <f t="shared" si="0"/>
        <v>50781.308333333334</v>
      </c>
      <c r="J24" s="38" t="s">
        <v>28</v>
      </c>
      <c r="K24" s="37">
        <f>640.09/1.2</f>
        <v>533.40833333333342</v>
      </c>
      <c r="L24" s="38">
        <f t="shared" si="1"/>
        <v>57074.691666666673</v>
      </c>
      <c r="M24" s="32" t="s">
        <v>29</v>
      </c>
      <c r="N24" s="37">
        <v>460.72</v>
      </c>
      <c r="O24" s="38">
        <f t="shared" si="2"/>
        <v>49297.04</v>
      </c>
      <c r="P24" s="39">
        <f t="shared" si="3"/>
        <v>489.57333333333344</v>
      </c>
      <c r="Q24" s="40">
        <f t="shared" si="4"/>
        <v>-0.42349801187430103</v>
      </c>
      <c r="R24" s="39">
        <f t="shared" si="5"/>
        <v>52162.5</v>
      </c>
      <c r="S24" s="41"/>
      <c r="U24" s="42">
        <f t="shared" si="6"/>
        <v>-3</v>
      </c>
      <c r="V24" s="42">
        <f t="shared" si="7"/>
        <v>9</v>
      </c>
      <c r="W24" s="42">
        <f t="shared" si="8"/>
        <v>-6</v>
      </c>
      <c r="Y24" s="28">
        <v>13</v>
      </c>
    </row>
    <row r="25" spans="1:25" s="28" customFormat="1" ht="73.5" customHeight="1" x14ac:dyDescent="0.2">
      <c r="A25" s="30">
        <v>14</v>
      </c>
      <c r="B25" s="31" t="s">
        <v>51</v>
      </c>
      <c r="C25" s="32" t="s">
        <v>25</v>
      </c>
      <c r="D25" s="33">
        <v>2</v>
      </c>
      <c r="E25" s="34" t="s">
        <v>26</v>
      </c>
      <c r="F25" s="35">
        <v>1920.6</v>
      </c>
      <c r="G25" s="32" t="s">
        <v>27</v>
      </c>
      <c r="H25" s="37">
        <f>2205.97/1.2</f>
        <v>1838.3083333333332</v>
      </c>
      <c r="I25" s="38">
        <f t="shared" si="0"/>
        <v>3676.6166666666663</v>
      </c>
      <c r="J25" s="38" t="s">
        <v>28</v>
      </c>
      <c r="K25" s="37">
        <v>1945.34</v>
      </c>
      <c r="L25" s="38">
        <f t="shared" si="1"/>
        <v>3890.68</v>
      </c>
      <c r="M25" s="32" t="s">
        <v>29</v>
      </c>
      <c r="N25" s="37">
        <v>1990.71</v>
      </c>
      <c r="O25" s="38">
        <f t="shared" si="2"/>
        <v>3981.42</v>
      </c>
      <c r="P25" s="39">
        <f t="shared" si="3"/>
        <v>1924.7861111111113</v>
      </c>
      <c r="Q25" s="40">
        <f t="shared" si="4"/>
        <v>-0.21748448240280993</v>
      </c>
      <c r="R25" s="39">
        <f t="shared" si="5"/>
        <v>3841.2</v>
      </c>
      <c r="S25" s="41"/>
      <c r="U25" s="42">
        <f t="shared" si="6"/>
        <v>-4</v>
      </c>
      <c r="V25" s="42">
        <f t="shared" si="7"/>
        <v>1</v>
      </c>
      <c r="W25" s="42">
        <f t="shared" si="8"/>
        <v>3</v>
      </c>
      <c r="Y25" s="28">
        <v>14</v>
      </c>
    </row>
    <row r="26" spans="1:25" s="28" customFormat="1" ht="73.5" customHeight="1" x14ac:dyDescent="0.2">
      <c r="A26" s="30">
        <v>15</v>
      </c>
      <c r="B26" s="31" t="s">
        <v>52</v>
      </c>
      <c r="C26" s="32" t="s">
        <v>53</v>
      </c>
      <c r="D26" s="33">
        <v>240</v>
      </c>
      <c r="E26" s="34">
        <v>225.49</v>
      </c>
      <c r="F26" s="35">
        <v>331.49</v>
      </c>
      <c r="G26" s="32" t="s">
        <v>54</v>
      </c>
      <c r="H26" s="37">
        <v>323.02</v>
      </c>
      <c r="I26" s="38">
        <f t="shared" si="0"/>
        <v>77524.799999999988</v>
      </c>
      <c r="J26" s="32" t="s">
        <v>46</v>
      </c>
      <c r="K26" s="37">
        <v>355.87</v>
      </c>
      <c r="L26" s="38">
        <f t="shared" si="1"/>
        <v>85408.8</v>
      </c>
      <c r="M26" s="38" t="s">
        <v>41</v>
      </c>
      <c r="N26" s="37">
        <v>317.56</v>
      </c>
      <c r="O26" s="38">
        <f t="shared" si="2"/>
        <v>76214.399999999994</v>
      </c>
      <c r="P26" s="39">
        <f t="shared" si="3"/>
        <v>332.15000000000003</v>
      </c>
      <c r="Q26" s="40">
        <f t="shared" si="4"/>
        <v>-0.19870540418486371</v>
      </c>
      <c r="R26" s="39">
        <f t="shared" si="5"/>
        <v>79557.600000000006</v>
      </c>
      <c r="S26" s="41"/>
      <c r="U26" s="42">
        <f t="shared" si="6"/>
        <v>-3</v>
      </c>
      <c r="V26" s="42">
        <f t="shared" si="7"/>
        <v>7</v>
      </c>
      <c r="W26" s="42">
        <f t="shared" si="8"/>
        <v>-4</v>
      </c>
      <c r="Y26" s="28">
        <v>15</v>
      </c>
    </row>
    <row r="27" spans="1:25" s="28" customFormat="1" ht="73.5" customHeight="1" x14ac:dyDescent="0.2">
      <c r="A27" s="30">
        <v>16</v>
      </c>
      <c r="B27" s="31" t="s">
        <v>55</v>
      </c>
      <c r="C27" s="32" t="s">
        <v>25</v>
      </c>
      <c r="D27" s="33">
        <v>2</v>
      </c>
      <c r="E27" s="34">
        <v>15416.67</v>
      </c>
      <c r="F27" s="35">
        <v>19052</v>
      </c>
      <c r="G27" s="32" t="s">
        <v>56</v>
      </c>
      <c r="H27" s="37">
        <v>19820.740000000002</v>
      </c>
      <c r="I27" s="38">
        <f t="shared" si="0"/>
        <v>39641.480000000003</v>
      </c>
      <c r="J27" s="32" t="s">
        <v>57</v>
      </c>
      <c r="K27" s="37">
        <v>19276.63</v>
      </c>
      <c r="L27" s="38">
        <f t="shared" si="1"/>
        <v>38553.26</v>
      </c>
      <c r="M27" s="32" t="s">
        <v>58</v>
      </c>
      <c r="N27" s="37">
        <v>18175.310000000001</v>
      </c>
      <c r="O27" s="38">
        <f t="shared" si="2"/>
        <v>36350.620000000003</v>
      </c>
      <c r="P27" s="39">
        <f t="shared" si="3"/>
        <v>19090.893333333337</v>
      </c>
      <c r="Q27" s="40">
        <f t="shared" si="4"/>
        <v>-0.2037271522827524</v>
      </c>
      <c r="R27" s="39">
        <f t="shared" si="5"/>
        <v>38104</v>
      </c>
      <c r="S27" s="41"/>
      <c r="U27" s="42">
        <f t="shared" si="6"/>
        <v>4</v>
      </c>
      <c r="V27" s="42">
        <f t="shared" si="7"/>
        <v>1</v>
      </c>
      <c r="W27" s="42">
        <f t="shared" si="8"/>
        <v>-5</v>
      </c>
      <c r="Y27" s="28">
        <v>16</v>
      </c>
    </row>
    <row r="28" spans="1:25" s="28" customFormat="1" ht="73.5" customHeight="1" x14ac:dyDescent="0.2">
      <c r="A28" s="30">
        <v>17</v>
      </c>
      <c r="B28" s="31" t="s">
        <v>59</v>
      </c>
      <c r="C28" s="32" t="s">
        <v>25</v>
      </c>
      <c r="D28" s="33">
        <v>84</v>
      </c>
      <c r="E28" s="34" t="s">
        <v>26</v>
      </c>
      <c r="F28" s="35">
        <v>29.9</v>
      </c>
      <c r="G28" s="32" t="s">
        <v>39</v>
      </c>
      <c r="H28" s="37">
        <v>27.94</v>
      </c>
      <c r="I28" s="38">
        <f t="shared" si="0"/>
        <v>2346.96</v>
      </c>
      <c r="J28" s="32" t="s">
        <v>54</v>
      </c>
      <c r="K28" s="37">
        <v>29.88</v>
      </c>
      <c r="L28" s="38">
        <f t="shared" si="1"/>
        <v>2509.92</v>
      </c>
      <c r="M28" s="38" t="s">
        <v>41</v>
      </c>
      <c r="N28" s="37">
        <v>32.450000000000003</v>
      </c>
      <c r="O28" s="38">
        <f t="shared" si="2"/>
        <v>2725.8</v>
      </c>
      <c r="P28" s="39">
        <f t="shared" si="3"/>
        <v>30.090000000000003</v>
      </c>
      <c r="Q28" s="40">
        <f t="shared" si="4"/>
        <v>-0.63143901628448873</v>
      </c>
      <c r="R28" s="39">
        <f t="shared" si="5"/>
        <v>2511.6</v>
      </c>
      <c r="S28" s="41"/>
      <c r="U28" s="42">
        <f t="shared" si="6"/>
        <v>-7</v>
      </c>
      <c r="V28" s="42">
        <f t="shared" si="7"/>
        <v>-1</v>
      </c>
      <c r="W28" s="42">
        <f t="shared" si="8"/>
        <v>8</v>
      </c>
      <c r="Y28" s="28">
        <v>17</v>
      </c>
    </row>
    <row r="29" spans="1:25" s="28" customFormat="1" ht="73.5" customHeight="1" x14ac:dyDescent="0.2">
      <c r="A29" s="30">
        <v>18</v>
      </c>
      <c r="B29" s="31" t="s">
        <v>60</v>
      </c>
      <c r="C29" s="32" t="s">
        <v>25</v>
      </c>
      <c r="D29" s="33">
        <v>4</v>
      </c>
      <c r="E29" s="34">
        <v>442.16</v>
      </c>
      <c r="F29" s="35">
        <v>477.5</v>
      </c>
      <c r="G29" s="32" t="s">
        <v>27</v>
      </c>
      <c r="H29" s="37">
        <f>557.23/1.2</f>
        <v>464.35833333333335</v>
      </c>
      <c r="I29" s="38">
        <f t="shared" si="0"/>
        <v>1857.4333333333334</v>
      </c>
      <c r="J29" s="38" t="s">
        <v>28</v>
      </c>
      <c r="K29" s="37">
        <v>515.64</v>
      </c>
      <c r="L29" s="38">
        <f t="shared" si="1"/>
        <v>2062.56</v>
      </c>
      <c r="M29" s="32" t="s">
        <v>29</v>
      </c>
      <c r="N29" s="37">
        <v>458.56</v>
      </c>
      <c r="O29" s="38">
        <f t="shared" si="2"/>
        <v>1834.24</v>
      </c>
      <c r="P29" s="39">
        <f t="shared" si="3"/>
        <v>479.51944444444445</v>
      </c>
      <c r="Q29" s="40">
        <f t="shared" si="4"/>
        <v>-0.42113921924148201</v>
      </c>
      <c r="R29" s="39">
        <f t="shared" si="5"/>
        <v>1910</v>
      </c>
      <c r="S29" s="41"/>
      <c r="U29" s="42">
        <f t="shared" si="6"/>
        <v>-3</v>
      </c>
      <c r="V29" s="42">
        <f t="shared" si="7"/>
        <v>8</v>
      </c>
      <c r="W29" s="42">
        <f t="shared" si="8"/>
        <v>-4</v>
      </c>
      <c r="Y29" s="28">
        <v>18</v>
      </c>
    </row>
    <row r="30" spans="1:25" s="28" customFormat="1" ht="73.5" customHeight="1" x14ac:dyDescent="0.2">
      <c r="A30" s="30">
        <v>19</v>
      </c>
      <c r="B30" s="31" t="s">
        <v>61</v>
      </c>
      <c r="C30" s="32" t="s">
        <v>45</v>
      </c>
      <c r="D30" s="33">
        <v>80</v>
      </c>
      <c r="E30" s="34">
        <v>131.77000000000001</v>
      </c>
      <c r="F30" s="35">
        <v>473.4</v>
      </c>
      <c r="G30" s="32" t="s">
        <v>62</v>
      </c>
      <c r="H30" s="37">
        <v>475</v>
      </c>
      <c r="I30" s="38">
        <f t="shared" si="0"/>
        <v>38000</v>
      </c>
      <c r="J30" s="32" t="s">
        <v>46</v>
      </c>
      <c r="K30" s="37">
        <v>462.4</v>
      </c>
      <c r="L30" s="38">
        <f t="shared" si="1"/>
        <v>36992</v>
      </c>
      <c r="M30" s="32" t="s">
        <v>58</v>
      </c>
      <c r="N30" s="37">
        <v>496.84</v>
      </c>
      <c r="O30" s="38">
        <f t="shared" si="2"/>
        <v>39747.199999999997</v>
      </c>
      <c r="P30" s="39">
        <f t="shared" si="3"/>
        <v>478.08</v>
      </c>
      <c r="Q30" s="40">
        <f t="shared" si="4"/>
        <v>-0.97891566265059282</v>
      </c>
      <c r="R30" s="39">
        <f t="shared" si="5"/>
        <v>37872</v>
      </c>
      <c r="S30" s="41"/>
      <c r="U30" s="42">
        <f t="shared" si="6"/>
        <v>-1</v>
      </c>
      <c r="V30" s="42">
        <f t="shared" si="7"/>
        <v>-3</v>
      </c>
      <c r="W30" s="42">
        <f t="shared" si="8"/>
        <v>4</v>
      </c>
      <c r="Y30" s="28">
        <v>19</v>
      </c>
    </row>
    <row r="31" spans="1:25" s="28" customFormat="1" ht="73.5" customHeight="1" x14ac:dyDescent="0.2">
      <c r="A31" s="30">
        <v>20</v>
      </c>
      <c r="B31" s="31" t="s">
        <v>63</v>
      </c>
      <c r="C31" s="32" t="s">
        <v>25</v>
      </c>
      <c r="D31" s="33">
        <v>6</v>
      </c>
      <c r="E31" s="34">
        <v>3302.31</v>
      </c>
      <c r="F31" s="35">
        <v>3952.3</v>
      </c>
      <c r="G31" s="32" t="s">
        <v>27</v>
      </c>
      <c r="H31" s="37">
        <f>4569.53/1.2</f>
        <v>3807.9416666666666</v>
      </c>
      <c r="I31" s="38">
        <f t="shared" si="0"/>
        <v>22847.65</v>
      </c>
      <c r="J31" s="38" t="s">
        <v>28</v>
      </c>
      <c r="K31" s="37">
        <f>4747.69/1.2</f>
        <v>3956.4083333333333</v>
      </c>
      <c r="L31" s="38">
        <f t="shared" si="1"/>
        <v>23738.45</v>
      </c>
      <c r="M31" s="32" t="s">
        <v>29</v>
      </c>
      <c r="N31" s="37">
        <v>4100.7</v>
      </c>
      <c r="O31" s="38">
        <f t="shared" si="2"/>
        <v>24604.199999999997</v>
      </c>
      <c r="P31" s="39">
        <f t="shared" si="3"/>
        <v>3955.0166666666664</v>
      </c>
      <c r="Q31" s="40">
        <f t="shared" si="4"/>
        <v>-6.8689133210554587E-2</v>
      </c>
      <c r="R31" s="39">
        <f t="shared" si="5"/>
        <v>23713.800000000003</v>
      </c>
      <c r="S31" s="41"/>
      <c r="U31" s="42">
        <f t="shared" si="6"/>
        <v>-4</v>
      </c>
      <c r="V31" s="42">
        <f t="shared" si="7"/>
        <v>0</v>
      </c>
      <c r="W31" s="42">
        <f t="shared" si="8"/>
        <v>4</v>
      </c>
      <c r="Y31" s="28">
        <v>20</v>
      </c>
    </row>
    <row r="32" spans="1:25" s="28" customFormat="1" ht="73.5" customHeight="1" x14ac:dyDescent="0.2">
      <c r="A32" s="30">
        <v>21</v>
      </c>
      <c r="B32" s="31" t="s">
        <v>64</v>
      </c>
      <c r="C32" s="32" t="s">
        <v>65</v>
      </c>
      <c r="D32" s="33">
        <v>13</v>
      </c>
      <c r="E32" s="177">
        <v>21935.11</v>
      </c>
      <c r="F32" s="35">
        <v>4260.1499999999996</v>
      </c>
      <c r="G32" s="32" t="s">
        <v>66</v>
      </c>
      <c r="H32" s="37">
        <f>5072/1.2</f>
        <v>4226.666666666667</v>
      </c>
      <c r="I32" s="38">
        <f t="shared" si="0"/>
        <v>54946.666666666672</v>
      </c>
      <c r="J32" s="37" t="s">
        <v>67</v>
      </c>
      <c r="K32" s="37">
        <f>4988.64/1.2</f>
        <v>4157.2000000000007</v>
      </c>
      <c r="L32" s="38">
        <f t="shared" si="1"/>
        <v>54043.600000000006</v>
      </c>
      <c r="M32" s="38" t="s">
        <v>68</v>
      </c>
      <c r="N32" s="37">
        <v>4402.7</v>
      </c>
      <c r="O32" s="38">
        <f t="shared" si="2"/>
        <v>57235.1</v>
      </c>
      <c r="P32" s="39">
        <f t="shared" si="3"/>
        <v>4262.1888888888898</v>
      </c>
      <c r="Q32" s="40">
        <f t="shared" si="4"/>
        <v>-4.7836661913450484E-2</v>
      </c>
      <c r="R32" s="39">
        <f t="shared" si="5"/>
        <v>55381.95</v>
      </c>
      <c r="S32" s="44"/>
      <c r="U32" s="42">
        <f t="shared" si="6"/>
        <v>-1</v>
      </c>
      <c r="V32" s="42">
        <f t="shared" si="7"/>
        <v>-2</v>
      </c>
      <c r="W32" s="42">
        <f t="shared" si="8"/>
        <v>3</v>
      </c>
      <c r="Y32" s="28">
        <v>21</v>
      </c>
    </row>
    <row r="33" spans="1:25" s="28" customFormat="1" ht="73.5" customHeight="1" x14ac:dyDescent="0.2">
      <c r="A33" s="30">
        <v>22</v>
      </c>
      <c r="B33" s="31" t="s">
        <v>69</v>
      </c>
      <c r="C33" s="32" t="s">
        <v>65</v>
      </c>
      <c r="D33" s="33">
        <v>13</v>
      </c>
      <c r="E33" s="177"/>
      <c r="F33" s="45">
        <v>18550</v>
      </c>
      <c r="G33" s="32" t="s">
        <v>66</v>
      </c>
      <c r="H33" s="37">
        <f>22081.39/1.2</f>
        <v>18401.158333333333</v>
      </c>
      <c r="I33" s="38">
        <f t="shared" si="0"/>
        <v>239215.05833333332</v>
      </c>
      <c r="J33" s="37" t="s">
        <v>67</v>
      </c>
      <c r="K33" s="37">
        <f>21966.86/1.2</f>
        <v>18305.716666666667</v>
      </c>
      <c r="L33" s="38">
        <f t="shared" si="1"/>
        <v>237974.31666666668</v>
      </c>
      <c r="M33" s="38" t="s">
        <v>68</v>
      </c>
      <c r="N33" s="37">
        <v>19002.43</v>
      </c>
      <c r="O33" s="38">
        <f t="shared" si="2"/>
        <v>247031.59</v>
      </c>
      <c r="P33" s="39">
        <f t="shared" si="3"/>
        <v>18569.768333333333</v>
      </c>
      <c r="Q33" s="40">
        <f t="shared" si="4"/>
        <v>-0.10645438854425038</v>
      </c>
      <c r="R33" s="39">
        <f t="shared" si="5"/>
        <v>241150</v>
      </c>
      <c r="S33" s="44"/>
      <c r="U33" s="42">
        <f t="shared" si="6"/>
        <v>-1</v>
      </c>
      <c r="V33" s="42">
        <f t="shared" si="7"/>
        <v>-1</v>
      </c>
      <c r="W33" s="42">
        <f t="shared" si="8"/>
        <v>2</v>
      </c>
      <c r="Y33" s="28">
        <v>22</v>
      </c>
    </row>
    <row r="34" spans="1:25" s="28" customFormat="1" ht="73.5" customHeight="1" x14ac:dyDescent="0.2">
      <c r="A34" s="30">
        <v>23</v>
      </c>
      <c r="B34" s="31" t="s">
        <v>70</v>
      </c>
      <c r="C34" s="32" t="s">
        <v>25</v>
      </c>
      <c r="D34" s="33">
        <v>400</v>
      </c>
      <c r="E34" s="34">
        <v>30.48</v>
      </c>
      <c r="F34" s="35">
        <v>36.700000000000003</v>
      </c>
      <c r="G34" s="32" t="s">
        <v>39</v>
      </c>
      <c r="H34" s="37">
        <v>36.68</v>
      </c>
      <c r="I34" s="38">
        <f t="shared" si="0"/>
        <v>14672</v>
      </c>
      <c r="J34" s="32" t="s">
        <v>54</v>
      </c>
      <c r="K34" s="37">
        <v>34.28</v>
      </c>
      <c r="L34" s="38">
        <f t="shared" si="1"/>
        <v>13712</v>
      </c>
      <c r="M34" s="38" t="s">
        <v>41</v>
      </c>
      <c r="N34" s="37">
        <v>39.9</v>
      </c>
      <c r="O34" s="38">
        <f t="shared" si="2"/>
        <v>15960</v>
      </c>
      <c r="P34" s="39">
        <f t="shared" si="3"/>
        <v>36.95333333333334</v>
      </c>
      <c r="Q34" s="40">
        <f t="shared" si="4"/>
        <v>-0.68554934151181612</v>
      </c>
      <c r="R34" s="39">
        <f t="shared" si="5"/>
        <v>14680.000000000002</v>
      </c>
      <c r="S34" s="46"/>
      <c r="U34" s="42">
        <f t="shared" si="6"/>
        <v>-1</v>
      </c>
      <c r="V34" s="42">
        <f t="shared" si="7"/>
        <v>-7</v>
      </c>
      <c r="W34" s="42">
        <f t="shared" si="8"/>
        <v>8</v>
      </c>
      <c r="Y34" s="28">
        <v>23</v>
      </c>
    </row>
    <row r="35" spans="1:25" s="28" customFormat="1" ht="73.5" customHeight="1" x14ac:dyDescent="0.2">
      <c r="A35" s="30">
        <v>24</v>
      </c>
      <c r="B35" s="31" t="s">
        <v>71</v>
      </c>
      <c r="C35" s="32" t="s">
        <v>25</v>
      </c>
      <c r="D35" s="33">
        <v>600</v>
      </c>
      <c r="E35" s="34">
        <v>42.74</v>
      </c>
      <c r="F35" s="35">
        <v>49.8</v>
      </c>
      <c r="G35" s="32" t="s">
        <v>39</v>
      </c>
      <c r="H35" s="37">
        <v>49.53</v>
      </c>
      <c r="I35" s="38">
        <f t="shared" si="0"/>
        <v>29718</v>
      </c>
      <c r="J35" s="32" t="s">
        <v>54</v>
      </c>
      <c r="K35" s="37">
        <v>54.48</v>
      </c>
      <c r="L35" s="38">
        <f t="shared" si="1"/>
        <v>32687.999999999996</v>
      </c>
      <c r="M35" s="38" t="s">
        <v>41</v>
      </c>
      <c r="N35" s="37">
        <v>45.78</v>
      </c>
      <c r="O35" s="38">
        <f t="shared" si="2"/>
        <v>27468</v>
      </c>
      <c r="P35" s="39">
        <f t="shared" si="3"/>
        <v>49.93</v>
      </c>
      <c r="Q35" s="40">
        <f t="shared" si="4"/>
        <v>-0.26036451031444585</v>
      </c>
      <c r="R35" s="39">
        <f t="shared" si="5"/>
        <v>29880</v>
      </c>
      <c r="S35" s="41"/>
      <c r="U35" s="42">
        <f t="shared" si="6"/>
        <v>-1</v>
      </c>
      <c r="V35" s="42">
        <f t="shared" si="7"/>
        <v>9</v>
      </c>
      <c r="W35" s="42">
        <f t="shared" si="8"/>
        <v>-8</v>
      </c>
      <c r="Y35" s="28">
        <v>24</v>
      </c>
    </row>
    <row r="36" spans="1:25" s="28" customFormat="1" ht="73.5" customHeight="1" x14ac:dyDescent="0.2">
      <c r="A36" s="30">
        <v>25</v>
      </c>
      <c r="B36" s="31" t="s">
        <v>72</v>
      </c>
      <c r="C36" s="32" t="s">
        <v>25</v>
      </c>
      <c r="D36" s="33">
        <v>80</v>
      </c>
      <c r="E36" s="34">
        <v>95.03</v>
      </c>
      <c r="F36" s="35">
        <v>116.1</v>
      </c>
      <c r="G36" s="32" t="s">
        <v>39</v>
      </c>
      <c r="H36" s="37">
        <v>111.18</v>
      </c>
      <c r="I36" s="38">
        <f t="shared" si="0"/>
        <v>8894.4000000000015</v>
      </c>
      <c r="J36" s="32" t="s">
        <v>54</v>
      </c>
      <c r="K36" s="37">
        <v>115.97</v>
      </c>
      <c r="L36" s="38">
        <f t="shared" si="1"/>
        <v>9277.6</v>
      </c>
      <c r="M36" s="38" t="s">
        <v>41</v>
      </c>
      <c r="N36" s="37">
        <v>125.69</v>
      </c>
      <c r="O36" s="38">
        <f t="shared" si="2"/>
        <v>10055.200000000001</v>
      </c>
      <c r="P36" s="39">
        <f t="shared" si="3"/>
        <v>117.61333333333334</v>
      </c>
      <c r="Q36" s="40">
        <f t="shared" si="4"/>
        <v>-1.2867021879605574</v>
      </c>
      <c r="R36" s="39">
        <f t="shared" si="5"/>
        <v>9288</v>
      </c>
      <c r="S36" s="41"/>
      <c r="U36" s="42">
        <f t="shared" si="6"/>
        <v>-5</v>
      </c>
      <c r="V36" s="42">
        <f t="shared" si="7"/>
        <v>-1</v>
      </c>
      <c r="W36" s="42">
        <f t="shared" si="8"/>
        <v>7</v>
      </c>
      <c r="Y36" s="28">
        <v>25</v>
      </c>
    </row>
    <row r="37" spans="1:25" s="28" customFormat="1" ht="73.5" customHeight="1" x14ac:dyDescent="0.2">
      <c r="A37" s="30">
        <v>26</v>
      </c>
      <c r="B37" s="31" t="s">
        <v>73</v>
      </c>
      <c r="C37" s="32" t="s">
        <v>25</v>
      </c>
      <c r="D37" s="33">
        <v>40</v>
      </c>
      <c r="E37" s="34">
        <v>15.33</v>
      </c>
      <c r="F37" s="35">
        <v>19</v>
      </c>
      <c r="G37" s="32" t="s">
        <v>39</v>
      </c>
      <c r="H37" s="37">
        <v>18.239999999999998</v>
      </c>
      <c r="I37" s="38">
        <f t="shared" si="0"/>
        <v>729.59999999999991</v>
      </c>
      <c r="J37" s="32" t="s">
        <v>54</v>
      </c>
      <c r="K37" s="37">
        <v>17.48</v>
      </c>
      <c r="L37" s="38">
        <f t="shared" si="1"/>
        <v>699.2</v>
      </c>
      <c r="M37" s="38" t="s">
        <v>41</v>
      </c>
      <c r="N37" s="37">
        <v>21.47</v>
      </c>
      <c r="O37" s="38">
        <f t="shared" si="2"/>
        <v>858.8</v>
      </c>
      <c r="P37" s="39">
        <f t="shared" si="3"/>
        <v>19.063333333333333</v>
      </c>
      <c r="Q37" s="40">
        <f t="shared" si="4"/>
        <v>-0.33222591362125797</v>
      </c>
      <c r="R37" s="39">
        <f t="shared" si="5"/>
        <v>760</v>
      </c>
      <c r="S37" s="41"/>
      <c r="U37" s="42">
        <f t="shared" si="6"/>
        <v>-4</v>
      </c>
      <c r="V37" s="42">
        <f t="shared" si="7"/>
        <v>-8</v>
      </c>
      <c r="W37" s="42">
        <f t="shared" si="8"/>
        <v>13</v>
      </c>
      <c r="Y37" s="28">
        <v>26</v>
      </c>
    </row>
    <row r="38" spans="1:25" s="28" customFormat="1" ht="73.5" customHeight="1" x14ac:dyDescent="0.2">
      <c r="A38" s="30">
        <v>27</v>
      </c>
      <c r="B38" s="31" t="s">
        <v>74</v>
      </c>
      <c r="C38" s="32" t="s">
        <v>25</v>
      </c>
      <c r="D38" s="33">
        <v>20</v>
      </c>
      <c r="E38" s="34">
        <v>21.78</v>
      </c>
      <c r="F38" s="35">
        <v>27.3</v>
      </c>
      <c r="G38" s="32" t="s">
        <v>39</v>
      </c>
      <c r="H38" s="37">
        <v>26.95</v>
      </c>
      <c r="I38" s="38">
        <f t="shared" si="0"/>
        <v>539</v>
      </c>
      <c r="J38" s="32" t="s">
        <v>54</v>
      </c>
      <c r="K38" s="37">
        <v>24.38</v>
      </c>
      <c r="L38" s="38">
        <f t="shared" si="1"/>
        <v>487.59999999999997</v>
      </c>
      <c r="M38" s="38" t="s">
        <v>41</v>
      </c>
      <c r="N38" s="37">
        <v>31.4</v>
      </c>
      <c r="O38" s="38">
        <f t="shared" si="2"/>
        <v>628</v>
      </c>
      <c r="P38" s="39">
        <f t="shared" si="3"/>
        <v>27.576666666666664</v>
      </c>
      <c r="Q38" s="40">
        <f t="shared" si="4"/>
        <v>-1.0032636286715757</v>
      </c>
      <c r="R38" s="39">
        <f t="shared" si="5"/>
        <v>546</v>
      </c>
      <c r="S38" s="41"/>
      <c r="U38" s="42">
        <f t="shared" si="6"/>
        <v>-2</v>
      </c>
      <c r="V38" s="42">
        <f t="shared" si="7"/>
        <v>-12</v>
      </c>
      <c r="W38" s="42">
        <f t="shared" si="8"/>
        <v>14</v>
      </c>
      <c r="Y38" s="28">
        <v>27</v>
      </c>
    </row>
    <row r="39" spans="1:25" s="28" customFormat="1" ht="73.5" customHeight="1" x14ac:dyDescent="0.2">
      <c r="A39" s="30">
        <v>28</v>
      </c>
      <c r="B39" s="31" t="s">
        <v>75</v>
      </c>
      <c r="C39" s="32" t="s">
        <v>25</v>
      </c>
      <c r="D39" s="33">
        <v>240</v>
      </c>
      <c r="E39" s="34">
        <v>26.03</v>
      </c>
      <c r="F39" s="35">
        <v>34.299999999999997</v>
      </c>
      <c r="G39" s="32" t="s">
        <v>39</v>
      </c>
      <c r="H39" s="37">
        <v>33.17</v>
      </c>
      <c r="I39" s="38">
        <f t="shared" si="0"/>
        <v>7960.8</v>
      </c>
      <c r="J39" s="32" t="s">
        <v>54</v>
      </c>
      <c r="K39" s="37">
        <v>32.17</v>
      </c>
      <c r="L39" s="38">
        <f t="shared" si="1"/>
        <v>7720.8</v>
      </c>
      <c r="M39" s="38" t="s">
        <v>41</v>
      </c>
      <c r="N39" s="37">
        <v>38.74</v>
      </c>
      <c r="O39" s="38">
        <f t="shared" si="2"/>
        <v>9297.6</v>
      </c>
      <c r="P39" s="39">
        <f t="shared" si="3"/>
        <v>34.693333333333335</v>
      </c>
      <c r="Q39" s="40">
        <f t="shared" si="4"/>
        <v>-1.1337432744043241</v>
      </c>
      <c r="R39" s="39">
        <f t="shared" si="5"/>
        <v>8232</v>
      </c>
      <c r="S39" s="41"/>
      <c r="U39" s="42">
        <f t="shared" si="6"/>
        <v>-4</v>
      </c>
      <c r="V39" s="42">
        <f t="shared" si="7"/>
        <v>-7</v>
      </c>
      <c r="W39" s="42">
        <f t="shared" si="8"/>
        <v>12</v>
      </c>
      <c r="Y39" s="28">
        <v>28</v>
      </c>
    </row>
    <row r="40" spans="1:25" s="28" customFormat="1" ht="73.5" customHeight="1" x14ac:dyDescent="0.2">
      <c r="A40" s="30">
        <v>29</v>
      </c>
      <c r="B40" s="31" t="s">
        <v>76</v>
      </c>
      <c r="C40" s="32" t="s">
        <v>25</v>
      </c>
      <c r="D40" s="33">
        <v>264</v>
      </c>
      <c r="E40" s="34">
        <v>41.52</v>
      </c>
      <c r="F40" s="35">
        <v>52</v>
      </c>
      <c r="G40" s="32" t="s">
        <v>39</v>
      </c>
      <c r="H40" s="37">
        <v>49.76</v>
      </c>
      <c r="I40" s="38">
        <f t="shared" si="0"/>
        <v>13136.64</v>
      </c>
      <c r="J40" s="32" t="s">
        <v>54</v>
      </c>
      <c r="K40" s="37">
        <v>51.47</v>
      </c>
      <c r="L40" s="38">
        <f t="shared" si="1"/>
        <v>13588.08</v>
      </c>
      <c r="M40" s="38" t="s">
        <v>41</v>
      </c>
      <c r="N40" s="37">
        <v>55.16</v>
      </c>
      <c r="O40" s="38">
        <f t="shared" si="2"/>
        <v>14562.24</v>
      </c>
      <c r="P40" s="39">
        <f t="shared" si="3"/>
        <v>52.129999999999995</v>
      </c>
      <c r="Q40" s="40">
        <f t="shared" si="4"/>
        <v>-0.24937655860348684</v>
      </c>
      <c r="R40" s="39">
        <f t="shared" si="5"/>
        <v>13728</v>
      </c>
      <c r="S40" s="41"/>
      <c r="U40" s="42">
        <f t="shared" si="6"/>
        <v>-5</v>
      </c>
      <c r="V40" s="42">
        <f t="shared" si="7"/>
        <v>-1</v>
      </c>
      <c r="W40" s="42">
        <f t="shared" si="8"/>
        <v>6</v>
      </c>
      <c r="Y40" s="28">
        <v>29</v>
      </c>
    </row>
    <row r="41" spans="1:25" s="28" customFormat="1" ht="73.5" customHeight="1" x14ac:dyDescent="0.2">
      <c r="A41" s="30">
        <v>30</v>
      </c>
      <c r="B41" s="31" t="s">
        <v>77</v>
      </c>
      <c r="C41" s="32" t="s">
        <v>25</v>
      </c>
      <c r="D41" s="33">
        <v>1200</v>
      </c>
      <c r="E41" s="34">
        <v>80.27</v>
      </c>
      <c r="F41" s="35">
        <v>98.2</v>
      </c>
      <c r="G41" s="32" t="s">
        <v>39</v>
      </c>
      <c r="H41" s="37">
        <v>97.92</v>
      </c>
      <c r="I41" s="38">
        <f t="shared" si="0"/>
        <v>117504</v>
      </c>
      <c r="J41" s="32" t="s">
        <v>54</v>
      </c>
      <c r="K41" s="37">
        <v>92.97</v>
      </c>
      <c r="L41" s="38">
        <f t="shared" si="1"/>
        <v>111564</v>
      </c>
      <c r="M41" s="38" t="s">
        <v>41</v>
      </c>
      <c r="N41" s="37">
        <v>105.36</v>
      </c>
      <c r="O41" s="38">
        <f t="shared" si="2"/>
        <v>126432</v>
      </c>
      <c r="P41" s="39">
        <f t="shared" si="3"/>
        <v>98.75</v>
      </c>
      <c r="Q41" s="40">
        <f t="shared" si="4"/>
        <v>-0.55696202531645156</v>
      </c>
      <c r="R41" s="39">
        <f t="shared" si="5"/>
        <v>117840</v>
      </c>
      <c r="S41" s="41"/>
      <c r="U41" s="42">
        <f t="shared" si="6"/>
        <v>-1</v>
      </c>
      <c r="V41" s="42">
        <f t="shared" si="7"/>
        <v>-6</v>
      </c>
      <c r="W41" s="42">
        <f t="shared" si="8"/>
        <v>7</v>
      </c>
      <c r="Y41" s="28">
        <v>30</v>
      </c>
    </row>
    <row r="42" spans="1:25" s="28" customFormat="1" ht="73.5" customHeight="1" x14ac:dyDescent="0.2">
      <c r="A42" s="30">
        <v>31</v>
      </c>
      <c r="B42" s="31" t="s">
        <v>78</v>
      </c>
      <c r="C42" s="32" t="s">
        <v>25</v>
      </c>
      <c r="D42" s="33">
        <v>40</v>
      </c>
      <c r="E42" s="34">
        <v>3.91</v>
      </c>
      <c r="F42" s="35">
        <v>5.4</v>
      </c>
      <c r="G42" s="32" t="s">
        <v>39</v>
      </c>
      <c r="H42" s="37">
        <v>5.38</v>
      </c>
      <c r="I42" s="38">
        <f t="shared" si="0"/>
        <v>215.2</v>
      </c>
      <c r="J42" s="32" t="s">
        <v>54</v>
      </c>
      <c r="K42" s="37">
        <v>5.45</v>
      </c>
      <c r="L42" s="38">
        <f t="shared" si="1"/>
        <v>218</v>
      </c>
      <c r="M42" s="38" t="s">
        <v>41</v>
      </c>
      <c r="N42" s="37">
        <v>5.5</v>
      </c>
      <c r="O42" s="38">
        <f t="shared" si="2"/>
        <v>220</v>
      </c>
      <c r="P42" s="39">
        <f t="shared" si="3"/>
        <v>5.4433333333333325</v>
      </c>
      <c r="Q42" s="40">
        <f t="shared" si="4"/>
        <v>-0.79608083282300868</v>
      </c>
      <c r="R42" s="39">
        <f t="shared" si="5"/>
        <v>216</v>
      </c>
      <c r="S42" s="41"/>
      <c r="U42" s="42">
        <f t="shared" si="6"/>
        <v>-1</v>
      </c>
      <c r="V42" s="42">
        <f t="shared" si="7"/>
        <v>0</v>
      </c>
      <c r="W42" s="42">
        <f t="shared" si="8"/>
        <v>1</v>
      </c>
      <c r="Y42" s="28">
        <v>31</v>
      </c>
    </row>
    <row r="43" spans="1:25" s="28" customFormat="1" ht="73.5" customHeight="1" x14ac:dyDescent="0.2">
      <c r="A43" s="30">
        <v>32</v>
      </c>
      <c r="B43" s="31" t="s">
        <v>79</v>
      </c>
      <c r="C43" s="32" t="s">
        <v>25</v>
      </c>
      <c r="D43" s="33">
        <v>30</v>
      </c>
      <c r="E43" s="34">
        <v>8.9499999999999993</v>
      </c>
      <c r="F43" s="35">
        <v>11.82</v>
      </c>
      <c r="G43" s="32" t="s">
        <v>39</v>
      </c>
      <c r="H43" s="37">
        <v>11.56</v>
      </c>
      <c r="I43" s="38">
        <f t="shared" si="0"/>
        <v>346.8</v>
      </c>
      <c r="J43" s="32" t="s">
        <v>54</v>
      </c>
      <c r="K43" s="37">
        <v>11.47</v>
      </c>
      <c r="L43" s="38">
        <f t="shared" si="1"/>
        <v>344.1</v>
      </c>
      <c r="M43" s="38" t="s">
        <v>41</v>
      </c>
      <c r="N43" s="37">
        <v>12.68</v>
      </c>
      <c r="O43" s="38">
        <f t="shared" si="2"/>
        <v>380.4</v>
      </c>
      <c r="P43" s="39">
        <f t="shared" si="3"/>
        <v>11.903333333333334</v>
      </c>
      <c r="Q43" s="40">
        <f t="shared" si="4"/>
        <v>-0.70008401008121268</v>
      </c>
      <c r="R43" s="39">
        <f t="shared" si="5"/>
        <v>354.6</v>
      </c>
      <c r="S43" s="41"/>
      <c r="U43" s="42">
        <f t="shared" si="6"/>
        <v>-3</v>
      </c>
      <c r="V43" s="42">
        <f t="shared" si="7"/>
        <v>-4</v>
      </c>
      <c r="W43" s="42">
        <f t="shared" si="8"/>
        <v>7</v>
      </c>
      <c r="Y43" s="28">
        <v>32</v>
      </c>
    </row>
    <row r="44" spans="1:25" s="28" customFormat="1" ht="73.5" customHeight="1" x14ac:dyDescent="0.2">
      <c r="A44" s="30">
        <v>33</v>
      </c>
      <c r="B44" s="31" t="s">
        <v>80</v>
      </c>
      <c r="C44" s="32" t="s">
        <v>81</v>
      </c>
      <c r="D44" s="33">
        <v>560</v>
      </c>
      <c r="E44" s="34">
        <v>139.66</v>
      </c>
      <c r="F44" s="35">
        <v>169.2</v>
      </c>
      <c r="G44" s="32" t="s">
        <v>82</v>
      </c>
      <c r="H44" s="37">
        <v>166.13</v>
      </c>
      <c r="I44" s="38">
        <f t="shared" ref="I44:I75" si="9">D44*H44</f>
        <v>93032.8</v>
      </c>
      <c r="J44" s="32" t="s">
        <v>46</v>
      </c>
      <c r="K44" s="37">
        <v>182.47</v>
      </c>
      <c r="L44" s="38">
        <f t="shared" si="1"/>
        <v>102183.2</v>
      </c>
      <c r="M44" s="32" t="s">
        <v>58</v>
      </c>
      <c r="N44" s="37">
        <v>163.57</v>
      </c>
      <c r="O44" s="38">
        <f t="shared" si="2"/>
        <v>91599.2</v>
      </c>
      <c r="P44" s="39">
        <f t="shared" si="3"/>
        <v>170.72333333333336</v>
      </c>
      <c r="Q44" s="40">
        <f t="shared" si="4"/>
        <v>-0.89228185953884065</v>
      </c>
      <c r="R44" s="39">
        <f t="shared" si="5"/>
        <v>94752</v>
      </c>
      <c r="S44" s="41"/>
      <c r="U44" s="42">
        <f t="shared" si="6"/>
        <v>-3</v>
      </c>
      <c r="V44" s="42">
        <f t="shared" si="7"/>
        <v>7</v>
      </c>
      <c r="W44" s="42">
        <f t="shared" si="8"/>
        <v>-4</v>
      </c>
      <c r="Y44" s="28">
        <v>33</v>
      </c>
    </row>
    <row r="45" spans="1:25" s="28" customFormat="1" ht="73.5" customHeight="1" x14ac:dyDescent="0.2">
      <c r="A45" s="30">
        <v>34</v>
      </c>
      <c r="B45" s="31" t="s">
        <v>83</v>
      </c>
      <c r="C45" s="32" t="s">
        <v>25</v>
      </c>
      <c r="D45" s="33">
        <v>12</v>
      </c>
      <c r="E45" s="34" t="s">
        <v>26</v>
      </c>
      <c r="F45" s="35">
        <v>3339.3</v>
      </c>
      <c r="G45" s="32" t="s">
        <v>84</v>
      </c>
      <c r="H45" s="37">
        <f>3600/1.2</f>
        <v>3000</v>
      </c>
      <c r="I45" s="38">
        <f t="shared" si="9"/>
        <v>36000</v>
      </c>
      <c r="J45" s="38" t="s">
        <v>28</v>
      </c>
      <c r="K45" s="37">
        <f>4320/1.2</f>
        <v>3600</v>
      </c>
      <c r="L45" s="38">
        <f t="shared" si="1"/>
        <v>43200</v>
      </c>
      <c r="M45" s="32" t="s">
        <v>29</v>
      </c>
      <c r="N45" s="37">
        <v>3480</v>
      </c>
      <c r="O45" s="38">
        <f t="shared" si="2"/>
        <v>41760</v>
      </c>
      <c r="P45" s="39">
        <f t="shared" si="3"/>
        <v>3360</v>
      </c>
      <c r="Q45" s="40">
        <f t="shared" si="4"/>
        <v>-0.6160714285714306</v>
      </c>
      <c r="R45" s="39">
        <f t="shared" si="5"/>
        <v>40071.600000000006</v>
      </c>
      <c r="S45" s="41"/>
      <c r="U45" s="42">
        <f t="shared" si="6"/>
        <v>-11</v>
      </c>
      <c r="V45" s="42">
        <f t="shared" si="7"/>
        <v>7</v>
      </c>
      <c r="W45" s="42">
        <f t="shared" si="8"/>
        <v>4</v>
      </c>
      <c r="Y45" s="28">
        <v>34</v>
      </c>
    </row>
    <row r="46" spans="1:25" s="28" customFormat="1" ht="73.5" customHeight="1" x14ac:dyDescent="0.2">
      <c r="A46" s="30">
        <v>35</v>
      </c>
      <c r="B46" s="31" t="s">
        <v>85</v>
      </c>
      <c r="C46" s="32" t="s">
        <v>25</v>
      </c>
      <c r="D46" s="33">
        <v>5</v>
      </c>
      <c r="E46" s="34">
        <v>3404.18</v>
      </c>
      <c r="F46" s="35">
        <v>3550.4</v>
      </c>
      <c r="G46" s="32" t="s">
        <v>27</v>
      </c>
      <c r="H46" s="37">
        <f>4107.16/1.2</f>
        <v>3422.6333333333332</v>
      </c>
      <c r="I46" s="38">
        <f t="shared" si="9"/>
        <v>17113.166666666664</v>
      </c>
      <c r="J46" s="38" t="s">
        <v>28</v>
      </c>
      <c r="K46" s="37">
        <v>3502.11</v>
      </c>
      <c r="L46" s="38">
        <f t="shared" si="1"/>
        <v>17510.55</v>
      </c>
      <c r="M46" s="32" t="s">
        <v>29</v>
      </c>
      <c r="N46" s="37">
        <v>3779.24</v>
      </c>
      <c r="O46" s="38">
        <f t="shared" si="2"/>
        <v>18896.199999999997</v>
      </c>
      <c r="P46" s="39">
        <f t="shared" si="3"/>
        <v>3567.9944444444445</v>
      </c>
      <c r="Q46" s="40">
        <f t="shared" si="4"/>
        <v>-0.49311860537899577</v>
      </c>
      <c r="R46" s="39">
        <f t="shared" si="5"/>
        <v>17752</v>
      </c>
      <c r="S46" s="41"/>
      <c r="U46" s="42">
        <f t="shared" si="6"/>
        <v>-4</v>
      </c>
      <c r="V46" s="42">
        <f t="shared" si="7"/>
        <v>-2</v>
      </c>
      <c r="W46" s="42">
        <f t="shared" si="8"/>
        <v>6</v>
      </c>
      <c r="Y46" s="28">
        <v>35</v>
      </c>
    </row>
    <row r="47" spans="1:25" s="28" customFormat="1" ht="73.5" customHeight="1" x14ac:dyDescent="0.2">
      <c r="A47" s="30">
        <v>36</v>
      </c>
      <c r="B47" s="31" t="s">
        <v>86</v>
      </c>
      <c r="C47" s="32" t="s">
        <v>25</v>
      </c>
      <c r="D47" s="33">
        <v>13</v>
      </c>
      <c r="E47" s="34">
        <v>9824.1</v>
      </c>
      <c r="F47" s="35">
        <v>11152.87</v>
      </c>
      <c r="G47" s="32" t="s">
        <v>66</v>
      </c>
      <c r="H47" s="37">
        <f>12597.13/1.2</f>
        <v>10497.608333333334</v>
      </c>
      <c r="I47" s="38">
        <f t="shared" si="9"/>
        <v>136468.90833333333</v>
      </c>
      <c r="J47" s="37" t="s">
        <v>67</v>
      </c>
      <c r="K47" s="37">
        <f>13529.76/1.2</f>
        <v>11274.800000000001</v>
      </c>
      <c r="L47" s="38">
        <f t="shared" si="1"/>
        <v>146572.40000000002</v>
      </c>
      <c r="M47" s="38" t="s">
        <v>68</v>
      </c>
      <c r="N47" s="37">
        <v>11847.32</v>
      </c>
      <c r="O47" s="38">
        <f t="shared" si="2"/>
        <v>154015.16</v>
      </c>
      <c r="P47" s="39">
        <f t="shared" si="3"/>
        <v>11206.576111111111</v>
      </c>
      <c r="Q47" s="40">
        <f t="shared" si="4"/>
        <v>-0.47923746359838049</v>
      </c>
      <c r="R47" s="39">
        <f t="shared" si="5"/>
        <v>144987.31</v>
      </c>
      <c r="S47" s="41"/>
      <c r="U47" s="42">
        <f t="shared" si="6"/>
        <v>-6</v>
      </c>
      <c r="V47" s="42">
        <f t="shared" si="7"/>
        <v>1</v>
      </c>
      <c r="W47" s="42">
        <f t="shared" si="8"/>
        <v>6</v>
      </c>
      <c r="Y47" s="28">
        <v>36</v>
      </c>
    </row>
    <row r="48" spans="1:25" s="28" customFormat="1" ht="73.5" customHeight="1" x14ac:dyDescent="0.2">
      <c r="A48" s="30">
        <v>37</v>
      </c>
      <c r="B48" s="31" t="s">
        <v>87</v>
      </c>
      <c r="C48" s="32" t="s">
        <v>25</v>
      </c>
      <c r="D48" s="33">
        <v>14</v>
      </c>
      <c r="E48" s="34">
        <v>91.41</v>
      </c>
      <c r="F48" s="35">
        <v>95</v>
      </c>
      <c r="G48" s="32" t="s">
        <v>27</v>
      </c>
      <c r="H48" s="37">
        <f>108.22/1.2</f>
        <v>90.183333333333337</v>
      </c>
      <c r="I48" s="38">
        <f t="shared" si="9"/>
        <v>1262.5666666666666</v>
      </c>
      <c r="J48" s="38" t="s">
        <v>28</v>
      </c>
      <c r="K48" s="37">
        <v>92.03</v>
      </c>
      <c r="L48" s="38">
        <f t="shared" si="1"/>
        <v>1288.42</v>
      </c>
      <c r="M48" s="32" t="s">
        <v>29</v>
      </c>
      <c r="N48" s="37">
        <v>103.61</v>
      </c>
      <c r="O48" s="38">
        <f t="shared" si="2"/>
        <v>1450.54</v>
      </c>
      <c r="P48" s="39">
        <f t="shared" si="3"/>
        <v>95.274444444444441</v>
      </c>
      <c r="Q48" s="40">
        <f t="shared" si="4"/>
        <v>-0.28805672501661661</v>
      </c>
      <c r="R48" s="39">
        <f t="shared" si="5"/>
        <v>1330</v>
      </c>
      <c r="S48" s="41"/>
      <c r="U48" s="42">
        <f t="shared" si="6"/>
        <v>-5</v>
      </c>
      <c r="V48" s="42">
        <f t="shared" si="7"/>
        <v>-3</v>
      </c>
      <c r="W48" s="42">
        <f t="shared" si="8"/>
        <v>9</v>
      </c>
      <c r="Y48" s="28">
        <v>37</v>
      </c>
    </row>
    <row r="49" spans="1:25" s="28" customFormat="1" ht="73.5" customHeight="1" x14ac:dyDescent="0.2">
      <c r="A49" s="30">
        <v>38</v>
      </c>
      <c r="B49" s="31" t="s">
        <v>88</v>
      </c>
      <c r="C49" s="32" t="s">
        <v>25</v>
      </c>
      <c r="D49" s="33">
        <v>28</v>
      </c>
      <c r="E49" s="34" t="s">
        <v>26</v>
      </c>
      <c r="F49" s="35">
        <v>73.010000000000005</v>
      </c>
      <c r="G49" s="32" t="s">
        <v>39</v>
      </c>
      <c r="H49" s="37">
        <v>67.09</v>
      </c>
      <c r="I49" s="38">
        <f t="shared" si="9"/>
        <v>1878.52</v>
      </c>
      <c r="J49" s="38" t="s">
        <v>68</v>
      </c>
      <c r="K49" s="37">
        <v>83</v>
      </c>
      <c r="L49" s="38">
        <f t="shared" si="1"/>
        <v>2324</v>
      </c>
      <c r="M49" s="38" t="s">
        <v>41</v>
      </c>
      <c r="N49" s="37">
        <v>72.34</v>
      </c>
      <c r="O49" s="38">
        <f t="shared" si="2"/>
        <v>2025.52</v>
      </c>
      <c r="P49" s="39">
        <f t="shared" si="3"/>
        <v>74.143333333333331</v>
      </c>
      <c r="Q49" s="40">
        <f t="shared" si="4"/>
        <v>-1.5285707863147735</v>
      </c>
      <c r="R49" s="39">
        <f t="shared" si="5"/>
        <v>2044.2800000000002</v>
      </c>
      <c r="S49" s="41"/>
      <c r="U49" s="42">
        <f t="shared" si="6"/>
        <v>-10</v>
      </c>
      <c r="V49" s="42">
        <f t="shared" si="7"/>
        <v>12</v>
      </c>
      <c r="W49" s="42">
        <f t="shared" si="8"/>
        <v>-2</v>
      </c>
      <c r="Y49" s="28">
        <v>38</v>
      </c>
    </row>
    <row r="50" spans="1:25" s="28" customFormat="1" ht="73.5" customHeight="1" x14ac:dyDescent="0.2">
      <c r="A50" s="30">
        <v>39</v>
      </c>
      <c r="B50" s="31" t="s">
        <v>89</v>
      </c>
      <c r="C50" s="32" t="s">
        <v>81</v>
      </c>
      <c r="D50" s="33">
        <v>72</v>
      </c>
      <c r="E50" s="34">
        <v>2954.02</v>
      </c>
      <c r="F50" s="35">
        <v>3120.3</v>
      </c>
      <c r="G50" s="36" t="s">
        <v>90</v>
      </c>
      <c r="H50" s="37">
        <f>3609.86/1.2</f>
        <v>3008.2166666666667</v>
      </c>
      <c r="I50" s="38">
        <f t="shared" si="9"/>
        <v>216591.6</v>
      </c>
      <c r="J50" s="32" t="s">
        <v>46</v>
      </c>
      <c r="K50" s="37">
        <v>3152.91</v>
      </c>
      <c r="L50" s="38">
        <f t="shared" si="1"/>
        <v>227009.52</v>
      </c>
      <c r="M50" s="32" t="s">
        <v>58</v>
      </c>
      <c r="N50" s="37">
        <v>3256.66</v>
      </c>
      <c r="O50" s="38">
        <f t="shared" si="2"/>
        <v>234479.52</v>
      </c>
      <c r="P50" s="39">
        <f t="shared" si="3"/>
        <v>3139.2622222222221</v>
      </c>
      <c r="Q50" s="40">
        <f t="shared" si="4"/>
        <v>-0.60403435202043454</v>
      </c>
      <c r="R50" s="39">
        <f t="shared" si="5"/>
        <v>224661.6</v>
      </c>
      <c r="S50" s="41"/>
      <c r="U50" s="42">
        <f t="shared" si="6"/>
        <v>-4</v>
      </c>
      <c r="V50" s="42">
        <f t="shared" si="7"/>
        <v>0</v>
      </c>
      <c r="W50" s="42">
        <f t="shared" si="8"/>
        <v>4</v>
      </c>
      <c r="Y50" s="28">
        <v>39</v>
      </c>
    </row>
    <row r="51" spans="1:25" s="28" customFormat="1" ht="73.5" customHeight="1" x14ac:dyDescent="0.2">
      <c r="A51" s="30">
        <v>40</v>
      </c>
      <c r="B51" s="31" t="s">
        <v>91</v>
      </c>
      <c r="C51" s="32" t="s">
        <v>25</v>
      </c>
      <c r="D51" s="33">
        <v>2</v>
      </c>
      <c r="E51" s="34" t="s">
        <v>26</v>
      </c>
      <c r="F51" s="35">
        <v>198500</v>
      </c>
      <c r="G51" s="32" t="s">
        <v>27</v>
      </c>
      <c r="H51" s="37">
        <f>234758.4/1.2</f>
        <v>195632</v>
      </c>
      <c r="I51" s="38">
        <f t="shared" si="9"/>
        <v>391264</v>
      </c>
      <c r="J51" s="38" t="s">
        <v>28</v>
      </c>
      <c r="K51" s="37">
        <v>199452.67</v>
      </c>
      <c r="L51" s="38">
        <f t="shared" si="1"/>
        <v>398905.34</v>
      </c>
      <c r="M51" s="32" t="s">
        <v>29</v>
      </c>
      <c r="N51" s="37">
        <v>201347.8</v>
      </c>
      <c r="O51" s="38">
        <f t="shared" si="2"/>
        <v>402695.6</v>
      </c>
      <c r="P51" s="39">
        <f t="shared" si="3"/>
        <v>198810.82333333333</v>
      </c>
      <c r="Q51" s="40">
        <f t="shared" si="4"/>
        <v>-0.1563412535202815</v>
      </c>
      <c r="R51" s="39">
        <f t="shared" si="5"/>
        <v>397000</v>
      </c>
      <c r="S51" s="41"/>
      <c r="U51" s="42">
        <f t="shared" si="6"/>
        <v>-2</v>
      </c>
      <c r="V51" s="42">
        <f t="shared" si="7"/>
        <v>0</v>
      </c>
      <c r="W51" s="42">
        <f t="shared" si="8"/>
        <v>1</v>
      </c>
      <c r="Y51" s="28">
        <v>40</v>
      </c>
    </row>
    <row r="52" spans="1:25" s="28" customFormat="1" ht="73.5" customHeight="1" x14ac:dyDescent="0.2">
      <c r="A52" s="30">
        <v>41</v>
      </c>
      <c r="B52" s="31" t="s">
        <v>92</v>
      </c>
      <c r="C52" s="32" t="s">
        <v>25</v>
      </c>
      <c r="D52" s="33">
        <v>2</v>
      </c>
      <c r="E52" s="34" t="s">
        <v>26</v>
      </c>
      <c r="F52" s="35">
        <v>5754.2</v>
      </c>
      <c r="G52" s="32" t="s">
        <v>27</v>
      </c>
      <c r="H52" s="37">
        <f>6701.48/1.2</f>
        <v>5584.5666666666666</v>
      </c>
      <c r="I52" s="38">
        <f t="shared" si="9"/>
        <v>11169.133333333333</v>
      </c>
      <c r="J52" s="38" t="s">
        <v>28</v>
      </c>
      <c r="K52" s="37">
        <v>5784.3</v>
      </c>
      <c r="L52" s="38">
        <f t="shared" si="1"/>
        <v>11568.6</v>
      </c>
      <c r="M52" s="32" t="s">
        <v>29</v>
      </c>
      <c r="N52" s="37">
        <v>5944.87</v>
      </c>
      <c r="O52" s="38">
        <f t="shared" si="2"/>
        <v>11889.74</v>
      </c>
      <c r="P52" s="39">
        <f t="shared" si="3"/>
        <v>5771.2455555555562</v>
      </c>
      <c r="Q52" s="40">
        <f t="shared" si="4"/>
        <v>-0.29535315022503994</v>
      </c>
      <c r="R52" s="39">
        <f t="shared" si="5"/>
        <v>11508.4</v>
      </c>
      <c r="S52" s="41"/>
      <c r="U52" s="42">
        <f t="shared" si="6"/>
        <v>-3</v>
      </c>
      <c r="V52" s="42">
        <f t="shared" si="7"/>
        <v>0</v>
      </c>
      <c r="W52" s="42">
        <f t="shared" si="8"/>
        <v>3</v>
      </c>
      <c r="Y52" s="28">
        <v>41</v>
      </c>
    </row>
    <row r="53" spans="1:25" s="28" customFormat="1" ht="73.5" customHeight="1" x14ac:dyDescent="0.2">
      <c r="A53" s="30">
        <v>42</v>
      </c>
      <c r="B53" s="31" t="s">
        <v>93</v>
      </c>
      <c r="C53" s="32" t="s">
        <v>25</v>
      </c>
      <c r="D53" s="33">
        <v>10</v>
      </c>
      <c r="E53" s="34" t="s">
        <v>26</v>
      </c>
      <c r="F53" s="35">
        <v>523.29999999999995</v>
      </c>
      <c r="G53" s="32" t="s">
        <v>27</v>
      </c>
      <c r="H53" s="37">
        <f>597.91/1.2</f>
        <v>498.25833333333333</v>
      </c>
      <c r="I53" s="38">
        <f t="shared" si="9"/>
        <v>4982.583333333333</v>
      </c>
      <c r="J53" s="38" t="s">
        <v>28</v>
      </c>
      <c r="K53" s="37">
        <v>521.20000000000005</v>
      </c>
      <c r="L53" s="38">
        <f t="shared" si="1"/>
        <v>5212</v>
      </c>
      <c r="M53" s="32" t="s">
        <v>29</v>
      </c>
      <c r="N53" s="37">
        <v>554.34</v>
      </c>
      <c r="O53" s="38">
        <f t="shared" si="2"/>
        <v>5543.4000000000005</v>
      </c>
      <c r="P53" s="39">
        <f t="shared" si="3"/>
        <v>524.59944444444443</v>
      </c>
      <c r="Q53" s="40">
        <f t="shared" si="4"/>
        <v>-0.24770221512922319</v>
      </c>
      <c r="R53" s="39">
        <f t="shared" si="5"/>
        <v>5233</v>
      </c>
      <c r="S53" s="41"/>
      <c r="U53" s="42">
        <f t="shared" si="6"/>
        <v>-5</v>
      </c>
      <c r="V53" s="42">
        <f t="shared" si="7"/>
        <v>-1</v>
      </c>
      <c r="W53" s="42">
        <f t="shared" si="8"/>
        <v>6</v>
      </c>
      <c r="Y53" s="28">
        <v>42</v>
      </c>
    </row>
    <row r="54" spans="1:25" s="28" customFormat="1" ht="73.5" customHeight="1" x14ac:dyDescent="0.2">
      <c r="A54" s="30">
        <v>43</v>
      </c>
      <c r="B54" s="31" t="s">
        <v>94</v>
      </c>
      <c r="C54" s="32" t="s">
        <v>25</v>
      </c>
      <c r="D54" s="33" t="s">
        <v>95</v>
      </c>
      <c r="E54" s="34">
        <v>326.49</v>
      </c>
      <c r="F54" s="35">
        <v>517.11</v>
      </c>
      <c r="G54" s="32" t="s">
        <v>27</v>
      </c>
      <c r="H54" s="37">
        <f>583.14/1.2</f>
        <v>485.95</v>
      </c>
      <c r="I54" s="38">
        <f t="shared" si="9"/>
        <v>23325.599999999999</v>
      </c>
      <c r="J54" s="38" t="s">
        <v>28</v>
      </c>
      <c r="K54" s="37">
        <v>519.29999999999995</v>
      </c>
      <c r="L54" s="38">
        <f t="shared" si="1"/>
        <v>24926.399999999998</v>
      </c>
      <c r="M54" s="32" t="s">
        <v>29</v>
      </c>
      <c r="N54" s="37">
        <v>550.4</v>
      </c>
      <c r="O54" s="38">
        <f t="shared" si="2"/>
        <v>26419.199999999997</v>
      </c>
      <c r="P54" s="39">
        <f t="shared" si="3"/>
        <v>518.55000000000007</v>
      </c>
      <c r="Q54" s="40">
        <f t="shared" si="4"/>
        <v>-0.2776974255134661</v>
      </c>
      <c r="R54" s="39">
        <f t="shared" si="5"/>
        <v>24821.279999999999</v>
      </c>
      <c r="S54" s="41"/>
      <c r="U54" s="42">
        <f t="shared" si="6"/>
        <v>-6</v>
      </c>
      <c r="V54" s="42">
        <f t="shared" si="7"/>
        <v>0</v>
      </c>
      <c r="W54" s="42">
        <f t="shared" si="8"/>
        <v>6</v>
      </c>
      <c r="Y54" s="28">
        <v>43</v>
      </c>
    </row>
    <row r="55" spans="1:25" s="28" customFormat="1" ht="73.5" customHeight="1" x14ac:dyDescent="0.2">
      <c r="A55" s="30">
        <v>44</v>
      </c>
      <c r="B55" s="31" t="s">
        <v>96</v>
      </c>
      <c r="C55" s="32" t="s">
        <v>25</v>
      </c>
      <c r="D55" s="33" t="s">
        <v>97</v>
      </c>
      <c r="E55" s="34">
        <v>3549.95</v>
      </c>
      <c r="F55" s="35">
        <v>5116.7</v>
      </c>
      <c r="G55" s="32" t="s">
        <v>27</v>
      </c>
      <c r="H55" s="37">
        <f>5997.8/1.2</f>
        <v>4998.166666666667</v>
      </c>
      <c r="I55" s="38">
        <f t="shared" si="9"/>
        <v>4998.166666666667</v>
      </c>
      <c r="J55" s="38" t="s">
        <v>28</v>
      </c>
      <c r="K55" s="37">
        <v>5100.67</v>
      </c>
      <c r="L55" s="38">
        <f t="shared" si="1"/>
        <v>5100.67</v>
      </c>
      <c r="M55" s="32" t="s">
        <v>29</v>
      </c>
      <c r="N55" s="37">
        <v>5427.9</v>
      </c>
      <c r="O55" s="38">
        <f t="shared" si="2"/>
        <v>5427.9</v>
      </c>
      <c r="P55" s="39">
        <f t="shared" si="3"/>
        <v>5175.5788888888883</v>
      </c>
      <c r="Q55" s="40">
        <f t="shared" si="4"/>
        <v>-1.1376290489029515</v>
      </c>
      <c r="R55" s="39">
        <f t="shared" si="5"/>
        <v>5116.7</v>
      </c>
      <c r="S55" s="41"/>
      <c r="U55" s="42">
        <f t="shared" si="6"/>
        <v>-3</v>
      </c>
      <c r="V55" s="42">
        <f t="shared" si="7"/>
        <v>-1</v>
      </c>
      <c r="W55" s="42">
        <f t="shared" si="8"/>
        <v>5</v>
      </c>
      <c r="Y55" s="28">
        <v>44</v>
      </c>
    </row>
    <row r="56" spans="1:25" s="28" customFormat="1" ht="73.5" customHeight="1" x14ac:dyDescent="0.2">
      <c r="A56" s="30">
        <v>45</v>
      </c>
      <c r="B56" s="31" t="s">
        <v>98</v>
      </c>
      <c r="C56" s="32" t="s">
        <v>25</v>
      </c>
      <c r="D56" s="33">
        <v>1</v>
      </c>
      <c r="E56" s="34">
        <v>3529.22</v>
      </c>
      <c r="F56" s="35">
        <v>5200.3999999999996</v>
      </c>
      <c r="G56" s="32" t="s">
        <v>27</v>
      </c>
      <c r="H56" s="37">
        <f>6038.66/1.2</f>
        <v>5032.2166666666672</v>
      </c>
      <c r="I56" s="38">
        <f t="shared" si="9"/>
        <v>5032.2166666666672</v>
      </c>
      <c r="J56" s="38" t="s">
        <v>28</v>
      </c>
      <c r="K56" s="37">
        <v>5201.7</v>
      </c>
      <c r="L56" s="38">
        <f t="shared" si="1"/>
        <v>5201.7</v>
      </c>
      <c r="M56" s="32" t="s">
        <v>29</v>
      </c>
      <c r="N56" s="37">
        <v>5504.9</v>
      </c>
      <c r="O56" s="38">
        <f t="shared" si="2"/>
        <v>5504.9</v>
      </c>
      <c r="P56" s="39">
        <f t="shared" si="3"/>
        <v>5246.2722222222228</v>
      </c>
      <c r="Q56" s="40">
        <f t="shared" si="4"/>
        <v>-0.87437746802228844</v>
      </c>
      <c r="R56" s="39">
        <f t="shared" si="5"/>
        <v>5200.3999999999996</v>
      </c>
      <c r="S56" s="41"/>
      <c r="U56" s="42">
        <f t="shared" si="6"/>
        <v>-4</v>
      </c>
      <c r="V56" s="42">
        <f t="shared" si="7"/>
        <v>-1</v>
      </c>
      <c r="W56" s="42">
        <f t="shared" si="8"/>
        <v>5</v>
      </c>
      <c r="Y56" s="28">
        <v>45</v>
      </c>
    </row>
    <row r="57" spans="1:25" s="28" customFormat="1" ht="73.5" customHeight="1" x14ac:dyDescent="0.2">
      <c r="A57" s="30">
        <v>46</v>
      </c>
      <c r="B57" s="31" t="s">
        <v>99</v>
      </c>
      <c r="C57" s="32" t="s">
        <v>25</v>
      </c>
      <c r="D57" s="33">
        <v>3</v>
      </c>
      <c r="E57" s="34">
        <v>1333.57</v>
      </c>
      <c r="F57" s="35">
        <v>1796.4</v>
      </c>
      <c r="G57" s="32" t="s">
        <v>27</v>
      </c>
      <c r="H57" s="37">
        <f>2109.78/1.2</f>
        <v>1758.1500000000003</v>
      </c>
      <c r="I57" s="38">
        <f t="shared" si="9"/>
        <v>5274.4500000000007</v>
      </c>
      <c r="J57" s="38" t="s">
        <v>28</v>
      </c>
      <c r="K57" s="37">
        <v>1801.3</v>
      </c>
      <c r="L57" s="38">
        <f t="shared" si="1"/>
        <v>5403.9</v>
      </c>
      <c r="M57" s="32" t="s">
        <v>29</v>
      </c>
      <c r="N57" s="37">
        <v>1956.8</v>
      </c>
      <c r="O57" s="38">
        <f t="shared" si="2"/>
        <v>5870.4</v>
      </c>
      <c r="P57" s="39">
        <f t="shared" si="3"/>
        <v>1838.75</v>
      </c>
      <c r="Q57" s="40">
        <f t="shared" si="4"/>
        <v>-2.3031951053704915</v>
      </c>
      <c r="R57" s="39">
        <f t="shared" si="5"/>
        <v>5389.2000000000007</v>
      </c>
      <c r="S57" s="41"/>
      <c r="U57" s="42">
        <f t="shared" si="6"/>
        <v>-4</v>
      </c>
      <c r="V57" s="42">
        <f t="shared" si="7"/>
        <v>-2</v>
      </c>
      <c r="W57" s="42">
        <f t="shared" si="8"/>
        <v>6</v>
      </c>
      <c r="Y57" s="28">
        <v>46</v>
      </c>
    </row>
    <row r="58" spans="1:25" s="28" customFormat="1" ht="73.5" customHeight="1" x14ac:dyDescent="0.2">
      <c r="A58" s="30">
        <v>47</v>
      </c>
      <c r="B58" s="31" t="s">
        <v>100</v>
      </c>
      <c r="C58" s="32" t="s">
        <v>25</v>
      </c>
      <c r="D58" s="33">
        <v>11</v>
      </c>
      <c r="E58" s="34">
        <v>5041.4799999999996</v>
      </c>
      <c r="F58" s="35">
        <v>7180.45</v>
      </c>
      <c r="G58" s="32" t="s">
        <v>27</v>
      </c>
      <c r="H58" s="37">
        <f>8361.03/1.2</f>
        <v>6967.5250000000005</v>
      </c>
      <c r="I58" s="38">
        <f t="shared" si="9"/>
        <v>76642.775000000009</v>
      </c>
      <c r="J58" s="38" t="s">
        <v>28</v>
      </c>
      <c r="K58" s="37">
        <v>7201.4</v>
      </c>
      <c r="L58" s="38">
        <f t="shared" si="1"/>
        <v>79215.399999999994</v>
      </c>
      <c r="M58" s="32" t="s">
        <v>29</v>
      </c>
      <c r="N58" s="37">
        <v>7422.6</v>
      </c>
      <c r="O58" s="38">
        <f t="shared" si="2"/>
        <v>81648.600000000006</v>
      </c>
      <c r="P58" s="39">
        <f t="shared" si="3"/>
        <v>7197.1750000000002</v>
      </c>
      <c r="Q58" s="40">
        <f t="shared" si="4"/>
        <v>-0.23238284465780623</v>
      </c>
      <c r="R58" s="39">
        <f t="shared" si="5"/>
        <v>78984.95</v>
      </c>
      <c r="S58" s="41"/>
      <c r="U58" s="42">
        <f t="shared" si="6"/>
        <v>-3</v>
      </c>
      <c r="V58" s="42">
        <f t="shared" si="7"/>
        <v>0</v>
      </c>
      <c r="W58" s="42">
        <f t="shared" si="8"/>
        <v>3</v>
      </c>
      <c r="Y58" s="28">
        <v>47</v>
      </c>
    </row>
    <row r="59" spans="1:25" s="28" customFormat="1" ht="73.5" customHeight="1" x14ac:dyDescent="0.2">
      <c r="A59" s="30">
        <v>48</v>
      </c>
      <c r="B59" s="31" t="s">
        <v>101</v>
      </c>
      <c r="C59" s="32" t="s">
        <v>25</v>
      </c>
      <c r="D59" s="33">
        <v>6</v>
      </c>
      <c r="E59" s="34">
        <v>121.23</v>
      </c>
      <c r="F59" s="35">
        <v>138.5</v>
      </c>
      <c r="G59" s="32" t="s">
        <v>27</v>
      </c>
      <c r="H59" s="37">
        <f>159.22/1.2</f>
        <v>132.68333333333334</v>
      </c>
      <c r="I59" s="38">
        <f t="shared" si="9"/>
        <v>796.1</v>
      </c>
      <c r="J59" s="38" t="s">
        <v>28</v>
      </c>
      <c r="K59" s="37">
        <v>139.87</v>
      </c>
      <c r="L59" s="38">
        <f t="shared" si="1"/>
        <v>839.22</v>
      </c>
      <c r="M59" s="32" t="s">
        <v>29</v>
      </c>
      <c r="N59" s="37">
        <v>145.24</v>
      </c>
      <c r="O59" s="38">
        <f t="shared" si="2"/>
        <v>871.44</v>
      </c>
      <c r="P59" s="39">
        <f t="shared" si="3"/>
        <v>139.26444444444445</v>
      </c>
      <c r="Q59" s="40">
        <f t="shared" si="4"/>
        <v>-0.54891573186105802</v>
      </c>
      <c r="R59" s="39">
        <f t="shared" si="5"/>
        <v>831</v>
      </c>
      <c r="S59" s="41"/>
      <c r="U59" s="42">
        <f t="shared" si="6"/>
        <v>-5</v>
      </c>
      <c r="V59" s="42">
        <f t="shared" si="7"/>
        <v>0</v>
      </c>
      <c r="W59" s="42">
        <f t="shared" si="8"/>
        <v>4</v>
      </c>
      <c r="Y59" s="28">
        <v>48</v>
      </c>
    </row>
    <row r="60" spans="1:25" s="28" customFormat="1" ht="73.5" customHeight="1" x14ac:dyDescent="0.2">
      <c r="A60" s="30">
        <v>49</v>
      </c>
      <c r="B60" s="31" t="s">
        <v>102</v>
      </c>
      <c r="C60" s="32" t="s">
        <v>25</v>
      </c>
      <c r="D60" s="33" t="s">
        <v>103</v>
      </c>
      <c r="E60" s="34">
        <v>103.67</v>
      </c>
      <c r="F60" s="35">
        <v>118.5</v>
      </c>
      <c r="G60" s="32" t="s">
        <v>27</v>
      </c>
      <c r="H60" s="37">
        <f>137.81/1.2</f>
        <v>114.84166666666667</v>
      </c>
      <c r="I60" s="38">
        <f t="shared" si="9"/>
        <v>2871.0416666666665</v>
      </c>
      <c r="J60" s="38" t="s">
        <v>28</v>
      </c>
      <c r="K60" s="37">
        <v>121.47</v>
      </c>
      <c r="L60" s="38">
        <f t="shared" si="1"/>
        <v>3036.75</v>
      </c>
      <c r="M60" s="32" t="s">
        <v>29</v>
      </c>
      <c r="N60" s="37">
        <v>119.8</v>
      </c>
      <c r="O60" s="38">
        <f t="shared" si="2"/>
        <v>2995</v>
      </c>
      <c r="P60" s="39">
        <f t="shared" si="3"/>
        <v>118.7038888888889</v>
      </c>
      <c r="Q60" s="40">
        <f t="shared" si="4"/>
        <v>-0.17176260255445186</v>
      </c>
      <c r="R60" s="39">
        <f t="shared" si="5"/>
        <v>2962.5</v>
      </c>
      <c r="S60" s="41"/>
      <c r="U60" s="42">
        <f t="shared" si="6"/>
        <v>-3</v>
      </c>
      <c r="V60" s="42">
        <f t="shared" si="7"/>
        <v>2</v>
      </c>
      <c r="W60" s="42">
        <f t="shared" si="8"/>
        <v>1</v>
      </c>
      <c r="Y60" s="28">
        <v>49</v>
      </c>
    </row>
    <row r="61" spans="1:25" s="28" customFormat="1" ht="73.5" customHeight="1" x14ac:dyDescent="0.2">
      <c r="A61" s="30">
        <v>50</v>
      </c>
      <c r="B61" s="31" t="s">
        <v>104</v>
      </c>
      <c r="C61" s="32" t="s">
        <v>25</v>
      </c>
      <c r="D61" s="33" t="s">
        <v>105</v>
      </c>
      <c r="E61" s="34">
        <v>149.52000000000001</v>
      </c>
      <c r="F61" s="35">
        <v>174.59</v>
      </c>
      <c r="G61" s="32" t="s">
        <v>27</v>
      </c>
      <c r="H61" s="37">
        <f>203.54/1.2</f>
        <v>169.61666666666667</v>
      </c>
      <c r="I61" s="38">
        <f t="shared" si="9"/>
        <v>1356.9333333333334</v>
      </c>
      <c r="J61" s="38" t="s">
        <v>28</v>
      </c>
      <c r="K61" s="37">
        <v>175.54</v>
      </c>
      <c r="L61" s="38">
        <f t="shared" si="1"/>
        <v>1404.32</v>
      </c>
      <c r="M61" s="32" t="s">
        <v>29</v>
      </c>
      <c r="N61" s="37">
        <v>181.7</v>
      </c>
      <c r="O61" s="38">
        <f t="shared" si="2"/>
        <v>1453.6</v>
      </c>
      <c r="P61" s="39">
        <f t="shared" si="3"/>
        <v>175.61888888888885</v>
      </c>
      <c r="Q61" s="40">
        <f t="shared" si="4"/>
        <v>-0.58586459315307593</v>
      </c>
      <c r="R61" s="39">
        <f t="shared" si="5"/>
        <v>1396.72</v>
      </c>
      <c r="S61" s="41"/>
      <c r="U61" s="42">
        <f t="shared" si="6"/>
        <v>-3</v>
      </c>
      <c r="V61" s="42">
        <f t="shared" si="7"/>
        <v>0</v>
      </c>
      <c r="W61" s="42">
        <f t="shared" si="8"/>
        <v>3</v>
      </c>
      <c r="Y61" s="28">
        <v>50</v>
      </c>
    </row>
    <row r="62" spans="1:25" s="28" customFormat="1" ht="73.5" customHeight="1" x14ac:dyDescent="0.2">
      <c r="A62" s="30">
        <v>51</v>
      </c>
      <c r="B62" s="31" t="s">
        <v>106</v>
      </c>
      <c r="C62" s="32" t="s">
        <v>25</v>
      </c>
      <c r="D62" s="33">
        <v>1</v>
      </c>
      <c r="E62" s="34">
        <v>756.08</v>
      </c>
      <c r="F62" s="35">
        <v>800.12</v>
      </c>
      <c r="G62" s="32" t="s">
        <v>27</v>
      </c>
      <c r="H62" s="37">
        <f>945.37/1.2</f>
        <v>787.80833333333339</v>
      </c>
      <c r="I62" s="38">
        <f t="shared" si="9"/>
        <v>787.80833333333339</v>
      </c>
      <c r="J62" s="38" t="s">
        <v>28</v>
      </c>
      <c r="K62" s="37">
        <v>799.9</v>
      </c>
      <c r="L62" s="38">
        <f t="shared" si="1"/>
        <v>799.9</v>
      </c>
      <c r="M62" s="32" t="s">
        <v>29</v>
      </c>
      <c r="N62" s="37">
        <v>820.4</v>
      </c>
      <c r="O62" s="38">
        <f t="shared" si="2"/>
        <v>820.4</v>
      </c>
      <c r="P62" s="39">
        <f t="shared" si="3"/>
        <v>802.7027777777779</v>
      </c>
      <c r="Q62" s="40">
        <f t="shared" si="4"/>
        <v>-0.32176016444444144</v>
      </c>
      <c r="R62" s="39">
        <f t="shared" si="5"/>
        <v>800.12</v>
      </c>
      <c r="S62" s="41"/>
      <c r="U62" s="42">
        <f t="shared" si="6"/>
        <v>-2</v>
      </c>
      <c r="V62" s="42">
        <f t="shared" si="7"/>
        <v>0</v>
      </c>
      <c r="W62" s="42">
        <f t="shared" si="8"/>
        <v>2</v>
      </c>
      <c r="Y62" s="28">
        <v>51</v>
      </c>
    </row>
    <row r="63" spans="1:25" s="28" customFormat="1" ht="73.5" customHeight="1" x14ac:dyDescent="0.2">
      <c r="A63" s="30">
        <v>52</v>
      </c>
      <c r="B63" s="31" t="s">
        <v>107</v>
      </c>
      <c r="C63" s="32" t="s">
        <v>45</v>
      </c>
      <c r="D63" s="33">
        <v>30.2</v>
      </c>
      <c r="E63" s="34">
        <v>5937.5</v>
      </c>
      <c r="F63" s="35">
        <v>12456.8</v>
      </c>
      <c r="G63" s="32" t="s">
        <v>39</v>
      </c>
      <c r="H63" s="37">
        <f>5074.31*1000/400</f>
        <v>12685.775</v>
      </c>
      <c r="I63" s="38">
        <f t="shared" si="9"/>
        <v>383110.40499999997</v>
      </c>
      <c r="J63" s="32" t="s">
        <v>40</v>
      </c>
      <c r="K63" s="37">
        <f>5560*1000/400/1.2</f>
        <v>11583.333333333334</v>
      </c>
      <c r="L63" s="38">
        <f t="shared" si="1"/>
        <v>349816.66666666669</v>
      </c>
      <c r="M63" s="32" t="s">
        <v>108</v>
      </c>
      <c r="N63" s="37">
        <f>5299.17*1000/400</f>
        <v>13247.924999999999</v>
      </c>
      <c r="O63" s="38">
        <f t="shared" si="2"/>
        <v>400087.33499999996</v>
      </c>
      <c r="P63" s="39">
        <f t="shared" si="3"/>
        <v>12505.677777777777</v>
      </c>
      <c r="Q63" s="40">
        <f t="shared" si="4"/>
        <v>-0.39084469187773152</v>
      </c>
      <c r="R63" s="39">
        <f t="shared" si="5"/>
        <v>376195.36</v>
      </c>
      <c r="S63" s="41"/>
      <c r="U63" s="42">
        <f t="shared" si="6"/>
        <v>1</v>
      </c>
      <c r="V63" s="42">
        <f t="shared" si="7"/>
        <v>-7</v>
      </c>
      <c r="W63" s="42">
        <f t="shared" si="8"/>
        <v>6</v>
      </c>
      <c r="Y63" s="28">
        <v>52</v>
      </c>
    </row>
    <row r="64" spans="1:25" s="28" customFormat="1" ht="73.5" customHeight="1" x14ac:dyDescent="0.2">
      <c r="A64" s="30">
        <v>53</v>
      </c>
      <c r="B64" s="31" t="s">
        <v>109</v>
      </c>
      <c r="C64" s="32" t="s">
        <v>25</v>
      </c>
      <c r="D64" s="33">
        <v>40</v>
      </c>
      <c r="E64" s="34">
        <v>3.54</v>
      </c>
      <c r="F64" s="35">
        <v>5.1100000000000003</v>
      </c>
      <c r="G64" s="32" t="s">
        <v>39</v>
      </c>
      <c r="H64" s="37">
        <v>4.83</v>
      </c>
      <c r="I64" s="38">
        <f t="shared" si="9"/>
        <v>193.2</v>
      </c>
      <c r="J64" s="32" t="s">
        <v>54</v>
      </c>
      <c r="K64" s="37">
        <v>5.12</v>
      </c>
      <c r="L64" s="38">
        <f t="shared" si="1"/>
        <v>204.8</v>
      </c>
      <c r="M64" s="38" t="s">
        <v>41</v>
      </c>
      <c r="N64" s="37">
        <v>5.8</v>
      </c>
      <c r="O64" s="38">
        <f t="shared" si="2"/>
        <v>232</v>
      </c>
      <c r="P64" s="39">
        <f t="shared" si="3"/>
        <v>5.25</v>
      </c>
      <c r="Q64" s="40">
        <f t="shared" si="4"/>
        <v>-2.6666666666666572</v>
      </c>
      <c r="R64" s="39">
        <f t="shared" si="5"/>
        <v>204.4</v>
      </c>
      <c r="S64" s="41"/>
      <c r="U64" s="42">
        <f t="shared" si="6"/>
        <v>-8</v>
      </c>
      <c r="V64" s="42">
        <f t="shared" si="7"/>
        <v>-2</v>
      </c>
      <c r="W64" s="42">
        <f t="shared" si="8"/>
        <v>10</v>
      </c>
      <c r="Y64" s="28">
        <v>53</v>
      </c>
    </row>
    <row r="65" spans="1:25" s="28" customFormat="1" ht="73.5" customHeight="1" x14ac:dyDescent="0.2">
      <c r="A65" s="30">
        <v>54</v>
      </c>
      <c r="B65" s="31" t="s">
        <v>110</v>
      </c>
      <c r="C65" s="32" t="s">
        <v>25</v>
      </c>
      <c r="D65" s="33">
        <v>20</v>
      </c>
      <c r="E65" s="34">
        <v>5.16</v>
      </c>
      <c r="F65" s="35">
        <v>7.08</v>
      </c>
      <c r="G65" s="32" t="s">
        <v>39</v>
      </c>
      <c r="H65" s="37">
        <v>6.95</v>
      </c>
      <c r="I65" s="38">
        <f t="shared" si="9"/>
        <v>139</v>
      </c>
      <c r="J65" s="32" t="s">
        <v>54</v>
      </c>
      <c r="K65" s="37">
        <v>7.32</v>
      </c>
      <c r="L65" s="38">
        <f t="shared" si="1"/>
        <v>146.4</v>
      </c>
      <c r="M65" s="38" t="s">
        <v>41</v>
      </c>
      <c r="N65" s="37">
        <v>7.13</v>
      </c>
      <c r="O65" s="38">
        <f t="shared" si="2"/>
        <v>142.6</v>
      </c>
      <c r="P65" s="39">
        <f t="shared" si="3"/>
        <v>7.1333333333333329</v>
      </c>
      <c r="Q65" s="40">
        <f t="shared" si="4"/>
        <v>-0.74766355140185681</v>
      </c>
      <c r="R65" s="39">
        <f t="shared" si="5"/>
        <v>141.6</v>
      </c>
      <c r="S65" s="41"/>
      <c r="U65" s="42">
        <f t="shared" si="6"/>
        <v>-3</v>
      </c>
      <c r="V65" s="42">
        <f t="shared" si="7"/>
        <v>3</v>
      </c>
      <c r="W65" s="42">
        <f t="shared" si="8"/>
        <v>0</v>
      </c>
      <c r="Y65" s="28">
        <v>54</v>
      </c>
    </row>
    <row r="66" spans="1:25" s="28" customFormat="1" ht="73.5" customHeight="1" x14ac:dyDescent="0.2">
      <c r="A66" s="30">
        <v>55</v>
      </c>
      <c r="B66" s="31" t="s">
        <v>111</v>
      </c>
      <c r="C66" s="32" t="s">
        <v>25</v>
      </c>
      <c r="D66" s="33">
        <v>480</v>
      </c>
      <c r="E66" s="34">
        <v>12.38</v>
      </c>
      <c r="F66" s="35">
        <v>18.600000000000001</v>
      </c>
      <c r="G66" s="32" t="s">
        <v>39</v>
      </c>
      <c r="H66" s="37">
        <v>18.07</v>
      </c>
      <c r="I66" s="38">
        <f t="shared" si="9"/>
        <v>8673.6</v>
      </c>
      <c r="J66" s="32" t="s">
        <v>54</v>
      </c>
      <c r="K66" s="37">
        <v>17.59</v>
      </c>
      <c r="L66" s="38">
        <f t="shared" si="1"/>
        <v>8443.2000000000007</v>
      </c>
      <c r="M66" s="38" t="s">
        <v>41</v>
      </c>
      <c r="N66" s="37">
        <v>21.07</v>
      </c>
      <c r="O66" s="38">
        <f t="shared" si="2"/>
        <v>10113.6</v>
      </c>
      <c r="P66" s="39">
        <f t="shared" si="3"/>
        <v>18.91</v>
      </c>
      <c r="Q66" s="40">
        <f t="shared" si="4"/>
        <v>-1.6393442622950687</v>
      </c>
      <c r="R66" s="39">
        <f t="shared" si="5"/>
        <v>8928</v>
      </c>
      <c r="S66" s="41"/>
      <c r="U66" s="42">
        <f t="shared" si="6"/>
        <v>-4</v>
      </c>
      <c r="V66" s="42">
        <f t="shared" si="7"/>
        <v>-7</v>
      </c>
      <c r="W66" s="42">
        <f t="shared" si="8"/>
        <v>11</v>
      </c>
      <c r="Y66" s="28">
        <v>55</v>
      </c>
    </row>
    <row r="67" spans="1:25" s="28" customFormat="1" ht="73.5" customHeight="1" x14ac:dyDescent="0.2">
      <c r="A67" s="30">
        <v>56</v>
      </c>
      <c r="B67" s="31" t="s">
        <v>112</v>
      </c>
      <c r="C67" s="32" t="s">
        <v>25</v>
      </c>
      <c r="D67" s="33">
        <v>1200</v>
      </c>
      <c r="E67" s="34">
        <v>25.04</v>
      </c>
      <c r="F67" s="35">
        <v>33.56</v>
      </c>
      <c r="G67" s="32" t="s">
        <v>39</v>
      </c>
      <c r="H67" s="37">
        <v>33.19</v>
      </c>
      <c r="I67" s="38">
        <f t="shared" si="9"/>
        <v>39828</v>
      </c>
      <c r="J67" s="32" t="s">
        <v>54</v>
      </c>
      <c r="K67" s="37">
        <v>36.54</v>
      </c>
      <c r="L67" s="38">
        <f t="shared" si="1"/>
        <v>43848</v>
      </c>
      <c r="M67" s="38" t="s">
        <v>41</v>
      </c>
      <c r="N67" s="37">
        <v>31.47</v>
      </c>
      <c r="O67" s="38">
        <f t="shared" si="2"/>
        <v>37764</v>
      </c>
      <c r="P67" s="39">
        <f t="shared" si="3"/>
        <v>33.733333333333327</v>
      </c>
      <c r="Q67" s="40">
        <f t="shared" si="4"/>
        <v>-0.51383399209484537</v>
      </c>
      <c r="R67" s="39">
        <f t="shared" si="5"/>
        <v>40272</v>
      </c>
      <c r="S67" s="41"/>
      <c r="U67" s="42">
        <f t="shared" si="6"/>
        <v>-2</v>
      </c>
      <c r="V67" s="42">
        <f t="shared" si="7"/>
        <v>8</v>
      </c>
      <c r="W67" s="42">
        <f t="shared" si="8"/>
        <v>-7</v>
      </c>
      <c r="Y67" s="28">
        <v>56</v>
      </c>
    </row>
    <row r="68" spans="1:25" s="28" customFormat="1" ht="73.5" customHeight="1" x14ac:dyDescent="0.2">
      <c r="A68" s="30">
        <v>57</v>
      </c>
      <c r="B68" s="31" t="s">
        <v>113</v>
      </c>
      <c r="C68" s="32" t="s">
        <v>25</v>
      </c>
      <c r="D68" s="33">
        <v>40</v>
      </c>
      <c r="E68" s="34">
        <v>0.98</v>
      </c>
      <c r="F68" s="35">
        <v>1.5</v>
      </c>
      <c r="G68" s="32" t="s">
        <v>39</v>
      </c>
      <c r="H68" s="37">
        <v>1.47</v>
      </c>
      <c r="I68" s="38">
        <f t="shared" si="9"/>
        <v>58.8</v>
      </c>
      <c r="J68" s="32" t="s">
        <v>54</v>
      </c>
      <c r="K68" s="37">
        <v>1.4</v>
      </c>
      <c r="L68" s="38">
        <f t="shared" si="1"/>
        <v>56</v>
      </c>
      <c r="M68" s="38" t="s">
        <v>41</v>
      </c>
      <c r="N68" s="37">
        <v>1.65</v>
      </c>
      <c r="O68" s="38">
        <f t="shared" si="2"/>
        <v>66</v>
      </c>
      <c r="P68" s="39">
        <f t="shared" si="3"/>
        <v>1.5066666666666666</v>
      </c>
      <c r="Q68" s="40">
        <f t="shared" si="4"/>
        <v>-0.44247787610619582</v>
      </c>
      <c r="R68" s="39">
        <f t="shared" si="5"/>
        <v>60</v>
      </c>
      <c r="S68" s="41"/>
      <c r="U68" s="42">
        <f t="shared" si="6"/>
        <v>-2</v>
      </c>
      <c r="V68" s="42">
        <f t="shared" si="7"/>
        <v>-7</v>
      </c>
      <c r="W68" s="42">
        <f t="shared" si="8"/>
        <v>10</v>
      </c>
      <c r="Y68" s="28">
        <v>57</v>
      </c>
    </row>
    <row r="69" spans="1:25" s="28" customFormat="1" ht="73.5" customHeight="1" x14ac:dyDescent="0.2">
      <c r="A69" s="30">
        <v>58</v>
      </c>
      <c r="B69" s="31" t="s">
        <v>114</v>
      </c>
      <c r="C69" s="32" t="s">
        <v>25</v>
      </c>
      <c r="D69" s="33">
        <v>30</v>
      </c>
      <c r="E69" s="34">
        <v>2.0499999999999998</v>
      </c>
      <c r="F69" s="35">
        <v>2.99</v>
      </c>
      <c r="G69" s="32" t="s">
        <v>39</v>
      </c>
      <c r="H69" s="37">
        <v>2.92</v>
      </c>
      <c r="I69" s="38">
        <f t="shared" si="9"/>
        <v>87.6</v>
      </c>
      <c r="J69" s="32" t="s">
        <v>54</v>
      </c>
      <c r="K69" s="37">
        <v>3.1</v>
      </c>
      <c r="L69" s="38">
        <f t="shared" si="1"/>
        <v>93</v>
      </c>
      <c r="M69" s="38" t="s">
        <v>41</v>
      </c>
      <c r="N69" s="37">
        <v>2.98</v>
      </c>
      <c r="O69" s="38">
        <f t="shared" si="2"/>
        <v>89.4</v>
      </c>
      <c r="P69" s="39">
        <f t="shared" si="3"/>
        <v>3</v>
      </c>
      <c r="Q69" s="40">
        <f t="shared" si="4"/>
        <v>-0.3333333333333286</v>
      </c>
      <c r="R69" s="39">
        <f t="shared" si="5"/>
        <v>89.7</v>
      </c>
      <c r="S69" s="41"/>
      <c r="U69" s="42">
        <f t="shared" si="6"/>
        <v>-3</v>
      </c>
      <c r="V69" s="42">
        <f t="shared" si="7"/>
        <v>3</v>
      </c>
      <c r="W69" s="42">
        <f t="shared" si="8"/>
        <v>-1</v>
      </c>
      <c r="Y69" s="28">
        <v>58</v>
      </c>
    </row>
    <row r="70" spans="1:25" s="28" customFormat="1" ht="73.5" hidden="1" customHeight="1" x14ac:dyDescent="0.2">
      <c r="A70" s="30">
        <v>62</v>
      </c>
      <c r="B70" s="31" t="s">
        <v>115</v>
      </c>
      <c r="C70" s="32" t="s">
        <v>25</v>
      </c>
      <c r="D70" s="33">
        <v>6</v>
      </c>
      <c r="E70" s="34">
        <v>208.33</v>
      </c>
      <c r="F70" s="35">
        <v>208.68</v>
      </c>
      <c r="G70" s="32" t="s">
        <v>39</v>
      </c>
      <c r="H70" s="37">
        <v>205.33</v>
      </c>
      <c r="I70" s="38">
        <f t="shared" si="9"/>
        <v>1231.98</v>
      </c>
      <c r="J70" s="32" t="s">
        <v>46</v>
      </c>
      <c r="K70" s="37">
        <v>211.47</v>
      </c>
      <c r="L70" s="38">
        <f t="shared" si="1"/>
        <v>1268.82</v>
      </c>
      <c r="M70" s="38" t="s">
        <v>41</v>
      </c>
      <c r="N70" s="37">
        <v>210.15</v>
      </c>
      <c r="O70" s="38">
        <f t="shared" si="2"/>
        <v>1260.9000000000001</v>
      </c>
      <c r="P70" s="39">
        <f t="shared" si="3"/>
        <v>208.98333333333335</v>
      </c>
      <c r="Q70" s="40">
        <f t="shared" si="4"/>
        <v>-0.14514714092032932</v>
      </c>
      <c r="R70" s="39">
        <f t="shared" si="5"/>
        <v>1252.08</v>
      </c>
      <c r="S70" s="47" t="s">
        <v>116</v>
      </c>
      <c r="U70" s="42">
        <f t="shared" si="6"/>
        <v>-2</v>
      </c>
      <c r="V70" s="42">
        <f t="shared" si="7"/>
        <v>1</v>
      </c>
      <c r="W70" s="42">
        <f t="shared" si="8"/>
        <v>1</v>
      </c>
      <c r="Y70" s="28">
        <v>60</v>
      </c>
    </row>
    <row r="71" spans="1:25" s="28" customFormat="1" ht="73.5" customHeight="1" x14ac:dyDescent="0.2">
      <c r="A71" s="30">
        <v>64</v>
      </c>
      <c r="B71" s="31" t="s">
        <v>117</v>
      </c>
      <c r="C71" s="32" t="s">
        <v>118</v>
      </c>
      <c r="D71" s="33">
        <v>135</v>
      </c>
      <c r="E71" s="34" t="s">
        <v>26</v>
      </c>
      <c r="F71" s="35">
        <v>203.5</v>
      </c>
      <c r="G71" s="32" t="s">
        <v>56</v>
      </c>
      <c r="H71" s="37">
        <v>197.36</v>
      </c>
      <c r="I71" s="38">
        <f t="shared" si="9"/>
        <v>26643.600000000002</v>
      </c>
      <c r="J71" s="32" t="s">
        <v>57</v>
      </c>
      <c r="K71" s="37">
        <v>220.92</v>
      </c>
      <c r="L71" s="38">
        <f t="shared" si="1"/>
        <v>29824.199999999997</v>
      </c>
      <c r="M71" s="32" t="s">
        <v>119</v>
      </c>
      <c r="N71" s="37">
        <v>193.78</v>
      </c>
      <c r="O71" s="38">
        <f t="shared" si="2"/>
        <v>26160.3</v>
      </c>
      <c r="P71" s="39">
        <f t="shared" si="3"/>
        <v>204.01999999999998</v>
      </c>
      <c r="Q71" s="40">
        <f t="shared" si="4"/>
        <v>-0.25487697284579269</v>
      </c>
      <c r="R71" s="39">
        <f t="shared" si="5"/>
        <v>27472.5</v>
      </c>
      <c r="S71" s="47"/>
      <c r="U71" s="42">
        <f t="shared" si="6"/>
        <v>-3</v>
      </c>
      <c r="V71" s="42">
        <f t="shared" si="7"/>
        <v>8</v>
      </c>
      <c r="W71" s="42">
        <f t="shared" si="8"/>
        <v>-5</v>
      </c>
      <c r="Y71" s="28">
        <v>62</v>
      </c>
    </row>
    <row r="72" spans="1:25" s="28" customFormat="1" ht="73.5" hidden="1" customHeight="1" x14ac:dyDescent="0.2">
      <c r="A72" s="30">
        <v>65</v>
      </c>
      <c r="B72" s="31" t="s">
        <v>120</v>
      </c>
      <c r="C72" s="32" t="s">
        <v>25</v>
      </c>
      <c r="D72" s="33">
        <v>6</v>
      </c>
      <c r="E72" s="34">
        <v>158357</v>
      </c>
      <c r="F72" s="35">
        <v>175500</v>
      </c>
      <c r="G72" s="32" t="s">
        <v>56</v>
      </c>
      <c r="H72" s="37">
        <v>167514.67000000001</v>
      </c>
      <c r="I72" s="38">
        <f t="shared" si="9"/>
        <v>1005088.02</v>
      </c>
      <c r="J72" s="32" t="s">
        <v>57</v>
      </c>
      <c r="K72" s="37">
        <v>184511.4</v>
      </c>
      <c r="L72" s="38">
        <f t="shared" si="1"/>
        <v>1107068.3999999999</v>
      </c>
      <c r="M72" s="32" t="s">
        <v>119</v>
      </c>
      <c r="N72" s="37">
        <v>175488.6</v>
      </c>
      <c r="O72" s="38">
        <f t="shared" si="2"/>
        <v>1052931.6000000001</v>
      </c>
      <c r="P72" s="39">
        <f t="shared" si="3"/>
        <v>175838.22333333336</v>
      </c>
      <c r="Q72" s="40">
        <f t="shared" si="4"/>
        <v>-0.19234915305769107</v>
      </c>
      <c r="R72" s="39">
        <f t="shared" si="5"/>
        <v>1053000</v>
      </c>
      <c r="S72" s="47" t="s">
        <v>116</v>
      </c>
      <c r="U72" s="42">
        <f t="shared" si="6"/>
        <v>-5</v>
      </c>
      <c r="V72" s="42">
        <f t="shared" si="7"/>
        <v>5</v>
      </c>
      <c r="W72" s="42">
        <f t="shared" si="8"/>
        <v>0</v>
      </c>
      <c r="Y72" s="28">
        <v>63</v>
      </c>
    </row>
    <row r="73" spans="1:25" s="28" customFormat="1" ht="73.5" customHeight="1" x14ac:dyDescent="0.2">
      <c r="A73" s="30">
        <v>66</v>
      </c>
      <c r="B73" s="31" t="s">
        <v>121</v>
      </c>
      <c r="C73" s="32" t="s">
        <v>25</v>
      </c>
      <c r="D73" s="33">
        <v>2</v>
      </c>
      <c r="E73" s="34" t="s">
        <v>26</v>
      </c>
      <c r="F73" s="35">
        <v>219</v>
      </c>
      <c r="G73" s="32" t="s">
        <v>27</v>
      </c>
      <c r="H73" s="37">
        <f>261.07/1.2</f>
        <v>217.55833333333334</v>
      </c>
      <c r="I73" s="38">
        <f t="shared" si="9"/>
        <v>435.11666666666667</v>
      </c>
      <c r="J73" s="38" t="s">
        <v>28</v>
      </c>
      <c r="K73" s="37">
        <v>221.09</v>
      </c>
      <c r="L73" s="38">
        <f t="shared" si="1"/>
        <v>442.18</v>
      </c>
      <c r="M73" s="32" t="s">
        <v>29</v>
      </c>
      <c r="N73" s="37">
        <v>220.74</v>
      </c>
      <c r="O73" s="38">
        <f t="shared" si="2"/>
        <v>441.48</v>
      </c>
      <c r="P73" s="39">
        <f t="shared" si="3"/>
        <v>219.79611111111112</v>
      </c>
      <c r="Q73" s="40">
        <f t="shared" si="4"/>
        <v>-0.36220436616763152</v>
      </c>
      <c r="R73" s="39">
        <f t="shared" si="5"/>
        <v>438</v>
      </c>
      <c r="S73" s="47"/>
      <c r="U73" s="42">
        <f t="shared" si="6"/>
        <v>-1</v>
      </c>
      <c r="V73" s="42">
        <f t="shared" si="7"/>
        <v>1</v>
      </c>
      <c r="W73" s="42">
        <f t="shared" si="8"/>
        <v>0</v>
      </c>
      <c r="Y73" s="28">
        <v>64</v>
      </c>
    </row>
    <row r="74" spans="1:25" s="28" customFormat="1" ht="73.5" customHeight="1" x14ac:dyDescent="0.2">
      <c r="A74" s="30">
        <v>67</v>
      </c>
      <c r="B74" s="31" t="s">
        <v>122</v>
      </c>
      <c r="C74" s="32" t="s">
        <v>25</v>
      </c>
      <c r="D74" s="33">
        <v>12</v>
      </c>
      <c r="E74" s="34">
        <v>9377.67</v>
      </c>
      <c r="F74" s="35">
        <v>14005.5</v>
      </c>
      <c r="G74" s="37" t="s">
        <v>67</v>
      </c>
      <c r="H74" s="37">
        <f>16424.57/1.2</f>
        <v>13687.141666666666</v>
      </c>
      <c r="I74" s="38">
        <f t="shared" si="9"/>
        <v>164245.70000000001</v>
      </c>
      <c r="J74" s="32" t="s">
        <v>46</v>
      </c>
      <c r="K74" s="37">
        <v>13897.5</v>
      </c>
      <c r="L74" s="38">
        <f t="shared" si="1"/>
        <v>166770</v>
      </c>
      <c r="M74" s="32" t="s">
        <v>119</v>
      </c>
      <c r="N74" s="37">
        <v>14510.42</v>
      </c>
      <c r="O74" s="38">
        <f t="shared" si="2"/>
        <v>174125.04</v>
      </c>
      <c r="P74" s="39">
        <f t="shared" si="3"/>
        <v>14031.687222222223</v>
      </c>
      <c r="Q74" s="40">
        <f t="shared" si="4"/>
        <v>-0.18662917586097194</v>
      </c>
      <c r="R74" s="39">
        <f t="shared" si="5"/>
        <v>168066</v>
      </c>
      <c r="S74" s="48"/>
      <c r="U74" s="42">
        <f t="shared" si="6"/>
        <v>-2</v>
      </c>
      <c r="V74" s="42">
        <f t="shared" si="7"/>
        <v>-1</v>
      </c>
      <c r="W74" s="42">
        <f t="shared" si="8"/>
        <v>3</v>
      </c>
      <c r="Y74" s="28">
        <v>65</v>
      </c>
    </row>
    <row r="75" spans="1:25" s="28" customFormat="1" ht="73.5" customHeight="1" x14ac:dyDescent="0.2">
      <c r="A75" s="30">
        <v>68</v>
      </c>
      <c r="B75" s="31" t="s">
        <v>123</v>
      </c>
      <c r="C75" s="32" t="s">
        <v>25</v>
      </c>
      <c r="D75" s="33">
        <v>10</v>
      </c>
      <c r="E75" s="34">
        <v>1536.24</v>
      </c>
      <c r="F75" s="35">
        <v>1705.6</v>
      </c>
      <c r="G75" s="32" t="s">
        <v>27</v>
      </c>
      <c r="H75" s="37">
        <f>2031.58/1.2</f>
        <v>1692.9833333333333</v>
      </c>
      <c r="I75" s="38">
        <f t="shared" si="9"/>
        <v>16929.833333333332</v>
      </c>
      <c r="J75" s="38" t="s">
        <v>28</v>
      </c>
      <c r="K75" s="37">
        <v>1709.88</v>
      </c>
      <c r="L75" s="38">
        <f t="shared" si="1"/>
        <v>17098.800000000003</v>
      </c>
      <c r="M75" s="32" t="s">
        <v>29</v>
      </c>
      <c r="N75" s="37">
        <v>1726.06</v>
      </c>
      <c r="O75" s="38">
        <f t="shared" si="2"/>
        <v>17260.599999999999</v>
      </c>
      <c r="P75" s="39">
        <f t="shared" si="3"/>
        <v>1709.6411111111113</v>
      </c>
      <c r="Q75" s="40">
        <f t="shared" si="4"/>
        <v>-0.23637189611595488</v>
      </c>
      <c r="R75" s="39">
        <f t="shared" si="5"/>
        <v>17056</v>
      </c>
      <c r="S75" s="48"/>
      <c r="U75" s="42">
        <f t="shared" si="6"/>
        <v>-1</v>
      </c>
      <c r="V75" s="42">
        <f t="shared" si="7"/>
        <v>0</v>
      </c>
      <c r="W75" s="42">
        <f t="shared" si="8"/>
        <v>1</v>
      </c>
      <c r="Y75" s="28">
        <v>66</v>
      </c>
    </row>
    <row r="76" spans="1:25" s="28" customFormat="1" ht="73.5" customHeight="1" x14ac:dyDescent="0.2">
      <c r="A76" s="30">
        <v>69</v>
      </c>
      <c r="B76" s="31" t="s">
        <v>124</v>
      </c>
      <c r="C76" s="32" t="s">
        <v>25</v>
      </c>
      <c r="D76" s="33">
        <v>3</v>
      </c>
      <c r="E76" s="34">
        <v>1937.79</v>
      </c>
      <c r="F76" s="35">
        <v>2340</v>
      </c>
      <c r="G76" s="32" t="s">
        <v>27</v>
      </c>
      <c r="H76" s="37">
        <f>2816.81/1.2</f>
        <v>2347.3416666666667</v>
      </c>
      <c r="I76" s="38">
        <f t="shared" ref="I76:I94" si="10">D76*H76</f>
        <v>7042.0249999999996</v>
      </c>
      <c r="J76" s="38" t="s">
        <v>28</v>
      </c>
      <c r="K76" s="37">
        <v>2317.52</v>
      </c>
      <c r="L76" s="38">
        <f t="shared" ref="L76:L139" si="11">D76*K76</f>
        <v>6952.5599999999995</v>
      </c>
      <c r="M76" s="32" t="s">
        <v>29</v>
      </c>
      <c r="N76" s="37">
        <v>2358.33</v>
      </c>
      <c r="O76" s="38">
        <f t="shared" ref="O76:O139" si="12">D76*N76</f>
        <v>7074.99</v>
      </c>
      <c r="P76" s="39">
        <f t="shared" ref="P76:P139" si="13">AVERAGE(H76,K76,N76)</f>
        <v>2341.0638888888889</v>
      </c>
      <c r="Q76" s="40">
        <f t="shared" ref="Q76:Q139" si="14">F76*100/P76-100</f>
        <v>-4.5444675557050118E-2</v>
      </c>
      <c r="R76" s="39">
        <f t="shared" ref="R76:R139" si="15">D76*F76</f>
        <v>7020</v>
      </c>
      <c r="S76" s="41"/>
      <c r="U76" s="42">
        <f t="shared" ref="U76:U139" si="16">ROUND(H76*100/P76-100,0)</f>
        <v>0</v>
      </c>
      <c r="V76" s="42">
        <f t="shared" ref="V76:V139" si="17">ROUND(K76*100/P76-100,0)</f>
        <v>-1</v>
      </c>
      <c r="W76" s="42">
        <f t="shared" ref="W76:W139" si="18">ROUND(N76*100/P76-100,0)</f>
        <v>1</v>
      </c>
      <c r="Y76" s="28">
        <v>67</v>
      </c>
    </row>
    <row r="77" spans="1:25" s="28" customFormat="1" ht="73.5" customHeight="1" x14ac:dyDescent="0.2">
      <c r="A77" s="30">
        <v>70</v>
      </c>
      <c r="B77" s="31" t="s">
        <v>125</v>
      </c>
      <c r="C77" s="32" t="s">
        <v>25</v>
      </c>
      <c r="D77" s="33">
        <v>15</v>
      </c>
      <c r="E77" s="34">
        <v>5173.82</v>
      </c>
      <c r="F77" s="35">
        <v>5605.6</v>
      </c>
      <c r="G77" s="32" t="s">
        <v>27</v>
      </c>
      <c r="H77" s="37">
        <f>6814.33/1.2</f>
        <v>5678.6083333333336</v>
      </c>
      <c r="I77" s="38">
        <f t="shared" si="10"/>
        <v>85179.125</v>
      </c>
      <c r="J77" s="38" t="s">
        <v>28</v>
      </c>
      <c r="K77" s="37">
        <v>5594.41</v>
      </c>
      <c r="L77" s="38">
        <f t="shared" si="11"/>
        <v>83916.15</v>
      </c>
      <c r="M77" s="32" t="s">
        <v>29</v>
      </c>
      <c r="N77" s="37">
        <v>5611.85</v>
      </c>
      <c r="O77" s="38">
        <f t="shared" si="12"/>
        <v>84177.75</v>
      </c>
      <c r="P77" s="39">
        <f t="shared" si="13"/>
        <v>5628.2894444444437</v>
      </c>
      <c r="Q77" s="40">
        <f t="shared" si="14"/>
        <v>-0.40313215353272369</v>
      </c>
      <c r="R77" s="39">
        <f t="shared" si="15"/>
        <v>84084</v>
      </c>
      <c r="S77" s="41"/>
      <c r="U77" s="42">
        <f t="shared" si="16"/>
        <v>1</v>
      </c>
      <c r="V77" s="42">
        <f t="shared" si="17"/>
        <v>-1</v>
      </c>
      <c r="W77" s="42">
        <f t="shared" si="18"/>
        <v>0</v>
      </c>
      <c r="Y77" s="28">
        <v>68</v>
      </c>
    </row>
    <row r="78" spans="1:25" s="28" customFormat="1" ht="73.5" customHeight="1" x14ac:dyDescent="0.2">
      <c r="A78" s="30">
        <v>71</v>
      </c>
      <c r="B78" s="31" t="s">
        <v>126</v>
      </c>
      <c r="C78" s="32" t="s">
        <v>25</v>
      </c>
      <c r="D78" s="33">
        <v>14</v>
      </c>
      <c r="E78" s="34">
        <v>2701.29</v>
      </c>
      <c r="F78" s="35">
        <v>3200.5</v>
      </c>
      <c r="G78" s="32" t="s">
        <v>27</v>
      </c>
      <c r="H78" s="37">
        <f>3807.04/1.2</f>
        <v>3172.5333333333333</v>
      </c>
      <c r="I78" s="38">
        <f t="shared" si="10"/>
        <v>44415.466666666667</v>
      </c>
      <c r="J78" s="38" t="s">
        <v>28</v>
      </c>
      <c r="K78" s="37">
        <v>3199.28</v>
      </c>
      <c r="L78" s="38">
        <f t="shared" si="11"/>
        <v>44789.920000000006</v>
      </c>
      <c r="M78" s="32" t="s">
        <v>29</v>
      </c>
      <c r="N78" s="37">
        <v>3253.76</v>
      </c>
      <c r="O78" s="38">
        <f t="shared" si="12"/>
        <v>45552.639999999999</v>
      </c>
      <c r="P78" s="39">
        <f t="shared" si="13"/>
        <v>3208.5244444444447</v>
      </c>
      <c r="Q78" s="40">
        <f t="shared" si="14"/>
        <v>-0.25009765652055194</v>
      </c>
      <c r="R78" s="39">
        <f t="shared" si="15"/>
        <v>44807</v>
      </c>
      <c r="S78" s="41"/>
      <c r="U78" s="42">
        <f t="shared" si="16"/>
        <v>-1</v>
      </c>
      <c r="V78" s="42">
        <f t="shared" si="17"/>
        <v>0</v>
      </c>
      <c r="W78" s="42">
        <f t="shared" si="18"/>
        <v>1</v>
      </c>
      <c r="Y78" s="28">
        <v>69</v>
      </c>
    </row>
    <row r="79" spans="1:25" s="28" customFormat="1" ht="73.5" customHeight="1" x14ac:dyDescent="0.2">
      <c r="A79" s="30">
        <v>72</v>
      </c>
      <c r="B79" s="31" t="s">
        <v>127</v>
      </c>
      <c r="C79" s="32" t="s">
        <v>25</v>
      </c>
      <c r="D79" s="33">
        <v>10</v>
      </c>
      <c r="E79" s="34">
        <v>4624.53</v>
      </c>
      <c r="F79" s="35">
        <v>5345.3</v>
      </c>
      <c r="G79" s="32" t="s">
        <v>27</v>
      </c>
      <c r="H79" s="37">
        <f>6364.89/1.2</f>
        <v>5304.0750000000007</v>
      </c>
      <c r="I79" s="38">
        <f t="shared" si="10"/>
        <v>53040.750000000007</v>
      </c>
      <c r="J79" s="38" t="s">
        <v>28</v>
      </c>
      <c r="K79" s="37">
        <v>5388.67</v>
      </c>
      <c r="L79" s="38">
        <f t="shared" si="11"/>
        <v>53886.7</v>
      </c>
      <c r="M79" s="32" t="s">
        <v>29</v>
      </c>
      <c r="N79" s="37">
        <v>5357.13</v>
      </c>
      <c r="O79" s="38">
        <f t="shared" si="12"/>
        <v>53571.3</v>
      </c>
      <c r="P79" s="39">
        <f t="shared" si="13"/>
        <v>5349.958333333333</v>
      </c>
      <c r="Q79" s="40">
        <f t="shared" si="14"/>
        <v>-8.7072329223744305E-2</v>
      </c>
      <c r="R79" s="39">
        <f t="shared" si="15"/>
        <v>53453</v>
      </c>
      <c r="S79" s="41"/>
      <c r="U79" s="42">
        <f t="shared" si="16"/>
        <v>-1</v>
      </c>
      <c r="V79" s="42">
        <f t="shared" si="17"/>
        <v>1</v>
      </c>
      <c r="W79" s="42">
        <f t="shared" si="18"/>
        <v>0</v>
      </c>
      <c r="Y79" s="28">
        <v>70</v>
      </c>
    </row>
    <row r="80" spans="1:25" s="28" customFormat="1" ht="73.5" customHeight="1" x14ac:dyDescent="0.2">
      <c r="A80" s="30">
        <v>74</v>
      </c>
      <c r="B80" s="31" t="s">
        <v>128</v>
      </c>
      <c r="C80" s="32" t="s">
        <v>25</v>
      </c>
      <c r="D80" s="33">
        <v>76</v>
      </c>
      <c r="E80" s="34">
        <v>5161.74</v>
      </c>
      <c r="F80" s="35">
        <v>5560.15</v>
      </c>
      <c r="G80" s="32" t="s">
        <v>27</v>
      </c>
      <c r="H80" s="37">
        <f>6612.37/1.2</f>
        <v>5510.3083333333334</v>
      </c>
      <c r="I80" s="38">
        <f t="shared" si="10"/>
        <v>418783.43333333335</v>
      </c>
      <c r="J80" s="38" t="s">
        <v>28</v>
      </c>
      <c r="K80" s="37">
        <v>5580.04</v>
      </c>
      <c r="L80" s="38">
        <f t="shared" si="11"/>
        <v>424083.04</v>
      </c>
      <c r="M80" s="32" t="s">
        <v>29</v>
      </c>
      <c r="N80" s="37">
        <v>5607.97</v>
      </c>
      <c r="O80" s="38">
        <f t="shared" si="12"/>
        <v>426205.72000000003</v>
      </c>
      <c r="P80" s="39">
        <f t="shared" si="13"/>
        <v>5566.1061111111112</v>
      </c>
      <c r="Q80" s="40">
        <f t="shared" si="14"/>
        <v>-0.10700678341761716</v>
      </c>
      <c r="R80" s="39">
        <f t="shared" si="15"/>
        <v>422571.39999999997</v>
      </c>
      <c r="S80" s="41"/>
      <c r="U80" s="42">
        <f t="shared" si="16"/>
        <v>-1</v>
      </c>
      <c r="V80" s="42">
        <f t="shared" si="17"/>
        <v>0</v>
      </c>
      <c r="W80" s="42">
        <f t="shared" si="18"/>
        <v>1</v>
      </c>
      <c r="Y80" s="28">
        <v>71</v>
      </c>
    </row>
    <row r="81" spans="1:25" s="28" customFormat="1" ht="73.5" customHeight="1" x14ac:dyDescent="0.2">
      <c r="A81" s="30">
        <v>75</v>
      </c>
      <c r="B81" s="31" t="s">
        <v>129</v>
      </c>
      <c r="C81" s="32" t="s">
        <v>25</v>
      </c>
      <c r="D81" s="33">
        <v>5</v>
      </c>
      <c r="E81" s="34">
        <v>316.82</v>
      </c>
      <c r="F81" s="35">
        <v>543.5</v>
      </c>
      <c r="G81" s="32" t="s">
        <v>27</v>
      </c>
      <c r="H81" s="37">
        <f>638.2/1.2</f>
        <v>531.83333333333337</v>
      </c>
      <c r="I81" s="38">
        <f t="shared" si="10"/>
        <v>2659.166666666667</v>
      </c>
      <c r="J81" s="38" t="s">
        <v>28</v>
      </c>
      <c r="K81" s="37">
        <f>671.58/1.2</f>
        <v>559.65000000000009</v>
      </c>
      <c r="L81" s="38">
        <f t="shared" si="11"/>
        <v>2798.2500000000005</v>
      </c>
      <c r="M81" s="32" t="s">
        <v>29</v>
      </c>
      <c r="N81" s="37">
        <v>541.09</v>
      </c>
      <c r="O81" s="38">
        <f t="shared" si="12"/>
        <v>2705.4500000000003</v>
      </c>
      <c r="P81" s="39">
        <f t="shared" si="13"/>
        <v>544.19111111111124</v>
      </c>
      <c r="Q81" s="40">
        <f t="shared" si="14"/>
        <v>-0.1269978683959323</v>
      </c>
      <c r="R81" s="39">
        <f t="shared" si="15"/>
        <v>2717.5</v>
      </c>
      <c r="S81" s="41"/>
      <c r="U81" s="42">
        <f t="shared" si="16"/>
        <v>-2</v>
      </c>
      <c r="V81" s="42">
        <f t="shared" si="17"/>
        <v>3</v>
      </c>
      <c r="W81" s="42">
        <f t="shared" si="18"/>
        <v>-1</v>
      </c>
      <c r="Y81" s="28">
        <v>72</v>
      </c>
    </row>
    <row r="82" spans="1:25" s="28" customFormat="1" ht="73.5" customHeight="1" x14ac:dyDescent="0.2">
      <c r="A82" s="30">
        <v>77</v>
      </c>
      <c r="B82" s="31" t="s">
        <v>130</v>
      </c>
      <c r="C82" s="32" t="s">
        <v>25</v>
      </c>
      <c r="D82" s="33" t="s">
        <v>131</v>
      </c>
      <c r="E82" s="34" t="s">
        <v>26</v>
      </c>
      <c r="F82" s="35">
        <v>0.94</v>
      </c>
      <c r="G82" s="32" t="s">
        <v>39</v>
      </c>
      <c r="H82" s="37">
        <f>88.7/100</f>
        <v>0.88700000000000001</v>
      </c>
      <c r="I82" s="38">
        <f t="shared" si="10"/>
        <v>7096</v>
      </c>
      <c r="J82" s="32" t="s">
        <v>54</v>
      </c>
      <c r="K82" s="37">
        <v>0.94</v>
      </c>
      <c r="L82" s="38">
        <f t="shared" si="11"/>
        <v>7520</v>
      </c>
      <c r="M82" s="38" t="s">
        <v>41</v>
      </c>
      <c r="N82" s="37">
        <v>1.02</v>
      </c>
      <c r="O82" s="38">
        <f t="shared" si="12"/>
        <v>8160</v>
      </c>
      <c r="P82" s="39">
        <f t="shared" si="13"/>
        <v>0.94899999999999995</v>
      </c>
      <c r="Q82" s="40">
        <f t="shared" si="14"/>
        <v>-0.94836670179135751</v>
      </c>
      <c r="R82" s="39">
        <f t="shared" si="15"/>
        <v>7520</v>
      </c>
      <c r="S82" s="41"/>
      <c r="U82" s="42">
        <f t="shared" si="16"/>
        <v>-7</v>
      </c>
      <c r="V82" s="42">
        <f t="shared" si="17"/>
        <v>-1</v>
      </c>
      <c r="W82" s="42">
        <f t="shared" si="18"/>
        <v>7</v>
      </c>
      <c r="Y82" s="28">
        <v>74</v>
      </c>
    </row>
    <row r="83" spans="1:25" s="28" customFormat="1" ht="73.5" customHeight="1" x14ac:dyDescent="0.2">
      <c r="A83" s="30">
        <v>78</v>
      </c>
      <c r="B83" s="31" t="s">
        <v>132</v>
      </c>
      <c r="C83" s="32" t="s">
        <v>25</v>
      </c>
      <c r="D83" s="33">
        <v>17</v>
      </c>
      <c r="E83" s="34">
        <v>506.55</v>
      </c>
      <c r="F83" s="35">
        <v>542.5</v>
      </c>
      <c r="G83" s="32" t="s">
        <v>27</v>
      </c>
      <c r="H83" s="37">
        <f>609.85/1.2</f>
        <v>508.20833333333337</v>
      </c>
      <c r="I83" s="38">
        <f t="shared" si="10"/>
        <v>8639.5416666666679</v>
      </c>
      <c r="J83" s="38" t="s">
        <v>28</v>
      </c>
      <c r="K83" s="37">
        <v>553.87</v>
      </c>
      <c r="L83" s="38">
        <f t="shared" si="11"/>
        <v>9415.7900000000009</v>
      </c>
      <c r="M83" s="32" t="s">
        <v>29</v>
      </c>
      <c r="N83" s="37">
        <v>567.41999999999996</v>
      </c>
      <c r="O83" s="38">
        <f t="shared" si="12"/>
        <v>9646.14</v>
      </c>
      <c r="P83" s="39">
        <f t="shared" si="13"/>
        <v>543.16611111111115</v>
      </c>
      <c r="Q83" s="40">
        <f t="shared" si="14"/>
        <v>-0.12263488046934867</v>
      </c>
      <c r="R83" s="39">
        <f t="shared" si="15"/>
        <v>9222.5</v>
      </c>
      <c r="S83" s="48"/>
      <c r="U83" s="42">
        <f t="shared" si="16"/>
        <v>-6</v>
      </c>
      <c r="V83" s="42">
        <f t="shared" si="17"/>
        <v>2</v>
      </c>
      <c r="W83" s="42">
        <f t="shared" si="18"/>
        <v>4</v>
      </c>
      <c r="Y83" s="28">
        <v>75</v>
      </c>
    </row>
    <row r="84" spans="1:25" s="28" customFormat="1" ht="73.5" hidden="1" customHeight="1" x14ac:dyDescent="0.2">
      <c r="A84" s="30">
        <v>79</v>
      </c>
      <c r="B84" s="31" t="s">
        <v>133</v>
      </c>
      <c r="C84" s="32" t="s">
        <v>25</v>
      </c>
      <c r="D84" s="33">
        <v>10</v>
      </c>
      <c r="E84" s="34">
        <v>74.180000000000007</v>
      </c>
      <c r="F84" s="35">
        <v>37.5</v>
      </c>
      <c r="G84" s="32" t="s">
        <v>39</v>
      </c>
      <c r="H84" s="37">
        <v>33.14</v>
      </c>
      <c r="I84" s="38">
        <f t="shared" si="10"/>
        <v>331.4</v>
      </c>
      <c r="J84" s="32" t="s">
        <v>54</v>
      </c>
      <c r="K84" s="37">
        <v>39.51</v>
      </c>
      <c r="L84" s="38">
        <f t="shared" si="11"/>
        <v>395.09999999999997</v>
      </c>
      <c r="M84" s="32" t="s">
        <v>29</v>
      </c>
      <c r="N84" s="37">
        <v>40.06</v>
      </c>
      <c r="O84" s="38">
        <f t="shared" si="12"/>
        <v>400.6</v>
      </c>
      <c r="P84" s="39">
        <f t="shared" si="13"/>
        <v>37.57</v>
      </c>
      <c r="Q84" s="40">
        <f t="shared" si="14"/>
        <v>-0.18631887143997972</v>
      </c>
      <c r="R84" s="39">
        <f t="shared" si="15"/>
        <v>375</v>
      </c>
      <c r="S84" s="47" t="s">
        <v>116</v>
      </c>
      <c r="U84" s="42">
        <f t="shared" si="16"/>
        <v>-12</v>
      </c>
      <c r="V84" s="42">
        <f t="shared" si="17"/>
        <v>5</v>
      </c>
      <c r="W84" s="42">
        <f t="shared" si="18"/>
        <v>7</v>
      </c>
      <c r="Y84" s="28">
        <v>76</v>
      </c>
    </row>
    <row r="85" spans="1:25" s="28" customFormat="1" ht="73.5" customHeight="1" x14ac:dyDescent="0.2">
      <c r="A85" s="30">
        <v>80</v>
      </c>
      <c r="B85" s="31" t="s">
        <v>134</v>
      </c>
      <c r="C85" s="32" t="s">
        <v>25</v>
      </c>
      <c r="D85" s="33">
        <v>100</v>
      </c>
      <c r="E85" s="34">
        <v>85.13</v>
      </c>
      <c r="F85" s="35">
        <v>139</v>
      </c>
      <c r="G85" s="32" t="s">
        <v>27</v>
      </c>
      <c r="H85" s="37">
        <f>159.86/1.2</f>
        <v>133.2166666666667</v>
      </c>
      <c r="I85" s="38">
        <f t="shared" si="10"/>
        <v>13321.66666666667</v>
      </c>
      <c r="J85" s="38" t="s">
        <v>28</v>
      </c>
      <c r="K85" s="37">
        <v>140.09</v>
      </c>
      <c r="L85" s="38">
        <f t="shared" si="11"/>
        <v>14009</v>
      </c>
      <c r="M85" s="32" t="s">
        <v>29</v>
      </c>
      <c r="N85" s="37">
        <v>145.05000000000001</v>
      </c>
      <c r="O85" s="38">
        <f t="shared" si="12"/>
        <v>14505.000000000002</v>
      </c>
      <c r="P85" s="39">
        <f t="shared" si="13"/>
        <v>139.45222222222225</v>
      </c>
      <c r="Q85" s="40">
        <f t="shared" si="14"/>
        <v>-0.32428470125174158</v>
      </c>
      <c r="R85" s="39">
        <f t="shared" si="15"/>
        <v>13900</v>
      </c>
      <c r="S85" s="48"/>
      <c r="U85" s="42">
        <f t="shared" si="16"/>
        <v>-4</v>
      </c>
      <c r="V85" s="42">
        <f t="shared" si="17"/>
        <v>0</v>
      </c>
      <c r="W85" s="42">
        <f t="shared" si="18"/>
        <v>4</v>
      </c>
      <c r="Y85" s="28">
        <v>77</v>
      </c>
    </row>
    <row r="86" spans="1:25" s="28" customFormat="1" ht="73.5" customHeight="1" x14ac:dyDescent="0.2">
      <c r="A86" s="30">
        <v>81</v>
      </c>
      <c r="B86" s="31" t="s">
        <v>135</v>
      </c>
      <c r="C86" s="32" t="s">
        <v>25</v>
      </c>
      <c r="D86" s="33">
        <v>10</v>
      </c>
      <c r="E86" s="34">
        <v>2783.91</v>
      </c>
      <c r="F86" s="35">
        <v>2928.4</v>
      </c>
      <c r="G86" s="32" t="s">
        <v>27</v>
      </c>
      <c r="H86" s="37">
        <f>3373.67/1.2</f>
        <v>2811.3916666666669</v>
      </c>
      <c r="I86" s="38">
        <f t="shared" si="10"/>
        <v>28113.916666666668</v>
      </c>
      <c r="J86" s="38" t="s">
        <v>28</v>
      </c>
      <c r="K86" s="37">
        <f>3608.66/1.2</f>
        <v>3007.2166666666667</v>
      </c>
      <c r="L86" s="38">
        <f t="shared" si="11"/>
        <v>30072.166666666668</v>
      </c>
      <c r="M86" s="32" t="s">
        <v>29</v>
      </c>
      <c r="N86" s="37">
        <v>2973.43</v>
      </c>
      <c r="O86" s="38">
        <f t="shared" si="12"/>
        <v>29734.3</v>
      </c>
      <c r="P86" s="39">
        <f t="shared" si="13"/>
        <v>2930.6794444444445</v>
      </c>
      <c r="Q86" s="40">
        <f t="shared" si="14"/>
        <v>-7.777870243589291E-2</v>
      </c>
      <c r="R86" s="39">
        <f t="shared" si="15"/>
        <v>29284</v>
      </c>
      <c r="S86" s="48"/>
      <c r="U86" s="42">
        <f t="shared" si="16"/>
        <v>-4</v>
      </c>
      <c r="V86" s="42">
        <f t="shared" si="17"/>
        <v>3</v>
      </c>
      <c r="W86" s="42">
        <f t="shared" si="18"/>
        <v>1</v>
      </c>
      <c r="Y86" s="28">
        <v>78</v>
      </c>
    </row>
    <row r="87" spans="1:25" s="28" customFormat="1" ht="73.5" customHeight="1" x14ac:dyDescent="0.2">
      <c r="A87" s="30">
        <v>82</v>
      </c>
      <c r="B87" s="31" t="s">
        <v>136</v>
      </c>
      <c r="C87" s="32" t="s">
        <v>25</v>
      </c>
      <c r="D87" s="33">
        <v>31</v>
      </c>
      <c r="E87" s="34">
        <v>9908.74</v>
      </c>
      <c r="F87" s="35">
        <v>10103.6</v>
      </c>
      <c r="G87" s="32" t="s">
        <v>27</v>
      </c>
      <c r="H87" s="37">
        <f>12295.88/1.2</f>
        <v>10246.566666666666</v>
      </c>
      <c r="I87" s="38">
        <f t="shared" si="10"/>
        <v>317643.56666666665</v>
      </c>
      <c r="J87" s="38" t="s">
        <v>28</v>
      </c>
      <c r="K87" s="37">
        <f>11961.83/1.2</f>
        <v>9968.1916666666675</v>
      </c>
      <c r="L87" s="38">
        <f t="shared" si="11"/>
        <v>309013.94166666671</v>
      </c>
      <c r="M87" s="32" t="s">
        <v>29</v>
      </c>
      <c r="N87" s="37">
        <v>10105.82</v>
      </c>
      <c r="O87" s="38">
        <f t="shared" si="12"/>
        <v>313280.42</v>
      </c>
      <c r="P87" s="39">
        <f t="shared" si="13"/>
        <v>10106.859444444444</v>
      </c>
      <c r="Q87" s="40">
        <f t="shared" si="14"/>
        <v>-3.2249824610318001E-2</v>
      </c>
      <c r="R87" s="39">
        <f t="shared" si="15"/>
        <v>313211.60000000003</v>
      </c>
      <c r="S87" s="48"/>
      <c r="U87" s="42">
        <f t="shared" si="16"/>
        <v>1</v>
      </c>
      <c r="V87" s="42">
        <f t="shared" si="17"/>
        <v>-1</v>
      </c>
      <c r="W87" s="42">
        <f t="shared" si="18"/>
        <v>0</v>
      </c>
      <c r="Y87" s="28">
        <v>79</v>
      </c>
    </row>
    <row r="88" spans="1:25" s="28" customFormat="1" ht="73.5" customHeight="1" x14ac:dyDescent="0.2">
      <c r="A88" s="30">
        <v>83</v>
      </c>
      <c r="B88" s="31" t="s">
        <v>137</v>
      </c>
      <c r="C88" s="32" t="s">
        <v>25</v>
      </c>
      <c r="D88" s="33">
        <v>48</v>
      </c>
      <c r="E88" s="34">
        <v>1270.67</v>
      </c>
      <c r="F88" s="35">
        <v>1361.15</v>
      </c>
      <c r="G88" s="32" t="s">
        <v>27</v>
      </c>
      <c r="H88" s="37">
        <f>1705.33/1.2</f>
        <v>1421.1083333333333</v>
      </c>
      <c r="I88" s="38">
        <f t="shared" si="10"/>
        <v>68213.2</v>
      </c>
      <c r="J88" s="38" t="s">
        <v>28</v>
      </c>
      <c r="K88" s="37">
        <f>1553.32/1.2</f>
        <v>1294.4333333333334</v>
      </c>
      <c r="L88" s="38">
        <f t="shared" si="11"/>
        <v>62132.800000000003</v>
      </c>
      <c r="M88" s="32" t="s">
        <v>29</v>
      </c>
      <c r="N88" s="37">
        <v>1382.77</v>
      </c>
      <c r="O88" s="38">
        <f t="shared" si="12"/>
        <v>66372.959999999992</v>
      </c>
      <c r="P88" s="39">
        <f t="shared" si="13"/>
        <v>1366.1038888888888</v>
      </c>
      <c r="Q88" s="40">
        <f t="shared" si="14"/>
        <v>-0.36262900129199238</v>
      </c>
      <c r="R88" s="39">
        <f t="shared" si="15"/>
        <v>65335.200000000004</v>
      </c>
      <c r="S88" s="48"/>
      <c r="U88" s="42">
        <f t="shared" si="16"/>
        <v>4</v>
      </c>
      <c r="V88" s="42">
        <f t="shared" si="17"/>
        <v>-5</v>
      </c>
      <c r="W88" s="42">
        <f t="shared" si="18"/>
        <v>1</v>
      </c>
      <c r="Y88" s="28">
        <v>80</v>
      </c>
    </row>
    <row r="89" spans="1:25" s="28" customFormat="1" ht="73.5" customHeight="1" x14ac:dyDescent="0.2">
      <c r="A89" s="30">
        <v>84</v>
      </c>
      <c r="B89" s="31" t="s">
        <v>138</v>
      </c>
      <c r="C89" s="32" t="s">
        <v>25</v>
      </c>
      <c r="D89" s="33">
        <v>75</v>
      </c>
      <c r="E89" s="34">
        <v>118.26</v>
      </c>
      <c r="F89" s="35">
        <v>163.1</v>
      </c>
      <c r="G89" s="32" t="s">
        <v>27</v>
      </c>
      <c r="H89" s="37">
        <f>194.31/1.2</f>
        <v>161.92500000000001</v>
      </c>
      <c r="I89" s="38">
        <f t="shared" si="10"/>
        <v>12144.375</v>
      </c>
      <c r="J89" s="38" t="s">
        <v>28</v>
      </c>
      <c r="K89" s="37">
        <v>159.03</v>
      </c>
      <c r="L89" s="38">
        <f t="shared" si="11"/>
        <v>11927.25</v>
      </c>
      <c r="M89" s="32" t="s">
        <v>29</v>
      </c>
      <c r="N89" s="37">
        <v>168.77</v>
      </c>
      <c r="O89" s="38">
        <f t="shared" si="12"/>
        <v>12657.75</v>
      </c>
      <c r="P89" s="39">
        <f t="shared" si="13"/>
        <v>163.24166666666667</v>
      </c>
      <c r="Q89" s="40">
        <f t="shared" si="14"/>
        <v>-8.678339884629338E-2</v>
      </c>
      <c r="R89" s="39">
        <f t="shared" si="15"/>
        <v>12232.5</v>
      </c>
      <c r="S89" s="48"/>
      <c r="U89" s="42">
        <f t="shared" si="16"/>
        <v>-1</v>
      </c>
      <c r="V89" s="42">
        <f t="shared" si="17"/>
        <v>-3</v>
      </c>
      <c r="W89" s="42">
        <f t="shared" si="18"/>
        <v>3</v>
      </c>
      <c r="Y89" s="28">
        <v>81</v>
      </c>
    </row>
    <row r="90" spans="1:25" s="28" customFormat="1" ht="73.5" customHeight="1" x14ac:dyDescent="0.2">
      <c r="A90" s="30">
        <v>85</v>
      </c>
      <c r="B90" s="31" t="s">
        <v>139</v>
      </c>
      <c r="C90" s="32" t="s">
        <v>25</v>
      </c>
      <c r="D90" s="33">
        <v>75</v>
      </c>
      <c r="E90" s="34">
        <v>108.73</v>
      </c>
      <c r="F90" s="35">
        <v>134.19999999999999</v>
      </c>
      <c r="G90" s="32" t="s">
        <v>27</v>
      </c>
      <c r="H90" s="37">
        <f>157.25/1.2</f>
        <v>131.04166666666669</v>
      </c>
      <c r="I90" s="38">
        <f t="shared" si="10"/>
        <v>9828.1250000000018</v>
      </c>
      <c r="J90" s="38" t="s">
        <v>28</v>
      </c>
      <c r="K90" s="37">
        <v>138.74</v>
      </c>
      <c r="L90" s="38">
        <f t="shared" si="11"/>
        <v>10405.5</v>
      </c>
      <c r="M90" s="32" t="s">
        <v>29</v>
      </c>
      <c r="N90" s="37">
        <v>135.51</v>
      </c>
      <c r="O90" s="38">
        <f t="shared" si="12"/>
        <v>10163.25</v>
      </c>
      <c r="P90" s="39">
        <f t="shared" si="13"/>
        <v>135.09722222222223</v>
      </c>
      <c r="Q90" s="40">
        <f t="shared" si="14"/>
        <v>-0.66413077002161458</v>
      </c>
      <c r="R90" s="39">
        <f t="shared" si="15"/>
        <v>10065</v>
      </c>
      <c r="S90" s="41"/>
      <c r="U90" s="42">
        <f t="shared" si="16"/>
        <v>-3</v>
      </c>
      <c r="V90" s="42">
        <f t="shared" si="17"/>
        <v>3</v>
      </c>
      <c r="W90" s="42">
        <f t="shared" si="18"/>
        <v>0</v>
      </c>
      <c r="Y90" s="28">
        <v>82</v>
      </c>
    </row>
    <row r="91" spans="1:25" s="28" customFormat="1" ht="73.5" customHeight="1" x14ac:dyDescent="0.2">
      <c r="A91" s="30">
        <v>86</v>
      </c>
      <c r="B91" s="31" t="s">
        <v>140</v>
      </c>
      <c r="C91" s="32" t="s">
        <v>25</v>
      </c>
      <c r="D91" s="33" t="s">
        <v>141</v>
      </c>
      <c r="E91" s="34" t="s">
        <v>142</v>
      </c>
      <c r="F91" s="35">
        <v>1361.34</v>
      </c>
      <c r="G91" s="32" t="s">
        <v>27</v>
      </c>
      <c r="H91" s="37">
        <f>1705.33/1.2</f>
        <v>1421.1083333333333</v>
      </c>
      <c r="I91" s="38">
        <f t="shared" si="10"/>
        <v>29843.275000000001</v>
      </c>
      <c r="J91" s="38" t="s">
        <v>28</v>
      </c>
      <c r="K91" s="37">
        <f>1553.32/1.2</f>
        <v>1294.4333333333334</v>
      </c>
      <c r="L91" s="38">
        <f t="shared" si="11"/>
        <v>27183.100000000002</v>
      </c>
      <c r="M91" s="32" t="s">
        <v>29</v>
      </c>
      <c r="N91" s="37">
        <v>1382.77</v>
      </c>
      <c r="O91" s="38">
        <f t="shared" si="12"/>
        <v>29038.17</v>
      </c>
      <c r="P91" s="39">
        <f t="shared" si="13"/>
        <v>1366.1038888888888</v>
      </c>
      <c r="Q91" s="40">
        <f t="shared" si="14"/>
        <v>-0.3487208350430393</v>
      </c>
      <c r="R91" s="39">
        <f t="shared" si="15"/>
        <v>28588.14</v>
      </c>
      <c r="S91" s="41"/>
      <c r="U91" s="42">
        <f t="shared" si="16"/>
        <v>4</v>
      </c>
      <c r="V91" s="42">
        <f t="shared" si="17"/>
        <v>-5</v>
      </c>
      <c r="W91" s="42">
        <f t="shared" si="18"/>
        <v>1</v>
      </c>
      <c r="Y91" s="28">
        <v>83</v>
      </c>
    </row>
    <row r="92" spans="1:25" s="28" customFormat="1" ht="73.5" customHeight="1" x14ac:dyDescent="0.2">
      <c r="A92" s="30">
        <v>87</v>
      </c>
      <c r="B92" s="31" t="s">
        <v>143</v>
      </c>
      <c r="C92" s="32" t="s">
        <v>25</v>
      </c>
      <c r="D92" s="33">
        <v>274</v>
      </c>
      <c r="E92" s="34">
        <v>1481.84</v>
      </c>
      <c r="F92" s="35">
        <v>1765.2</v>
      </c>
      <c r="G92" s="32" t="s">
        <v>27</v>
      </c>
      <c r="H92" s="37">
        <f>2103.82/1.2</f>
        <v>1753.1833333333336</v>
      </c>
      <c r="I92" s="38">
        <f t="shared" si="10"/>
        <v>480372.2333333334</v>
      </c>
      <c r="J92" s="38" t="s">
        <v>28</v>
      </c>
      <c r="K92" s="37">
        <v>1799.62</v>
      </c>
      <c r="L92" s="38">
        <f t="shared" si="11"/>
        <v>493095.87999999995</v>
      </c>
      <c r="M92" s="32" t="s">
        <v>29</v>
      </c>
      <c r="N92" s="37">
        <v>1751.94</v>
      </c>
      <c r="O92" s="38">
        <f t="shared" si="12"/>
        <v>480031.56</v>
      </c>
      <c r="P92" s="39">
        <f t="shared" si="13"/>
        <v>1768.2477777777779</v>
      </c>
      <c r="Q92" s="40">
        <f t="shared" si="14"/>
        <v>-0.17236146517927864</v>
      </c>
      <c r="R92" s="39">
        <f t="shared" si="15"/>
        <v>483664.8</v>
      </c>
      <c r="S92" s="41"/>
      <c r="U92" s="42">
        <f t="shared" si="16"/>
        <v>-1</v>
      </c>
      <c r="V92" s="42">
        <f t="shared" si="17"/>
        <v>2</v>
      </c>
      <c r="W92" s="42">
        <f t="shared" si="18"/>
        <v>-1</v>
      </c>
      <c r="Y92" s="28">
        <v>84</v>
      </c>
    </row>
    <row r="93" spans="1:25" s="28" customFormat="1" ht="73.5" customHeight="1" x14ac:dyDescent="0.2">
      <c r="A93" s="30">
        <v>88</v>
      </c>
      <c r="B93" s="31" t="s">
        <v>144</v>
      </c>
      <c r="C93" s="32" t="s">
        <v>25</v>
      </c>
      <c r="D93" s="33">
        <v>50</v>
      </c>
      <c r="E93" s="34">
        <v>839.17</v>
      </c>
      <c r="F93" s="35">
        <v>832</v>
      </c>
      <c r="G93" s="32" t="s">
        <v>27</v>
      </c>
      <c r="H93" s="37">
        <f>983.07/1.2</f>
        <v>819.22500000000002</v>
      </c>
      <c r="I93" s="38">
        <f t="shared" si="10"/>
        <v>40961.25</v>
      </c>
      <c r="J93" s="38" t="s">
        <v>28</v>
      </c>
      <c r="K93" s="37">
        <v>825.76</v>
      </c>
      <c r="L93" s="38">
        <f t="shared" si="11"/>
        <v>41288</v>
      </c>
      <c r="M93" s="32" t="s">
        <v>29</v>
      </c>
      <c r="N93" s="37">
        <v>857.11</v>
      </c>
      <c r="O93" s="38">
        <f t="shared" si="12"/>
        <v>42855.5</v>
      </c>
      <c r="P93" s="39">
        <f t="shared" si="13"/>
        <v>834.03166666666675</v>
      </c>
      <c r="Q93" s="40">
        <f t="shared" si="14"/>
        <v>-0.243595866663739</v>
      </c>
      <c r="R93" s="39">
        <f t="shared" si="15"/>
        <v>41600</v>
      </c>
      <c r="S93" s="41"/>
      <c r="U93" s="42">
        <f t="shared" si="16"/>
        <v>-2</v>
      </c>
      <c r="V93" s="42">
        <f t="shared" si="17"/>
        <v>-1</v>
      </c>
      <c r="W93" s="42">
        <f t="shared" si="18"/>
        <v>3</v>
      </c>
      <c r="Y93" s="28">
        <v>85</v>
      </c>
    </row>
    <row r="94" spans="1:25" s="28" customFormat="1" ht="73.5" customHeight="1" x14ac:dyDescent="0.2">
      <c r="A94" s="30">
        <v>89</v>
      </c>
      <c r="B94" s="31" t="s">
        <v>145</v>
      </c>
      <c r="C94" s="32" t="s">
        <v>25</v>
      </c>
      <c r="D94" s="33">
        <v>459</v>
      </c>
      <c r="E94" s="34">
        <v>1644.39</v>
      </c>
      <c r="F94" s="35">
        <v>1660.5</v>
      </c>
      <c r="G94" s="32" t="s">
        <v>27</v>
      </c>
      <c r="H94" s="37">
        <f>1972.84/1.2</f>
        <v>1644.0333333333333</v>
      </c>
      <c r="I94" s="38">
        <f t="shared" si="10"/>
        <v>754611.29999999993</v>
      </c>
      <c r="J94" s="38" t="s">
        <v>28</v>
      </c>
      <c r="K94" s="37">
        <v>1689.93</v>
      </c>
      <c r="L94" s="38">
        <f t="shared" si="11"/>
        <v>775677.87</v>
      </c>
      <c r="M94" s="32" t="s">
        <v>29</v>
      </c>
      <c r="N94" s="37">
        <v>1650.69</v>
      </c>
      <c r="O94" s="38">
        <f t="shared" si="12"/>
        <v>757666.71000000008</v>
      </c>
      <c r="P94" s="39">
        <f t="shared" si="13"/>
        <v>1661.5511111111111</v>
      </c>
      <c r="Q94" s="40">
        <f t="shared" si="14"/>
        <v>-6.3260835257011649E-2</v>
      </c>
      <c r="R94" s="39">
        <f t="shared" si="15"/>
        <v>762169.5</v>
      </c>
      <c r="S94" s="41"/>
      <c r="U94" s="42">
        <f t="shared" si="16"/>
        <v>-1</v>
      </c>
      <c r="V94" s="42">
        <f t="shared" si="17"/>
        <v>2</v>
      </c>
      <c r="W94" s="42">
        <f t="shared" si="18"/>
        <v>-1</v>
      </c>
      <c r="Y94" s="28">
        <v>86</v>
      </c>
    </row>
    <row r="95" spans="1:25" s="28" customFormat="1" ht="73.5" customHeight="1" x14ac:dyDescent="0.2">
      <c r="A95" s="30">
        <v>90</v>
      </c>
      <c r="B95" s="31" t="s">
        <v>146</v>
      </c>
      <c r="C95" s="32" t="s">
        <v>147</v>
      </c>
      <c r="D95" s="33">
        <v>50</v>
      </c>
      <c r="E95" s="34">
        <v>109.43</v>
      </c>
      <c r="F95" s="35">
        <v>130.9</v>
      </c>
      <c r="G95" s="36" t="s">
        <v>90</v>
      </c>
      <c r="H95" s="37">
        <f>148.16/1.2</f>
        <v>123.46666666666667</v>
      </c>
      <c r="I95" s="38">
        <f>H95*D95</f>
        <v>6173.333333333333</v>
      </c>
      <c r="J95" s="36" t="s">
        <v>148</v>
      </c>
      <c r="K95" s="37">
        <f>151.19/1.2</f>
        <v>125.99166666666667</v>
      </c>
      <c r="L95" s="38">
        <f t="shared" si="11"/>
        <v>6299.5833333333339</v>
      </c>
      <c r="M95" s="36" t="s">
        <v>149</v>
      </c>
      <c r="N95" s="37">
        <f>173.44/1.2</f>
        <v>144.53333333333333</v>
      </c>
      <c r="O95" s="38">
        <f t="shared" si="12"/>
        <v>7226.666666666667</v>
      </c>
      <c r="P95" s="39">
        <f t="shared" si="13"/>
        <v>131.33055555555555</v>
      </c>
      <c r="Q95" s="40">
        <f t="shared" si="14"/>
        <v>-0.32784111339071842</v>
      </c>
      <c r="R95" s="39">
        <f t="shared" si="15"/>
        <v>6545</v>
      </c>
      <c r="S95" s="41"/>
      <c r="U95" s="42">
        <f t="shared" si="16"/>
        <v>-6</v>
      </c>
      <c r="V95" s="42">
        <f t="shared" si="17"/>
        <v>-4</v>
      </c>
      <c r="W95" s="42">
        <f t="shared" si="18"/>
        <v>10</v>
      </c>
      <c r="Y95" s="28">
        <v>87</v>
      </c>
    </row>
    <row r="96" spans="1:25" s="28" customFormat="1" ht="73.5" customHeight="1" x14ac:dyDescent="0.2">
      <c r="A96" s="30">
        <v>91</v>
      </c>
      <c r="B96" s="31" t="s">
        <v>150</v>
      </c>
      <c r="C96" s="32" t="s">
        <v>147</v>
      </c>
      <c r="D96" s="33">
        <v>20</v>
      </c>
      <c r="E96" s="34">
        <v>242.15</v>
      </c>
      <c r="F96" s="35">
        <v>256.7</v>
      </c>
      <c r="G96" s="36" t="s">
        <v>90</v>
      </c>
      <c r="H96" s="37">
        <f>327.19/1.2</f>
        <v>272.65833333333336</v>
      </c>
      <c r="I96" s="38">
        <f>H96*D96</f>
        <v>5453.166666666667</v>
      </c>
      <c r="J96" s="36" t="s">
        <v>148</v>
      </c>
      <c r="K96" s="37">
        <f>297.67/1.2</f>
        <v>248.05833333333337</v>
      </c>
      <c r="L96" s="38">
        <f t="shared" si="11"/>
        <v>4961.166666666667</v>
      </c>
      <c r="M96" s="36" t="s">
        <v>149</v>
      </c>
      <c r="N96" s="37">
        <f>305.74/1.2</f>
        <v>254.78333333333336</v>
      </c>
      <c r="O96" s="38">
        <f t="shared" si="12"/>
        <v>5095.666666666667</v>
      </c>
      <c r="P96" s="39">
        <f t="shared" si="13"/>
        <v>258.5</v>
      </c>
      <c r="Q96" s="40">
        <f t="shared" si="14"/>
        <v>-0.69632495164410102</v>
      </c>
      <c r="R96" s="39">
        <f t="shared" si="15"/>
        <v>5134</v>
      </c>
      <c r="S96" s="41"/>
      <c r="U96" s="42">
        <f t="shared" si="16"/>
        <v>5</v>
      </c>
      <c r="V96" s="42">
        <f t="shared" si="17"/>
        <v>-4</v>
      </c>
      <c r="W96" s="42">
        <f t="shared" si="18"/>
        <v>-1</v>
      </c>
      <c r="Y96" s="28">
        <v>88</v>
      </c>
    </row>
    <row r="97" spans="1:25" s="28" customFormat="1" ht="73.5" customHeight="1" x14ac:dyDescent="0.2">
      <c r="A97" s="30">
        <v>92</v>
      </c>
      <c r="B97" s="31" t="s">
        <v>151</v>
      </c>
      <c r="C97" s="32" t="s">
        <v>147</v>
      </c>
      <c r="D97" s="33">
        <v>50</v>
      </c>
      <c r="E97" s="34">
        <v>3006.84</v>
      </c>
      <c r="F97" s="35">
        <v>3181.4</v>
      </c>
      <c r="G97" s="36" t="s">
        <v>90</v>
      </c>
      <c r="H97" s="37">
        <f>3780.88/1.2</f>
        <v>3150.7333333333336</v>
      </c>
      <c r="I97" s="38">
        <f>H97*D97</f>
        <v>157536.66666666669</v>
      </c>
      <c r="J97" s="36" t="s">
        <v>148</v>
      </c>
      <c r="K97" s="37">
        <f>3719.2/1.2</f>
        <v>3099.3333333333335</v>
      </c>
      <c r="L97" s="38">
        <f t="shared" si="11"/>
        <v>154966.66666666669</v>
      </c>
      <c r="M97" s="36" t="s">
        <v>149</v>
      </c>
      <c r="N97" s="37">
        <f>3960.29/1.2</f>
        <v>3300.2416666666668</v>
      </c>
      <c r="O97" s="38">
        <f t="shared" si="12"/>
        <v>165012.08333333334</v>
      </c>
      <c r="P97" s="39">
        <f t="shared" si="13"/>
        <v>3183.4361111111116</v>
      </c>
      <c r="Q97" s="40">
        <f t="shared" si="14"/>
        <v>-6.3959540573307549E-2</v>
      </c>
      <c r="R97" s="39">
        <f t="shared" si="15"/>
        <v>159070</v>
      </c>
      <c r="S97" s="41"/>
      <c r="U97" s="42">
        <f t="shared" si="16"/>
        <v>-1</v>
      </c>
      <c r="V97" s="42">
        <f t="shared" si="17"/>
        <v>-3</v>
      </c>
      <c r="W97" s="42">
        <f t="shared" si="18"/>
        <v>4</v>
      </c>
      <c r="Y97" s="28">
        <v>89</v>
      </c>
    </row>
    <row r="98" spans="1:25" s="28" customFormat="1" ht="73.5" customHeight="1" x14ac:dyDescent="0.2">
      <c r="A98" s="30">
        <v>93</v>
      </c>
      <c r="B98" s="31" t="s">
        <v>152</v>
      </c>
      <c r="C98" s="32" t="s">
        <v>147</v>
      </c>
      <c r="D98" s="33">
        <v>20</v>
      </c>
      <c r="E98" s="34">
        <v>317.14</v>
      </c>
      <c r="F98" s="35">
        <v>348.66</v>
      </c>
      <c r="G98" s="36" t="s">
        <v>90</v>
      </c>
      <c r="H98" s="37">
        <f>424.93/1.2</f>
        <v>354.10833333333335</v>
      </c>
      <c r="I98" s="38">
        <f>H98*D98</f>
        <v>7082.166666666667</v>
      </c>
      <c r="J98" s="36" t="s">
        <v>148</v>
      </c>
      <c r="K98" s="37">
        <f>387.54/1.2</f>
        <v>322.95000000000005</v>
      </c>
      <c r="L98" s="38">
        <f t="shared" si="11"/>
        <v>6459.0000000000009</v>
      </c>
      <c r="M98" s="36" t="s">
        <v>149</v>
      </c>
      <c r="N98" s="37">
        <f>450.43/1.2</f>
        <v>375.35833333333335</v>
      </c>
      <c r="O98" s="38">
        <f t="shared" si="12"/>
        <v>7507.166666666667</v>
      </c>
      <c r="P98" s="39">
        <f t="shared" si="13"/>
        <v>350.8055555555556</v>
      </c>
      <c r="Q98" s="40">
        <f t="shared" si="14"/>
        <v>-0.61160820334153243</v>
      </c>
      <c r="R98" s="39">
        <f t="shared" si="15"/>
        <v>6973.2000000000007</v>
      </c>
      <c r="S98" s="41"/>
      <c r="U98" s="42">
        <f t="shared" si="16"/>
        <v>1</v>
      </c>
      <c r="V98" s="42">
        <f t="shared" si="17"/>
        <v>-8</v>
      </c>
      <c r="W98" s="42">
        <f t="shared" si="18"/>
        <v>7</v>
      </c>
      <c r="Y98" s="28">
        <v>90</v>
      </c>
    </row>
    <row r="99" spans="1:25" s="28" customFormat="1" ht="92.25" customHeight="1" x14ac:dyDescent="0.2">
      <c r="A99" s="30">
        <v>94</v>
      </c>
      <c r="B99" s="31" t="s">
        <v>153</v>
      </c>
      <c r="C99" s="49" t="s">
        <v>154</v>
      </c>
      <c r="D99" s="50">
        <v>0.5</v>
      </c>
      <c r="E99" s="34" t="s">
        <v>26</v>
      </c>
      <c r="F99" s="35">
        <f>253.56*1000</f>
        <v>253560</v>
      </c>
      <c r="G99" s="36" t="s">
        <v>90</v>
      </c>
      <c r="H99" s="37">
        <f>327.58/1.2*1000</f>
        <v>272983.33333333337</v>
      </c>
      <c r="I99" s="38">
        <f>H99*D99</f>
        <v>136491.66666666669</v>
      </c>
      <c r="J99" s="36" t="s">
        <v>148</v>
      </c>
      <c r="K99" s="37">
        <f>286.76/1.2*1000</f>
        <v>238966.66666666666</v>
      </c>
      <c r="L99" s="38">
        <f t="shared" si="11"/>
        <v>119483.33333333333</v>
      </c>
      <c r="M99" s="36" t="s">
        <v>149</v>
      </c>
      <c r="N99" s="37">
        <f>300.53/1.2*1000</f>
        <v>250441.66666666666</v>
      </c>
      <c r="O99" s="38">
        <f t="shared" si="12"/>
        <v>125220.83333333333</v>
      </c>
      <c r="P99" s="39">
        <f t="shared" si="13"/>
        <v>254130.55555555553</v>
      </c>
      <c r="Q99" s="40">
        <f t="shared" si="14"/>
        <v>-0.22451277230643996</v>
      </c>
      <c r="R99" s="39">
        <f t="shared" si="15"/>
        <v>126780</v>
      </c>
      <c r="S99" s="41"/>
      <c r="U99" s="42">
        <f t="shared" si="16"/>
        <v>7</v>
      </c>
      <c r="V99" s="42">
        <f t="shared" si="17"/>
        <v>-6</v>
      </c>
      <c r="W99" s="42">
        <f t="shared" si="18"/>
        <v>-1</v>
      </c>
      <c r="Y99" s="28">
        <v>91</v>
      </c>
    </row>
    <row r="100" spans="1:25" s="28" customFormat="1" ht="73.5" customHeight="1" x14ac:dyDescent="0.2">
      <c r="A100" s="30">
        <v>95</v>
      </c>
      <c r="B100" s="31" t="s">
        <v>155</v>
      </c>
      <c r="C100" s="32" t="s">
        <v>25</v>
      </c>
      <c r="D100" s="33">
        <v>4</v>
      </c>
      <c r="E100" s="34" t="s">
        <v>26</v>
      </c>
      <c r="F100" s="35">
        <v>122.9</v>
      </c>
      <c r="G100" s="32" t="s">
        <v>27</v>
      </c>
      <c r="H100" s="37">
        <f>142.75/1.2</f>
        <v>118.95833333333334</v>
      </c>
      <c r="I100" s="38">
        <f t="shared" ref="I100:I131" si="19">D100*H100</f>
        <v>475.83333333333337</v>
      </c>
      <c r="J100" s="38" t="s">
        <v>28</v>
      </c>
      <c r="K100" s="37">
        <v>122.36</v>
      </c>
      <c r="L100" s="38">
        <f t="shared" si="11"/>
        <v>489.44</v>
      </c>
      <c r="M100" s="32" t="s">
        <v>29</v>
      </c>
      <c r="N100" s="37">
        <v>129.47</v>
      </c>
      <c r="O100" s="38">
        <f t="shared" si="12"/>
        <v>517.88</v>
      </c>
      <c r="P100" s="39">
        <f t="shared" si="13"/>
        <v>123.5961111111111</v>
      </c>
      <c r="Q100" s="40">
        <f t="shared" si="14"/>
        <v>-0.56321441253544435</v>
      </c>
      <c r="R100" s="39">
        <f t="shared" si="15"/>
        <v>491.6</v>
      </c>
      <c r="S100" s="41"/>
      <c r="U100" s="42">
        <f t="shared" si="16"/>
        <v>-4</v>
      </c>
      <c r="V100" s="42">
        <f t="shared" si="17"/>
        <v>-1</v>
      </c>
      <c r="W100" s="42">
        <f t="shared" si="18"/>
        <v>5</v>
      </c>
      <c r="Y100" s="28">
        <v>92</v>
      </c>
    </row>
    <row r="101" spans="1:25" s="28" customFormat="1" ht="73.5" customHeight="1" x14ac:dyDescent="0.2">
      <c r="A101" s="30">
        <v>96</v>
      </c>
      <c r="B101" s="31" t="s">
        <v>156</v>
      </c>
      <c r="C101" s="32" t="s">
        <v>25</v>
      </c>
      <c r="D101" s="33" t="s">
        <v>157</v>
      </c>
      <c r="E101" s="34" t="s">
        <v>26</v>
      </c>
      <c r="F101" s="35">
        <v>296587.13</v>
      </c>
      <c r="G101" s="32" t="s">
        <v>56</v>
      </c>
      <c r="H101" s="37">
        <v>291473.5</v>
      </c>
      <c r="I101" s="38">
        <f t="shared" si="19"/>
        <v>1457367.5</v>
      </c>
      <c r="J101" s="32" t="s">
        <v>57</v>
      </c>
      <c r="K101" s="37">
        <v>301685</v>
      </c>
      <c r="L101" s="38">
        <f t="shared" si="11"/>
        <v>1508425</v>
      </c>
      <c r="M101" s="32" t="s">
        <v>119</v>
      </c>
      <c r="N101" s="37">
        <v>298069</v>
      </c>
      <c r="O101" s="38">
        <f t="shared" si="12"/>
        <v>1490345</v>
      </c>
      <c r="P101" s="39">
        <f t="shared" si="13"/>
        <v>297075.83333333331</v>
      </c>
      <c r="Q101" s="40">
        <f t="shared" si="14"/>
        <v>-0.16450457374800465</v>
      </c>
      <c r="R101" s="39">
        <f t="shared" si="15"/>
        <v>1482935.65</v>
      </c>
      <c r="S101" s="41"/>
      <c r="U101" s="42">
        <f t="shared" si="16"/>
        <v>-2</v>
      </c>
      <c r="V101" s="42">
        <f t="shared" si="17"/>
        <v>2</v>
      </c>
      <c r="W101" s="42">
        <f t="shared" si="18"/>
        <v>0</v>
      </c>
      <c r="Y101" s="28">
        <v>93</v>
      </c>
    </row>
    <row r="102" spans="1:25" s="28" customFormat="1" ht="73.5" customHeight="1" x14ac:dyDescent="0.2">
      <c r="A102" s="30">
        <v>97</v>
      </c>
      <c r="B102" s="31" t="s">
        <v>158</v>
      </c>
      <c r="C102" s="32" t="s">
        <v>25</v>
      </c>
      <c r="D102" s="33">
        <v>39</v>
      </c>
      <c r="E102" s="34" t="s">
        <v>26</v>
      </c>
      <c r="F102" s="35">
        <v>104.2</v>
      </c>
      <c r="G102" s="32" t="s">
        <v>27</v>
      </c>
      <c r="H102" s="37">
        <f>120.19/1.2</f>
        <v>100.15833333333333</v>
      </c>
      <c r="I102" s="38">
        <f t="shared" si="19"/>
        <v>3906.1749999999997</v>
      </c>
      <c r="J102" s="38" t="s">
        <v>28</v>
      </c>
      <c r="K102" s="37">
        <v>97.82</v>
      </c>
      <c r="L102" s="38">
        <f t="shared" si="11"/>
        <v>3814.9799999999996</v>
      </c>
      <c r="M102" s="32" t="s">
        <v>29</v>
      </c>
      <c r="N102" s="37">
        <v>115.39</v>
      </c>
      <c r="O102" s="38">
        <f t="shared" si="12"/>
        <v>4500.21</v>
      </c>
      <c r="P102" s="39">
        <f t="shared" si="13"/>
        <v>104.45611111111111</v>
      </c>
      <c r="Q102" s="40">
        <f t="shared" si="14"/>
        <v>-0.24518537822902431</v>
      </c>
      <c r="R102" s="39">
        <f t="shared" si="15"/>
        <v>4063.8</v>
      </c>
      <c r="S102" s="41"/>
      <c r="U102" s="42">
        <f t="shared" si="16"/>
        <v>-4</v>
      </c>
      <c r="V102" s="42">
        <f t="shared" si="17"/>
        <v>-6</v>
      </c>
      <c r="W102" s="42">
        <f t="shared" si="18"/>
        <v>10</v>
      </c>
      <c r="Y102" s="28">
        <v>94</v>
      </c>
    </row>
    <row r="103" spans="1:25" s="28" customFormat="1" ht="73.5" customHeight="1" x14ac:dyDescent="0.2">
      <c r="A103" s="30">
        <v>98</v>
      </c>
      <c r="B103" s="31" t="s">
        <v>159</v>
      </c>
      <c r="C103" s="32" t="s">
        <v>25</v>
      </c>
      <c r="D103" s="33">
        <v>65</v>
      </c>
      <c r="E103" s="34" t="s">
        <v>26</v>
      </c>
      <c r="F103" s="35">
        <v>125.1</v>
      </c>
      <c r="G103" s="32" t="s">
        <v>27</v>
      </c>
      <c r="H103" s="37">
        <f>143.32/1.2</f>
        <v>119.43333333333334</v>
      </c>
      <c r="I103" s="38">
        <f t="shared" si="19"/>
        <v>7763.166666666667</v>
      </c>
      <c r="J103" s="38" t="s">
        <v>28</v>
      </c>
      <c r="K103" s="37">
        <v>130.07</v>
      </c>
      <c r="L103" s="38">
        <f t="shared" si="11"/>
        <v>8454.5499999999993</v>
      </c>
      <c r="M103" s="32" t="s">
        <v>29</v>
      </c>
      <c r="N103" s="37">
        <v>127.08</v>
      </c>
      <c r="O103" s="38">
        <f t="shared" si="12"/>
        <v>8260.2000000000007</v>
      </c>
      <c r="P103" s="39">
        <f t="shared" si="13"/>
        <v>125.52777777777777</v>
      </c>
      <c r="Q103" s="40">
        <f t="shared" si="14"/>
        <v>-0.34078335915025093</v>
      </c>
      <c r="R103" s="39">
        <f t="shared" si="15"/>
        <v>8131.5</v>
      </c>
      <c r="S103" s="41"/>
      <c r="U103" s="42">
        <f t="shared" si="16"/>
        <v>-5</v>
      </c>
      <c r="V103" s="42">
        <f t="shared" si="17"/>
        <v>4</v>
      </c>
      <c r="W103" s="42">
        <f t="shared" si="18"/>
        <v>1</v>
      </c>
      <c r="Y103" s="28">
        <v>95</v>
      </c>
    </row>
    <row r="104" spans="1:25" s="28" customFormat="1" ht="73.5" customHeight="1" x14ac:dyDescent="0.2">
      <c r="A104" s="30">
        <v>99</v>
      </c>
      <c r="B104" s="31" t="s">
        <v>160</v>
      </c>
      <c r="C104" s="32" t="s">
        <v>25</v>
      </c>
      <c r="D104" s="33">
        <v>8</v>
      </c>
      <c r="E104" s="34" t="s">
        <v>26</v>
      </c>
      <c r="F104" s="35">
        <v>19.5</v>
      </c>
      <c r="G104" s="32" t="s">
        <v>27</v>
      </c>
      <c r="H104" s="37">
        <f>1097.79/50/1.2</f>
        <v>18.296500000000002</v>
      </c>
      <c r="I104" s="38">
        <f t="shared" si="19"/>
        <v>146.37200000000001</v>
      </c>
      <c r="J104" s="38" t="s">
        <v>28</v>
      </c>
      <c r="K104" s="37">
        <v>20.51</v>
      </c>
      <c r="L104" s="38">
        <f t="shared" si="11"/>
        <v>164.08</v>
      </c>
      <c r="M104" s="32" t="s">
        <v>29</v>
      </c>
      <c r="N104" s="37">
        <v>21.22</v>
      </c>
      <c r="O104" s="38">
        <f t="shared" si="12"/>
        <v>169.76</v>
      </c>
      <c r="P104" s="39">
        <f t="shared" si="13"/>
        <v>20.008833333333332</v>
      </c>
      <c r="Q104" s="40">
        <f t="shared" si="14"/>
        <v>-2.5430434891256226</v>
      </c>
      <c r="R104" s="39">
        <f t="shared" si="15"/>
        <v>156</v>
      </c>
      <c r="S104" s="41"/>
      <c r="U104" s="42">
        <f t="shared" si="16"/>
        <v>-9</v>
      </c>
      <c r="V104" s="42">
        <f t="shared" si="17"/>
        <v>3</v>
      </c>
      <c r="W104" s="42">
        <f t="shared" si="18"/>
        <v>6</v>
      </c>
      <c r="Y104" s="28">
        <v>96</v>
      </c>
    </row>
    <row r="105" spans="1:25" s="28" customFormat="1" ht="73.5" customHeight="1" x14ac:dyDescent="0.2">
      <c r="A105" s="30">
        <v>100</v>
      </c>
      <c r="B105" s="31" t="s">
        <v>161</v>
      </c>
      <c r="C105" s="32" t="s">
        <v>25</v>
      </c>
      <c r="D105" s="33">
        <v>1190</v>
      </c>
      <c r="E105" s="34">
        <v>51.92</v>
      </c>
      <c r="F105" s="35">
        <v>57.5</v>
      </c>
      <c r="G105" s="32" t="s">
        <v>27</v>
      </c>
      <c r="H105" s="37">
        <f>3253.27/1.2/50</f>
        <v>54.221166666666669</v>
      </c>
      <c r="I105" s="38">
        <f t="shared" si="19"/>
        <v>64523.188333333339</v>
      </c>
      <c r="J105" s="38" t="s">
        <v>28</v>
      </c>
      <c r="K105" s="37">
        <v>59.4</v>
      </c>
      <c r="L105" s="38">
        <f t="shared" si="11"/>
        <v>70686</v>
      </c>
      <c r="M105" s="32" t="s">
        <v>29</v>
      </c>
      <c r="N105" s="37">
        <v>60.13</v>
      </c>
      <c r="O105" s="38">
        <f t="shared" si="12"/>
        <v>71554.7</v>
      </c>
      <c r="P105" s="39">
        <f t="shared" si="13"/>
        <v>57.917055555555557</v>
      </c>
      <c r="Q105" s="40">
        <f t="shared" si="14"/>
        <v>-0.72009108811739964</v>
      </c>
      <c r="R105" s="39">
        <f t="shared" si="15"/>
        <v>68425</v>
      </c>
      <c r="S105" s="41"/>
      <c r="U105" s="42">
        <f t="shared" si="16"/>
        <v>-6</v>
      </c>
      <c r="V105" s="42">
        <f t="shared" si="17"/>
        <v>3</v>
      </c>
      <c r="W105" s="42">
        <f t="shared" si="18"/>
        <v>4</v>
      </c>
      <c r="Y105" s="28">
        <v>97</v>
      </c>
    </row>
    <row r="106" spans="1:25" s="28" customFormat="1" ht="73.5" customHeight="1" x14ac:dyDescent="0.2">
      <c r="A106" s="30">
        <v>101</v>
      </c>
      <c r="B106" s="31" t="s">
        <v>162</v>
      </c>
      <c r="C106" s="32" t="s">
        <v>25</v>
      </c>
      <c r="D106" s="33">
        <v>3</v>
      </c>
      <c r="E106" s="34">
        <v>442.83</v>
      </c>
      <c r="F106" s="35">
        <v>444.12</v>
      </c>
      <c r="G106" s="32" t="s">
        <v>27</v>
      </c>
      <c r="H106" s="37">
        <f>528.04/1.2</f>
        <v>440.0333333333333</v>
      </c>
      <c r="I106" s="38">
        <f t="shared" si="19"/>
        <v>1320.1</v>
      </c>
      <c r="J106" s="38" t="s">
        <v>28</v>
      </c>
      <c r="K106" s="37">
        <v>451.75</v>
      </c>
      <c r="L106" s="38">
        <f t="shared" si="11"/>
        <v>1355.25</v>
      </c>
      <c r="M106" s="32" t="s">
        <v>29</v>
      </c>
      <c r="N106" s="37">
        <v>442.56</v>
      </c>
      <c r="O106" s="38">
        <f t="shared" si="12"/>
        <v>1327.68</v>
      </c>
      <c r="P106" s="39">
        <f t="shared" si="13"/>
        <v>444.7811111111111</v>
      </c>
      <c r="Q106" s="40">
        <f t="shared" si="14"/>
        <v>-0.14863740716407392</v>
      </c>
      <c r="R106" s="39">
        <f t="shared" si="15"/>
        <v>1332.3600000000001</v>
      </c>
      <c r="S106" s="41"/>
      <c r="U106" s="42">
        <f t="shared" si="16"/>
        <v>-1</v>
      </c>
      <c r="V106" s="42">
        <f t="shared" si="17"/>
        <v>2</v>
      </c>
      <c r="W106" s="42">
        <f t="shared" si="18"/>
        <v>0</v>
      </c>
      <c r="Y106" s="28">
        <v>98</v>
      </c>
    </row>
    <row r="107" spans="1:25" s="28" customFormat="1" ht="73.5" customHeight="1" x14ac:dyDescent="0.2">
      <c r="A107" s="30">
        <v>102</v>
      </c>
      <c r="B107" s="31" t="s">
        <v>163</v>
      </c>
      <c r="C107" s="32" t="s">
        <v>25</v>
      </c>
      <c r="D107" s="33">
        <v>200</v>
      </c>
      <c r="E107" s="34">
        <v>2104.17</v>
      </c>
      <c r="F107" s="35">
        <v>2749.4</v>
      </c>
      <c r="G107" s="32" t="s">
        <v>56</v>
      </c>
      <c r="H107" s="37">
        <v>2816.22</v>
      </c>
      <c r="I107" s="38">
        <f t="shared" si="19"/>
        <v>563244</v>
      </c>
      <c r="J107" s="32" t="s">
        <v>57</v>
      </c>
      <c r="K107" s="37">
        <v>2697.03</v>
      </c>
      <c r="L107" s="38">
        <f t="shared" si="11"/>
        <v>539406</v>
      </c>
      <c r="M107" s="32" t="s">
        <v>119</v>
      </c>
      <c r="N107" s="37">
        <v>2755.11</v>
      </c>
      <c r="O107" s="38">
        <f t="shared" si="12"/>
        <v>551022</v>
      </c>
      <c r="P107" s="39">
        <f t="shared" si="13"/>
        <v>2756.1200000000003</v>
      </c>
      <c r="Q107" s="40">
        <f t="shared" si="14"/>
        <v>-0.24382102375804493</v>
      </c>
      <c r="R107" s="39">
        <f t="shared" si="15"/>
        <v>549880</v>
      </c>
      <c r="S107" s="41"/>
      <c r="U107" s="42">
        <f t="shared" si="16"/>
        <v>2</v>
      </c>
      <c r="V107" s="42">
        <f t="shared" si="17"/>
        <v>-2</v>
      </c>
      <c r="W107" s="42">
        <f t="shared" si="18"/>
        <v>0</v>
      </c>
      <c r="Y107" s="28">
        <v>99</v>
      </c>
    </row>
    <row r="108" spans="1:25" s="28" customFormat="1" ht="73.5" customHeight="1" x14ac:dyDescent="0.2">
      <c r="A108" s="30">
        <v>103</v>
      </c>
      <c r="B108" s="31" t="s">
        <v>164</v>
      </c>
      <c r="C108" s="32" t="s">
        <v>25</v>
      </c>
      <c r="D108" s="33">
        <v>5</v>
      </c>
      <c r="E108" s="34" t="s">
        <v>26</v>
      </c>
      <c r="F108" s="35">
        <v>455.3</v>
      </c>
      <c r="G108" s="32" t="s">
        <v>27</v>
      </c>
      <c r="H108" s="37">
        <f>531.76/1.2</f>
        <v>443.13333333333333</v>
      </c>
      <c r="I108" s="38">
        <f t="shared" si="19"/>
        <v>2215.6666666666665</v>
      </c>
      <c r="J108" s="38" t="s">
        <v>28</v>
      </c>
      <c r="K108" s="37">
        <v>458.14</v>
      </c>
      <c r="L108" s="38">
        <f t="shared" si="11"/>
        <v>2290.6999999999998</v>
      </c>
      <c r="M108" s="32" t="s">
        <v>29</v>
      </c>
      <c r="N108" s="37">
        <v>465.87</v>
      </c>
      <c r="O108" s="38">
        <f t="shared" si="12"/>
        <v>2329.35</v>
      </c>
      <c r="P108" s="39">
        <f t="shared" si="13"/>
        <v>455.7144444444445</v>
      </c>
      <c r="Q108" s="40">
        <f t="shared" si="14"/>
        <v>-9.0943890301687702E-2</v>
      </c>
      <c r="R108" s="39">
        <f t="shared" si="15"/>
        <v>2276.5</v>
      </c>
      <c r="S108" s="41"/>
      <c r="U108" s="42">
        <f t="shared" si="16"/>
        <v>-3</v>
      </c>
      <c r="V108" s="42">
        <f t="shared" si="17"/>
        <v>1</v>
      </c>
      <c r="W108" s="42">
        <f t="shared" si="18"/>
        <v>2</v>
      </c>
      <c r="Y108" s="28">
        <v>100</v>
      </c>
    </row>
    <row r="109" spans="1:25" s="28" customFormat="1" ht="73.5" customHeight="1" x14ac:dyDescent="0.2">
      <c r="A109" s="30">
        <v>104</v>
      </c>
      <c r="B109" s="31" t="s">
        <v>165</v>
      </c>
      <c r="C109" s="32" t="s">
        <v>25</v>
      </c>
      <c r="D109" s="33">
        <v>2</v>
      </c>
      <c r="E109" s="34">
        <v>585.34</v>
      </c>
      <c r="F109" s="35">
        <v>578.5</v>
      </c>
      <c r="G109" s="32" t="s">
        <v>27</v>
      </c>
      <c r="H109" s="37">
        <f>704.39/1.2</f>
        <v>586.99166666666667</v>
      </c>
      <c r="I109" s="38">
        <f t="shared" si="19"/>
        <v>1173.9833333333333</v>
      </c>
      <c r="J109" s="38" t="s">
        <v>28</v>
      </c>
      <c r="K109" s="37">
        <v>579.83000000000004</v>
      </c>
      <c r="L109" s="38">
        <f t="shared" si="11"/>
        <v>1159.6600000000001</v>
      </c>
      <c r="M109" s="32" t="s">
        <v>29</v>
      </c>
      <c r="N109" s="37">
        <v>572.21</v>
      </c>
      <c r="O109" s="38">
        <f t="shared" si="12"/>
        <v>1144.42</v>
      </c>
      <c r="P109" s="39">
        <f t="shared" si="13"/>
        <v>579.67722222222221</v>
      </c>
      <c r="Q109" s="40">
        <f t="shared" si="14"/>
        <v>-0.20308236671941415</v>
      </c>
      <c r="R109" s="39">
        <f t="shared" si="15"/>
        <v>1157</v>
      </c>
      <c r="S109" s="41"/>
      <c r="U109" s="42">
        <f t="shared" si="16"/>
        <v>1</v>
      </c>
      <c r="V109" s="42">
        <f t="shared" si="17"/>
        <v>0</v>
      </c>
      <c r="W109" s="42">
        <f t="shared" si="18"/>
        <v>-1</v>
      </c>
      <c r="Y109" s="28">
        <v>101</v>
      </c>
    </row>
    <row r="110" spans="1:25" s="28" customFormat="1" ht="73.5" customHeight="1" x14ac:dyDescent="0.2">
      <c r="A110" s="30">
        <v>105</v>
      </c>
      <c r="B110" s="31" t="s">
        <v>166</v>
      </c>
      <c r="C110" s="32" t="s">
        <v>25</v>
      </c>
      <c r="D110" s="33">
        <v>2</v>
      </c>
      <c r="E110" s="34">
        <v>585.34</v>
      </c>
      <c r="F110" s="35">
        <v>586.44000000000005</v>
      </c>
      <c r="G110" s="32" t="s">
        <v>27</v>
      </c>
      <c r="H110" s="37">
        <f>704.39/1.2</f>
        <v>586.99166666666667</v>
      </c>
      <c r="I110" s="38">
        <f t="shared" si="19"/>
        <v>1173.9833333333333</v>
      </c>
      <c r="J110" s="38" t="s">
        <v>28</v>
      </c>
      <c r="K110" s="37">
        <v>579.83000000000004</v>
      </c>
      <c r="L110" s="38">
        <f t="shared" si="11"/>
        <v>1159.6600000000001</v>
      </c>
      <c r="M110" s="32" t="s">
        <v>29</v>
      </c>
      <c r="N110" s="37">
        <v>594.08000000000004</v>
      </c>
      <c r="O110" s="38">
        <f t="shared" si="12"/>
        <v>1188.1600000000001</v>
      </c>
      <c r="P110" s="39">
        <f t="shared" si="13"/>
        <v>586.96722222222218</v>
      </c>
      <c r="Q110" s="40">
        <f t="shared" si="14"/>
        <v>-8.9821407782551432E-2</v>
      </c>
      <c r="R110" s="39">
        <f t="shared" si="15"/>
        <v>1172.8800000000001</v>
      </c>
      <c r="S110" s="41"/>
      <c r="U110" s="42">
        <f t="shared" si="16"/>
        <v>0</v>
      </c>
      <c r="V110" s="42">
        <f t="shared" si="17"/>
        <v>-1</v>
      </c>
      <c r="W110" s="42">
        <f t="shared" si="18"/>
        <v>1</v>
      </c>
      <c r="Y110" s="28">
        <v>102</v>
      </c>
    </row>
    <row r="111" spans="1:25" s="28" customFormat="1" ht="73.5" customHeight="1" x14ac:dyDescent="0.2">
      <c r="A111" s="30">
        <v>106</v>
      </c>
      <c r="B111" s="31" t="s">
        <v>167</v>
      </c>
      <c r="C111" s="32" t="s">
        <v>25</v>
      </c>
      <c r="D111" s="33">
        <v>4</v>
      </c>
      <c r="E111" s="34">
        <v>100102.2</v>
      </c>
      <c r="F111" s="35">
        <v>105450</v>
      </c>
      <c r="G111" s="32" t="s">
        <v>66</v>
      </c>
      <c r="H111" s="37">
        <f>122928.34/1.2</f>
        <v>102440.28333333334</v>
      </c>
      <c r="I111" s="38">
        <f t="shared" si="19"/>
        <v>409761.13333333336</v>
      </c>
      <c r="J111" s="37" t="s">
        <v>67</v>
      </c>
      <c r="K111" s="37">
        <f>126572.83/1.2</f>
        <v>105477.35833333334</v>
      </c>
      <c r="L111" s="38">
        <f t="shared" si="11"/>
        <v>421909.43333333335</v>
      </c>
      <c r="M111" s="38" t="s">
        <v>68</v>
      </c>
      <c r="N111" s="37">
        <v>108459.11</v>
      </c>
      <c r="O111" s="38">
        <f t="shared" si="12"/>
        <v>433836.44</v>
      </c>
      <c r="P111" s="39">
        <f t="shared" si="13"/>
        <v>105458.91722222221</v>
      </c>
      <c r="Q111" s="40">
        <f t="shared" si="14"/>
        <v>-8.4556360496463867E-3</v>
      </c>
      <c r="R111" s="39">
        <f t="shared" si="15"/>
        <v>421800</v>
      </c>
      <c r="S111" s="41"/>
      <c r="U111" s="42">
        <f t="shared" si="16"/>
        <v>-3</v>
      </c>
      <c r="V111" s="42">
        <f t="shared" si="17"/>
        <v>0</v>
      </c>
      <c r="W111" s="42">
        <f t="shared" si="18"/>
        <v>3</v>
      </c>
      <c r="Y111" s="28">
        <v>103</v>
      </c>
    </row>
    <row r="112" spans="1:25" s="28" customFormat="1" ht="73.5" customHeight="1" x14ac:dyDescent="0.2">
      <c r="A112" s="30">
        <v>107</v>
      </c>
      <c r="B112" s="31" t="s">
        <v>168</v>
      </c>
      <c r="C112" s="32" t="s">
        <v>25</v>
      </c>
      <c r="D112" s="33">
        <v>9</v>
      </c>
      <c r="E112" s="34">
        <v>109113.68</v>
      </c>
      <c r="F112" s="35">
        <v>115250.4</v>
      </c>
      <c r="G112" s="32" t="s">
        <v>66</v>
      </c>
      <c r="H112" s="37">
        <f>134032.46/1.2</f>
        <v>111693.71666666666</v>
      </c>
      <c r="I112" s="38">
        <f t="shared" si="19"/>
        <v>1005243.45</v>
      </c>
      <c r="J112" s="37" t="s">
        <v>67</v>
      </c>
      <c r="K112" s="37">
        <f>142081.19/1.2</f>
        <v>118400.99166666667</v>
      </c>
      <c r="L112" s="38">
        <f t="shared" si="11"/>
        <v>1065608.925</v>
      </c>
      <c r="M112" s="38" t="s">
        <v>68</v>
      </c>
      <c r="N112" s="37">
        <v>115771.47</v>
      </c>
      <c r="O112" s="38">
        <f t="shared" si="12"/>
        <v>1041943.23</v>
      </c>
      <c r="P112" s="39">
        <f t="shared" si="13"/>
        <v>115288.72611111111</v>
      </c>
      <c r="Q112" s="40">
        <f t="shared" si="14"/>
        <v>-3.3243589728087386E-2</v>
      </c>
      <c r="R112" s="39">
        <f t="shared" si="15"/>
        <v>1037253.6</v>
      </c>
      <c r="S112" s="41"/>
      <c r="U112" s="42">
        <f t="shared" si="16"/>
        <v>-3</v>
      </c>
      <c r="V112" s="42">
        <f t="shared" si="17"/>
        <v>3</v>
      </c>
      <c r="W112" s="42">
        <f t="shared" si="18"/>
        <v>0</v>
      </c>
      <c r="Y112" s="28">
        <v>104</v>
      </c>
    </row>
    <row r="113" spans="1:25" s="28" customFormat="1" ht="73.5" customHeight="1" x14ac:dyDescent="0.2">
      <c r="A113" s="30">
        <v>108</v>
      </c>
      <c r="B113" s="31" t="s">
        <v>169</v>
      </c>
      <c r="C113" s="32" t="s">
        <v>25</v>
      </c>
      <c r="D113" s="33">
        <v>4</v>
      </c>
      <c r="E113" s="34">
        <v>98486.85</v>
      </c>
      <c r="F113" s="35">
        <v>105203.9</v>
      </c>
      <c r="G113" s="32" t="s">
        <v>66</v>
      </c>
      <c r="H113" s="37">
        <f>121610.29/1.2</f>
        <v>101341.90833333333</v>
      </c>
      <c r="I113" s="38">
        <f t="shared" si="19"/>
        <v>405367.6333333333</v>
      </c>
      <c r="J113" s="37" t="s">
        <v>67</v>
      </c>
      <c r="K113" s="37">
        <f>125484.62/1.2</f>
        <v>104570.51666666666</v>
      </c>
      <c r="L113" s="38">
        <f t="shared" si="11"/>
        <v>418282.06666666665</v>
      </c>
      <c r="M113" s="38" t="s">
        <v>68</v>
      </c>
      <c r="N113" s="37">
        <v>109702.63</v>
      </c>
      <c r="O113" s="38">
        <f t="shared" si="12"/>
        <v>438810.52</v>
      </c>
      <c r="P113" s="39">
        <f t="shared" si="13"/>
        <v>105205.01833333333</v>
      </c>
      <c r="Q113" s="40">
        <f t="shared" si="14"/>
        <v>-1.063003791117012E-3</v>
      </c>
      <c r="R113" s="39">
        <f t="shared" si="15"/>
        <v>420815.6</v>
      </c>
      <c r="S113" s="41"/>
      <c r="U113" s="42">
        <f t="shared" si="16"/>
        <v>-4</v>
      </c>
      <c r="V113" s="42">
        <f t="shared" si="17"/>
        <v>-1</v>
      </c>
      <c r="W113" s="42">
        <f t="shared" si="18"/>
        <v>4</v>
      </c>
      <c r="Y113" s="28">
        <v>105</v>
      </c>
    </row>
    <row r="114" spans="1:25" s="28" customFormat="1" ht="73.5" customHeight="1" x14ac:dyDescent="0.2">
      <c r="A114" s="30">
        <v>109</v>
      </c>
      <c r="B114" s="31" t="s">
        <v>170</v>
      </c>
      <c r="C114" s="32" t="s">
        <v>25</v>
      </c>
      <c r="D114" s="33">
        <v>96</v>
      </c>
      <c r="E114" s="34">
        <v>17634.18</v>
      </c>
      <c r="F114" s="35">
        <v>23801.47</v>
      </c>
      <c r="G114" s="32" t="s">
        <v>56</v>
      </c>
      <c r="H114" s="37">
        <v>23917.54</v>
      </c>
      <c r="I114" s="38">
        <f t="shared" si="19"/>
        <v>2296083.84</v>
      </c>
      <c r="J114" s="32" t="s">
        <v>57</v>
      </c>
      <c r="K114" s="37">
        <v>24571.360000000001</v>
      </c>
      <c r="L114" s="38">
        <f t="shared" si="11"/>
        <v>2358850.5600000001</v>
      </c>
      <c r="M114" s="32" t="s">
        <v>119</v>
      </c>
      <c r="N114" s="37">
        <v>22927.08</v>
      </c>
      <c r="O114" s="38">
        <f t="shared" si="12"/>
        <v>2200999.6800000002</v>
      </c>
      <c r="P114" s="39">
        <f t="shared" si="13"/>
        <v>23805.326666666671</v>
      </c>
      <c r="Q114" s="40">
        <f t="shared" si="14"/>
        <v>-1.6200855886893351E-2</v>
      </c>
      <c r="R114" s="39">
        <f t="shared" si="15"/>
        <v>2284941.12</v>
      </c>
      <c r="S114" s="41"/>
      <c r="U114" s="42">
        <f t="shared" si="16"/>
        <v>0</v>
      </c>
      <c r="V114" s="42">
        <f t="shared" si="17"/>
        <v>3</v>
      </c>
      <c r="W114" s="42">
        <f t="shared" si="18"/>
        <v>-4</v>
      </c>
      <c r="Y114" s="28">
        <v>106</v>
      </c>
    </row>
    <row r="115" spans="1:25" s="28" customFormat="1" ht="73.5" customHeight="1" x14ac:dyDescent="0.2">
      <c r="A115" s="30">
        <v>110</v>
      </c>
      <c r="B115" s="31" t="s">
        <v>171</v>
      </c>
      <c r="C115" s="32" t="s">
        <v>25</v>
      </c>
      <c r="D115" s="33">
        <v>2</v>
      </c>
      <c r="E115" s="34" t="s">
        <v>26</v>
      </c>
      <c r="F115" s="35">
        <v>26380.87</v>
      </c>
      <c r="G115" s="32" t="s">
        <v>27</v>
      </c>
      <c r="H115" s="37">
        <f>29485.22/1.2</f>
        <v>24571.01666666667</v>
      </c>
      <c r="I115" s="38">
        <f t="shared" si="19"/>
        <v>49142.03333333334</v>
      </c>
      <c r="J115" s="38" t="s">
        <v>28</v>
      </c>
      <c r="K115" s="37">
        <f>33229.52/1.2</f>
        <v>27691.266666666666</v>
      </c>
      <c r="L115" s="38">
        <f t="shared" si="11"/>
        <v>55382.533333333333</v>
      </c>
      <c r="M115" s="32" t="s">
        <v>29</v>
      </c>
      <c r="N115" s="51">
        <v>26942.36</v>
      </c>
      <c r="O115" s="38">
        <f t="shared" si="12"/>
        <v>53884.72</v>
      </c>
      <c r="P115" s="39">
        <f t="shared" si="13"/>
        <v>26401.547777777781</v>
      </c>
      <c r="Q115" s="40">
        <f t="shared" si="14"/>
        <v>-7.8320324065188629E-2</v>
      </c>
      <c r="R115" s="39">
        <f t="shared" si="15"/>
        <v>52761.74</v>
      </c>
      <c r="S115" s="32"/>
      <c r="U115" s="42">
        <f t="shared" si="16"/>
        <v>-7</v>
      </c>
      <c r="V115" s="42">
        <f t="shared" si="17"/>
        <v>5</v>
      </c>
      <c r="W115" s="42">
        <f t="shared" si="18"/>
        <v>2</v>
      </c>
      <c r="Y115" s="28">
        <v>107</v>
      </c>
    </row>
    <row r="116" spans="1:25" s="28" customFormat="1" ht="73.5" customHeight="1" x14ac:dyDescent="0.2">
      <c r="A116" s="30">
        <v>111</v>
      </c>
      <c r="B116" s="31" t="s">
        <v>172</v>
      </c>
      <c r="C116" s="32" t="s">
        <v>25</v>
      </c>
      <c r="D116" s="33">
        <v>105</v>
      </c>
      <c r="E116" s="34" t="s">
        <v>26</v>
      </c>
      <c r="F116" s="35">
        <v>16</v>
      </c>
      <c r="G116" s="32" t="s">
        <v>27</v>
      </c>
      <c r="H116" s="37">
        <f>15.68/1.2</f>
        <v>13.066666666666666</v>
      </c>
      <c r="I116" s="38">
        <f t="shared" si="19"/>
        <v>1372</v>
      </c>
      <c r="J116" s="38" t="s">
        <v>28</v>
      </c>
      <c r="K116" s="37">
        <f>23.17/1.2</f>
        <v>19.308333333333337</v>
      </c>
      <c r="L116" s="38">
        <f t="shared" si="11"/>
        <v>2027.3750000000005</v>
      </c>
      <c r="M116" s="32" t="s">
        <v>29</v>
      </c>
      <c r="N116" s="37">
        <v>15.88</v>
      </c>
      <c r="O116" s="38">
        <f t="shared" si="12"/>
        <v>1667.4</v>
      </c>
      <c r="P116" s="39">
        <f t="shared" si="13"/>
        <v>16.085000000000001</v>
      </c>
      <c r="Q116" s="40">
        <f t="shared" si="14"/>
        <v>-0.52844264843021449</v>
      </c>
      <c r="R116" s="39">
        <f t="shared" si="15"/>
        <v>1680</v>
      </c>
      <c r="S116" s="41"/>
      <c r="U116" s="42">
        <f t="shared" si="16"/>
        <v>-19</v>
      </c>
      <c r="V116" s="42">
        <f t="shared" si="17"/>
        <v>20</v>
      </c>
      <c r="W116" s="42">
        <f t="shared" si="18"/>
        <v>-1</v>
      </c>
      <c r="Y116" s="28">
        <v>108</v>
      </c>
    </row>
    <row r="117" spans="1:25" s="28" customFormat="1" ht="73.5" customHeight="1" x14ac:dyDescent="0.2">
      <c r="A117" s="30">
        <v>112</v>
      </c>
      <c r="B117" s="31" t="s">
        <v>173</v>
      </c>
      <c r="C117" s="32" t="s">
        <v>25</v>
      </c>
      <c r="D117" s="33">
        <v>4</v>
      </c>
      <c r="E117" s="34" t="s">
        <v>26</v>
      </c>
      <c r="F117" s="35">
        <v>10739.64</v>
      </c>
      <c r="G117" s="37" t="s">
        <v>67</v>
      </c>
      <c r="H117" s="37">
        <f>12321.9/1.2</f>
        <v>10268.25</v>
      </c>
      <c r="I117" s="38">
        <f t="shared" si="19"/>
        <v>41073</v>
      </c>
      <c r="J117" s="32" t="s">
        <v>46</v>
      </c>
      <c r="K117" s="37">
        <v>11095.36</v>
      </c>
      <c r="L117" s="38">
        <f t="shared" si="11"/>
        <v>44381.440000000002</v>
      </c>
      <c r="M117" s="38" t="s">
        <v>68</v>
      </c>
      <c r="N117" s="37">
        <v>10873.97</v>
      </c>
      <c r="O117" s="38">
        <f t="shared" si="12"/>
        <v>43495.88</v>
      </c>
      <c r="P117" s="39">
        <f t="shared" si="13"/>
        <v>10745.86</v>
      </c>
      <c r="Q117" s="40">
        <f t="shared" si="14"/>
        <v>-5.7882756708167449E-2</v>
      </c>
      <c r="R117" s="39">
        <f t="shared" si="15"/>
        <v>42958.559999999998</v>
      </c>
      <c r="S117" s="41"/>
      <c r="U117" s="42">
        <f t="shared" si="16"/>
        <v>-4</v>
      </c>
      <c r="V117" s="42">
        <f t="shared" si="17"/>
        <v>3</v>
      </c>
      <c r="W117" s="42">
        <f t="shared" si="18"/>
        <v>1</v>
      </c>
      <c r="Y117" s="28">
        <v>109</v>
      </c>
    </row>
    <row r="118" spans="1:25" s="28" customFormat="1" ht="73.5" customHeight="1" x14ac:dyDescent="0.2">
      <c r="A118" s="30">
        <v>113</v>
      </c>
      <c r="B118" s="31" t="s">
        <v>174</v>
      </c>
      <c r="C118" s="32" t="s">
        <v>25</v>
      </c>
      <c r="D118" s="33">
        <v>15</v>
      </c>
      <c r="E118" s="34" t="s">
        <v>26</v>
      </c>
      <c r="F118" s="35">
        <v>11759.65</v>
      </c>
      <c r="G118" s="37" t="s">
        <v>67</v>
      </c>
      <c r="H118" s="37">
        <f>13514.04/1.2</f>
        <v>11261.7</v>
      </c>
      <c r="I118" s="38">
        <f t="shared" si="19"/>
        <v>168925.5</v>
      </c>
      <c r="J118" s="32" t="s">
        <v>46</v>
      </c>
      <c r="K118" s="37">
        <v>11983.18</v>
      </c>
      <c r="L118" s="38">
        <f t="shared" si="11"/>
        <v>179747.7</v>
      </c>
      <c r="M118" s="38" t="s">
        <v>68</v>
      </c>
      <c r="N118" s="37">
        <v>12054.31</v>
      </c>
      <c r="O118" s="38">
        <f t="shared" si="12"/>
        <v>180814.65</v>
      </c>
      <c r="P118" s="39">
        <f t="shared" si="13"/>
        <v>11766.396666666667</v>
      </c>
      <c r="Q118" s="40">
        <f t="shared" si="14"/>
        <v>-5.7338426179185831E-2</v>
      </c>
      <c r="R118" s="39">
        <f t="shared" si="15"/>
        <v>176394.75</v>
      </c>
      <c r="S118" s="41"/>
      <c r="U118" s="42">
        <f t="shared" si="16"/>
        <v>-4</v>
      </c>
      <c r="V118" s="42">
        <f t="shared" si="17"/>
        <v>2</v>
      </c>
      <c r="W118" s="42">
        <f t="shared" si="18"/>
        <v>2</v>
      </c>
      <c r="Y118" s="28">
        <v>110</v>
      </c>
    </row>
    <row r="119" spans="1:25" s="28" customFormat="1" ht="73.5" customHeight="1" x14ac:dyDescent="0.2">
      <c r="A119" s="30">
        <v>114</v>
      </c>
      <c r="B119" s="31" t="s">
        <v>175</v>
      </c>
      <c r="C119" s="32" t="s">
        <v>25</v>
      </c>
      <c r="D119" s="33">
        <v>9</v>
      </c>
      <c r="E119" s="34">
        <v>799.46</v>
      </c>
      <c r="F119" s="35">
        <v>853.15</v>
      </c>
      <c r="G119" s="32" t="s">
        <v>27</v>
      </c>
      <c r="H119" s="37">
        <f>961.27/1.2</f>
        <v>801.05833333333339</v>
      </c>
      <c r="I119" s="38">
        <f t="shared" si="19"/>
        <v>7209.5250000000005</v>
      </c>
      <c r="J119" s="38" t="s">
        <v>28</v>
      </c>
      <c r="K119" s="37">
        <f>1027.26/1.2</f>
        <v>856.05000000000007</v>
      </c>
      <c r="L119" s="38">
        <f t="shared" si="11"/>
        <v>7704.4500000000007</v>
      </c>
      <c r="M119" s="32" t="s">
        <v>29</v>
      </c>
      <c r="N119" s="37">
        <v>911.61</v>
      </c>
      <c r="O119" s="38">
        <f t="shared" si="12"/>
        <v>8204.49</v>
      </c>
      <c r="P119" s="39">
        <f t="shared" si="13"/>
        <v>856.23944444444453</v>
      </c>
      <c r="Q119" s="40">
        <f t="shared" si="14"/>
        <v>-0.36081547801725833</v>
      </c>
      <c r="R119" s="39">
        <f t="shared" si="15"/>
        <v>7678.3499999999995</v>
      </c>
      <c r="S119" s="41"/>
      <c r="U119" s="42">
        <f t="shared" si="16"/>
        <v>-6</v>
      </c>
      <c r="V119" s="42">
        <f t="shared" si="17"/>
        <v>0</v>
      </c>
      <c r="W119" s="42">
        <f t="shared" si="18"/>
        <v>6</v>
      </c>
      <c r="Y119" s="28">
        <v>111</v>
      </c>
    </row>
    <row r="120" spans="1:25" s="28" customFormat="1" ht="73.5" customHeight="1" x14ac:dyDescent="0.2">
      <c r="A120" s="30">
        <v>115</v>
      </c>
      <c r="B120" s="31" t="s">
        <v>176</v>
      </c>
      <c r="C120" s="32" t="s">
        <v>25</v>
      </c>
      <c r="D120" s="33">
        <v>6</v>
      </c>
      <c r="E120" s="34">
        <v>1026.3699999999999</v>
      </c>
      <c r="F120" s="35">
        <v>1193.4000000000001</v>
      </c>
      <c r="G120" s="32" t="s">
        <v>27</v>
      </c>
      <c r="H120" s="37">
        <f>1229.06/1.2</f>
        <v>1024.2166666666667</v>
      </c>
      <c r="I120" s="38">
        <f t="shared" si="19"/>
        <v>6145.3</v>
      </c>
      <c r="J120" s="38" t="s">
        <v>28</v>
      </c>
      <c r="K120" s="37">
        <f>1512.89/1.2</f>
        <v>1260.7416666666668</v>
      </c>
      <c r="L120" s="38">
        <f t="shared" si="11"/>
        <v>7564.4500000000007</v>
      </c>
      <c r="M120" s="32" t="s">
        <v>29</v>
      </c>
      <c r="N120" s="37">
        <v>1302.32</v>
      </c>
      <c r="O120" s="38">
        <f t="shared" si="12"/>
        <v>7813.92</v>
      </c>
      <c r="P120" s="39">
        <f t="shared" si="13"/>
        <v>1195.7594444444446</v>
      </c>
      <c r="Q120" s="40">
        <f t="shared" si="14"/>
        <v>-0.19731765075380281</v>
      </c>
      <c r="R120" s="39">
        <f t="shared" si="15"/>
        <v>7160.4000000000005</v>
      </c>
      <c r="S120" s="41"/>
      <c r="U120" s="42">
        <f t="shared" si="16"/>
        <v>-14</v>
      </c>
      <c r="V120" s="42">
        <f t="shared" si="17"/>
        <v>5</v>
      </c>
      <c r="W120" s="42">
        <f t="shared" si="18"/>
        <v>9</v>
      </c>
      <c r="Y120" s="28">
        <v>112</v>
      </c>
    </row>
    <row r="121" spans="1:25" s="28" customFormat="1" ht="73.5" customHeight="1" x14ac:dyDescent="0.2">
      <c r="A121" s="30">
        <v>116</v>
      </c>
      <c r="B121" s="31" t="s">
        <v>177</v>
      </c>
      <c r="C121" s="32" t="s">
        <v>25</v>
      </c>
      <c r="D121" s="33">
        <v>1</v>
      </c>
      <c r="E121" s="34">
        <v>1059.8499999999999</v>
      </c>
      <c r="F121" s="35">
        <v>1120.3</v>
      </c>
      <c r="G121" s="32" t="s">
        <v>27</v>
      </c>
      <c r="H121" s="37">
        <f>1283.51/1.2</f>
        <v>1069.5916666666667</v>
      </c>
      <c r="I121" s="38">
        <f t="shared" si="19"/>
        <v>1069.5916666666667</v>
      </c>
      <c r="J121" s="38" t="s">
        <v>28</v>
      </c>
      <c r="K121" s="37">
        <f>1330.68/1.2</f>
        <v>1108.9000000000001</v>
      </c>
      <c r="L121" s="38">
        <f t="shared" si="11"/>
        <v>1108.9000000000001</v>
      </c>
      <c r="M121" s="32" t="s">
        <v>29</v>
      </c>
      <c r="N121" s="37">
        <v>1187.8399999999999</v>
      </c>
      <c r="O121" s="38">
        <f t="shared" si="12"/>
        <v>1187.8399999999999</v>
      </c>
      <c r="P121" s="39">
        <f t="shared" si="13"/>
        <v>1122.1105555555557</v>
      </c>
      <c r="Q121" s="40">
        <f t="shared" si="14"/>
        <v>-0.16135268905472344</v>
      </c>
      <c r="R121" s="39">
        <f t="shared" si="15"/>
        <v>1120.3</v>
      </c>
      <c r="S121" s="41"/>
      <c r="U121" s="42">
        <f t="shared" si="16"/>
        <v>-5</v>
      </c>
      <c r="V121" s="42">
        <f t="shared" si="17"/>
        <v>-1</v>
      </c>
      <c r="W121" s="42">
        <f t="shared" si="18"/>
        <v>6</v>
      </c>
      <c r="Y121" s="28">
        <v>113</v>
      </c>
    </row>
    <row r="122" spans="1:25" s="28" customFormat="1" ht="73.5" customHeight="1" x14ac:dyDescent="0.2">
      <c r="A122" s="30">
        <v>117</v>
      </c>
      <c r="B122" s="31" t="s">
        <v>178</v>
      </c>
      <c r="C122" s="32" t="s">
        <v>25</v>
      </c>
      <c r="D122" s="33">
        <v>1</v>
      </c>
      <c r="E122" s="34">
        <v>3234.77</v>
      </c>
      <c r="F122" s="35">
        <v>3390.15</v>
      </c>
      <c r="G122" s="32" t="s">
        <v>27</v>
      </c>
      <c r="H122" s="37">
        <f>3848.77/1.2</f>
        <v>3207.3083333333334</v>
      </c>
      <c r="I122" s="38">
        <f t="shared" si="19"/>
        <v>3207.3083333333334</v>
      </c>
      <c r="J122" s="38" t="s">
        <v>28</v>
      </c>
      <c r="K122" s="37">
        <f>4213.88/1.2</f>
        <v>3511.5666666666671</v>
      </c>
      <c r="L122" s="38">
        <f t="shared" si="11"/>
        <v>3511.5666666666671</v>
      </c>
      <c r="M122" s="32" t="s">
        <v>29</v>
      </c>
      <c r="N122" s="37">
        <v>3461.03</v>
      </c>
      <c r="O122" s="38">
        <f t="shared" si="12"/>
        <v>3461.03</v>
      </c>
      <c r="P122" s="39">
        <f t="shared" si="13"/>
        <v>3393.3016666666667</v>
      </c>
      <c r="Q122" s="40">
        <f t="shared" si="14"/>
        <v>-9.2879059283959009E-2</v>
      </c>
      <c r="R122" s="39">
        <f t="shared" si="15"/>
        <v>3390.15</v>
      </c>
      <c r="S122" s="41"/>
      <c r="U122" s="42">
        <f t="shared" si="16"/>
        <v>-5</v>
      </c>
      <c r="V122" s="42">
        <f t="shared" si="17"/>
        <v>3</v>
      </c>
      <c r="W122" s="42">
        <f t="shared" si="18"/>
        <v>2</v>
      </c>
      <c r="Y122" s="28">
        <v>114</v>
      </c>
    </row>
    <row r="123" spans="1:25" s="28" customFormat="1" ht="73.5" customHeight="1" x14ac:dyDescent="0.2">
      <c r="A123" s="30">
        <v>118</v>
      </c>
      <c r="B123" s="31" t="s">
        <v>179</v>
      </c>
      <c r="C123" s="32" t="s">
        <v>25</v>
      </c>
      <c r="D123" s="33">
        <v>3</v>
      </c>
      <c r="E123" s="34">
        <v>2771.28</v>
      </c>
      <c r="F123" s="35">
        <v>2777.4</v>
      </c>
      <c r="G123" s="32" t="s">
        <v>27</v>
      </c>
      <c r="H123" s="37">
        <f>3306.94/1.2</f>
        <v>2755.7833333333333</v>
      </c>
      <c r="I123" s="38">
        <f t="shared" si="19"/>
        <v>8267.35</v>
      </c>
      <c r="J123" s="38" t="s">
        <v>28</v>
      </c>
      <c r="K123" s="37">
        <f>3452.2/1.2</f>
        <v>2876.8333333333335</v>
      </c>
      <c r="L123" s="38">
        <f t="shared" si="11"/>
        <v>8630.5</v>
      </c>
      <c r="M123" s="32" t="s">
        <v>29</v>
      </c>
      <c r="N123" s="37">
        <v>2703.98</v>
      </c>
      <c r="O123" s="38">
        <f t="shared" si="12"/>
        <v>8111.9400000000005</v>
      </c>
      <c r="P123" s="39">
        <f t="shared" si="13"/>
        <v>2778.8655555555556</v>
      </c>
      <c r="Q123" s="40">
        <f t="shared" si="14"/>
        <v>-5.2739347271611337E-2</v>
      </c>
      <c r="R123" s="39">
        <f t="shared" si="15"/>
        <v>8332.2000000000007</v>
      </c>
      <c r="S123" s="41"/>
      <c r="U123" s="42">
        <f t="shared" si="16"/>
        <v>-1</v>
      </c>
      <c r="V123" s="42">
        <f t="shared" si="17"/>
        <v>4</v>
      </c>
      <c r="W123" s="42">
        <f t="shared" si="18"/>
        <v>-3</v>
      </c>
      <c r="Y123" s="28">
        <v>115</v>
      </c>
    </row>
    <row r="124" spans="1:25" s="28" customFormat="1" ht="73.5" customHeight="1" x14ac:dyDescent="0.2">
      <c r="A124" s="30">
        <v>119</v>
      </c>
      <c r="B124" s="31" t="s">
        <v>180</v>
      </c>
      <c r="C124" s="32" t="s">
        <v>25</v>
      </c>
      <c r="D124" s="33" t="s">
        <v>181</v>
      </c>
      <c r="E124" s="34">
        <v>5096.3100000000004</v>
      </c>
      <c r="F124" s="35">
        <v>5200</v>
      </c>
      <c r="G124" s="32" t="s">
        <v>27</v>
      </c>
      <c r="H124" s="37">
        <f>6026.51/1.2</f>
        <v>5022.0916666666672</v>
      </c>
      <c r="I124" s="38">
        <f t="shared" si="19"/>
        <v>140618.56666666668</v>
      </c>
      <c r="J124" s="38" t="s">
        <v>28</v>
      </c>
      <c r="K124" s="37">
        <f>6712.45/1.2</f>
        <v>5593.708333333333</v>
      </c>
      <c r="L124" s="38">
        <f t="shared" si="11"/>
        <v>156623.83333333331</v>
      </c>
      <c r="M124" s="32" t="s">
        <v>29</v>
      </c>
      <c r="N124" s="37">
        <v>5007.33</v>
      </c>
      <c r="O124" s="38">
        <f t="shared" si="12"/>
        <v>140205.24</v>
      </c>
      <c r="P124" s="39">
        <f t="shared" si="13"/>
        <v>5207.71</v>
      </c>
      <c r="Q124" s="40">
        <f t="shared" si="14"/>
        <v>-0.14804971859031468</v>
      </c>
      <c r="R124" s="39">
        <f t="shared" si="15"/>
        <v>145600</v>
      </c>
      <c r="S124" s="41"/>
      <c r="U124" s="42">
        <f t="shared" si="16"/>
        <v>-4</v>
      </c>
      <c r="V124" s="42">
        <f t="shared" si="17"/>
        <v>7</v>
      </c>
      <c r="W124" s="42">
        <f t="shared" si="18"/>
        <v>-4</v>
      </c>
      <c r="Y124" s="28">
        <v>116</v>
      </c>
    </row>
    <row r="125" spans="1:25" s="28" customFormat="1" ht="73.5" customHeight="1" x14ac:dyDescent="0.2">
      <c r="A125" s="30">
        <v>120</v>
      </c>
      <c r="B125" s="31" t="s">
        <v>182</v>
      </c>
      <c r="C125" s="32" t="s">
        <v>25</v>
      </c>
      <c r="D125" s="33">
        <v>1</v>
      </c>
      <c r="E125" s="34">
        <v>3295.17</v>
      </c>
      <c r="F125" s="35">
        <v>3320.5</v>
      </c>
      <c r="G125" s="32" t="s">
        <v>27</v>
      </c>
      <c r="H125" s="37">
        <f>3946.52/1.2</f>
        <v>3288.7666666666669</v>
      </c>
      <c r="I125" s="38">
        <f t="shared" si="19"/>
        <v>3288.7666666666669</v>
      </c>
      <c r="J125" s="38" t="s">
        <v>28</v>
      </c>
      <c r="K125" s="37">
        <f>3861.14/1.2</f>
        <v>3217.6166666666668</v>
      </c>
      <c r="L125" s="38">
        <f t="shared" si="11"/>
        <v>3217.6166666666668</v>
      </c>
      <c r="M125" s="32" t="s">
        <v>29</v>
      </c>
      <c r="N125" s="37">
        <v>3471.09</v>
      </c>
      <c r="O125" s="38">
        <f t="shared" si="12"/>
        <v>3471.09</v>
      </c>
      <c r="P125" s="39">
        <f t="shared" si="13"/>
        <v>3325.8244444444445</v>
      </c>
      <c r="Q125" s="40">
        <f t="shared" si="14"/>
        <v>-0.16009397168689077</v>
      </c>
      <c r="R125" s="39">
        <f t="shared" si="15"/>
        <v>3320.5</v>
      </c>
      <c r="S125" s="41"/>
      <c r="U125" s="42">
        <f t="shared" si="16"/>
        <v>-1</v>
      </c>
      <c r="V125" s="42">
        <f t="shared" si="17"/>
        <v>-3</v>
      </c>
      <c r="W125" s="42">
        <f t="shared" si="18"/>
        <v>4</v>
      </c>
      <c r="Y125" s="28">
        <v>117</v>
      </c>
    </row>
    <row r="126" spans="1:25" s="28" customFormat="1" ht="73.5" customHeight="1" x14ac:dyDescent="0.2">
      <c r="A126" s="30">
        <v>121</v>
      </c>
      <c r="B126" s="31" t="s">
        <v>183</v>
      </c>
      <c r="C126" s="32" t="s">
        <v>25</v>
      </c>
      <c r="D126" s="33">
        <v>60</v>
      </c>
      <c r="E126" s="34" t="s">
        <v>26</v>
      </c>
      <c r="F126" s="35">
        <v>13200.55</v>
      </c>
      <c r="G126" s="32" t="s">
        <v>27</v>
      </c>
      <c r="H126" s="37">
        <f>15720.65/1.2</f>
        <v>13100.541666666666</v>
      </c>
      <c r="I126" s="38">
        <f t="shared" si="19"/>
        <v>786032.5</v>
      </c>
      <c r="J126" s="38" t="s">
        <v>28</v>
      </c>
      <c r="K126" s="37">
        <f>16167.67/1.2</f>
        <v>13473.058333333334</v>
      </c>
      <c r="L126" s="38">
        <f t="shared" si="11"/>
        <v>808383.5</v>
      </c>
      <c r="M126" s="32" t="s">
        <v>29</v>
      </c>
      <c r="N126" s="37">
        <v>13042.21</v>
      </c>
      <c r="O126" s="38">
        <f t="shared" si="12"/>
        <v>782532.6</v>
      </c>
      <c r="P126" s="39">
        <f t="shared" si="13"/>
        <v>13205.269999999999</v>
      </c>
      <c r="Q126" s="40">
        <f t="shared" si="14"/>
        <v>-3.5743305513619816E-2</v>
      </c>
      <c r="R126" s="39">
        <f t="shared" si="15"/>
        <v>792033</v>
      </c>
      <c r="S126" s="41"/>
      <c r="U126" s="42">
        <f t="shared" si="16"/>
        <v>-1</v>
      </c>
      <c r="V126" s="42">
        <f t="shared" si="17"/>
        <v>2</v>
      </c>
      <c r="W126" s="42">
        <f t="shared" si="18"/>
        <v>-1</v>
      </c>
      <c r="Y126" s="28">
        <v>118</v>
      </c>
    </row>
    <row r="127" spans="1:25" s="28" customFormat="1" ht="73.5" customHeight="1" x14ac:dyDescent="0.2">
      <c r="A127" s="30">
        <v>122</v>
      </c>
      <c r="B127" s="31" t="s">
        <v>184</v>
      </c>
      <c r="C127" s="32" t="s">
        <v>25</v>
      </c>
      <c r="D127" s="33">
        <v>5</v>
      </c>
      <c r="E127" s="34">
        <v>1769.59</v>
      </c>
      <c r="F127" s="35">
        <v>1825</v>
      </c>
      <c r="G127" s="32" t="s">
        <v>27</v>
      </c>
      <c r="H127" s="37">
        <f>2172.67/1.2</f>
        <v>1810.5583333333334</v>
      </c>
      <c r="I127" s="38">
        <f t="shared" si="19"/>
        <v>9052.7916666666679</v>
      </c>
      <c r="J127" s="38" t="s">
        <v>28</v>
      </c>
      <c r="K127" s="37">
        <f>2232.5/1.2</f>
        <v>1860.4166666666667</v>
      </c>
      <c r="L127" s="38">
        <f t="shared" si="11"/>
        <v>9302.0833333333339</v>
      </c>
      <c r="M127" s="32" t="s">
        <v>29</v>
      </c>
      <c r="N127" s="37">
        <v>1807.53</v>
      </c>
      <c r="O127" s="38">
        <f t="shared" si="12"/>
        <v>9037.65</v>
      </c>
      <c r="P127" s="39">
        <f t="shared" si="13"/>
        <v>1826.1683333333333</v>
      </c>
      <c r="Q127" s="40">
        <f t="shared" si="14"/>
        <v>-6.3977307677916428E-2</v>
      </c>
      <c r="R127" s="39">
        <f t="shared" si="15"/>
        <v>9125</v>
      </c>
      <c r="S127" s="41"/>
      <c r="U127" s="42">
        <f t="shared" si="16"/>
        <v>-1</v>
      </c>
      <c r="V127" s="42">
        <f t="shared" si="17"/>
        <v>2</v>
      </c>
      <c r="W127" s="42">
        <f t="shared" si="18"/>
        <v>-1</v>
      </c>
      <c r="Y127" s="28">
        <v>119</v>
      </c>
    </row>
    <row r="128" spans="1:25" s="28" customFormat="1" ht="73.5" customHeight="1" x14ac:dyDescent="0.2">
      <c r="A128" s="30">
        <v>123</v>
      </c>
      <c r="B128" s="31" t="s">
        <v>185</v>
      </c>
      <c r="C128" s="32" t="s">
        <v>25</v>
      </c>
      <c r="D128" s="33">
        <v>4</v>
      </c>
      <c r="E128" s="34">
        <v>62.24</v>
      </c>
      <c r="F128" s="35">
        <v>65.3</v>
      </c>
      <c r="G128" s="32" t="s">
        <v>27</v>
      </c>
      <c r="H128" s="37">
        <f>76.58/1.2</f>
        <v>63.81666666666667</v>
      </c>
      <c r="I128" s="38">
        <f t="shared" si="19"/>
        <v>255.26666666666668</v>
      </c>
      <c r="J128" s="38" t="s">
        <v>28</v>
      </c>
      <c r="K128" s="37">
        <f>75.56/1.2</f>
        <v>62.966666666666669</v>
      </c>
      <c r="L128" s="38">
        <f t="shared" si="11"/>
        <v>251.86666666666667</v>
      </c>
      <c r="M128" s="32" t="s">
        <v>29</v>
      </c>
      <c r="N128" s="37">
        <v>70.62</v>
      </c>
      <c r="O128" s="38">
        <f t="shared" si="12"/>
        <v>282.48</v>
      </c>
      <c r="P128" s="39">
        <f t="shared" si="13"/>
        <v>65.801111111111112</v>
      </c>
      <c r="Q128" s="40">
        <f t="shared" si="14"/>
        <v>-0.76155417841644635</v>
      </c>
      <c r="R128" s="39">
        <f t="shared" si="15"/>
        <v>261.2</v>
      </c>
      <c r="S128" s="41"/>
      <c r="U128" s="42">
        <f t="shared" si="16"/>
        <v>-3</v>
      </c>
      <c r="V128" s="42">
        <f t="shared" si="17"/>
        <v>-4</v>
      </c>
      <c r="W128" s="42">
        <f t="shared" si="18"/>
        <v>7</v>
      </c>
      <c r="Y128" s="28">
        <v>120</v>
      </c>
    </row>
    <row r="129" spans="1:25" s="28" customFormat="1" ht="73.5" customHeight="1" x14ac:dyDescent="0.2">
      <c r="A129" s="30">
        <v>124</v>
      </c>
      <c r="B129" s="31" t="s">
        <v>186</v>
      </c>
      <c r="C129" s="32" t="s">
        <v>25</v>
      </c>
      <c r="D129" s="33">
        <v>2</v>
      </c>
      <c r="E129" s="34" t="s">
        <v>26</v>
      </c>
      <c r="F129" s="35">
        <v>65.010000000000005</v>
      </c>
      <c r="G129" s="32" t="s">
        <v>27</v>
      </c>
      <c r="H129" s="37">
        <f>74.03/1.2</f>
        <v>61.69166666666667</v>
      </c>
      <c r="I129" s="38">
        <f t="shared" si="19"/>
        <v>123.38333333333334</v>
      </c>
      <c r="J129" s="38" t="s">
        <v>28</v>
      </c>
      <c r="K129" s="37">
        <f>76.66/1.2</f>
        <v>63.883333333333333</v>
      </c>
      <c r="L129" s="38">
        <f t="shared" si="11"/>
        <v>127.76666666666667</v>
      </c>
      <c r="M129" s="32" t="s">
        <v>29</v>
      </c>
      <c r="N129" s="37">
        <v>69.739999999999995</v>
      </c>
      <c r="O129" s="38">
        <f t="shared" si="12"/>
        <v>139.47999999999999</v>
      </c>
      <c r="P129" s="39">
        <f t="shared" si="13"/>
        <v>65.105000000000004</v>
      </c>
      <c r="Q129" s="40">
        <f t="shared" si="14"/>
        <v>-0.14591813224789973</v>
      </c>
      <c r="R129" s="39">
        <f t="shared" si="15"/>
        <v>130.02000000000001</v>
      </c>
      <c r="S129" s="41"/>
      <c r="U129" s="42">
        <f t="shared" si="16"/>
        <v>-5</v>
      </c>
      <c r="V129" s="42">
        <f t="shared" si="17"/>
        <v>-2</v>
      </c>
      <c r="W129" s="42">
        <f t="shared" si="18"/>
        <v>7</v>
      </c>
      <c r="Y129" s="28">
        <v>121</v>
      </c>
    </row>
    <row r="130" spans="1:25" s="28" customFormat="1" ht="73.5" customHeight="1" x14ac:dyDescent="0.2">
      <c r="A130" s="30">
        <v>125</v>
      </c>
      <c r="B130" s="31" t="s">
        <v>187</v>
      </c>
      <c r="C130" s="32" t="s">
        <v>25</v>
      </c>
      <c r="D130" s="33">
        <v>4</v>
      </c>
      <c r="E130" s="34" t="s">
        <v>26</v>
      </c>
      <c r="F130" s="35">
        <v>133.1</v>
      </c>
      <c r="G130" s="32" t="s">
        <v>27</v>
      </c>
      <c r="H130" s="37">
        <f>149.48/1.2</f>
        <v>124.56666666666666</v>
      </c>
      <c r="I130" s="38">
        <f t="shared" si="19"/>
        <v>498.26666666666665</v>
      </c>
      <c r="J130" s="38" t="s">
        <v>28</v>
      </c>
      <c r="K130" s="37">
        <f>167.56/1.2</f>
        <v>139.63333333333335</v>
      </c>
      <c r="L130" s="38">
        <f t="shared" si="11"/>
        <v>558.53333333333342</v>
      </c>
      <c r="M130" s="32" t="s">
        <v>29</v>
      </c>
      <c r="N130" s="37">
        <v>136.08000000000001</v>
      </c>
      <c r="O130" s="38">
        <f t="shared" si="12"/>
        <v>544.32000000000005</v>
      </c>
      <c r="P130" s="39">
        <f t="shared" si="13"/>
        <v>133.4266666666667</v>
      </c>
      <c r="Q130" s="40">
        <f t="shared" si="14"/>
        <v>-0.2448286199660572</v>
      </c>
      <c r="R130" s="39">
        <f t="shared" si="15"/>
        <v>532.4</v>
      </c>
      <c r="S130" s="41"/>
      <c r="U130" s="42">
        <f t="shared" si="16"/>
        <v>-7</v>
      </c>
      <c r="V130" s="42">
        <f t="shared" si="17"/>
        <v>5</v>
      </c>
      <c r="W130" s="42">
        <f t="shared" si="18"/>
        <v>2</v>
      </c>
      <c r="Y130" s="28">
        <v>122</v>
      </c>
    </row>
    <row r="131" spans="1:25" s="28" customFormat="1" ht="73.5" customHeight="1" x14ac:dyDescent="0.2">
      <c r="A131" s="30">
        <v>126</v>
      </c>
      <c r="B131" s="31" t="s">
        <v>188</v>
      </c>
      <c r="C131" s="32" t="s">
        <v>53</v>
      </c>
      <c r="D131" s="33">
        <v>58.65</v>
      </c>
      <c r="E131" s="34">
        <v>917.04</v>
      </c>
      <c r="F131" s="35">
        <v>1090.4000000000001</v>
      </c>
      <c r="G131" s="36" t="s">
        <v>90</v>
      </c>
      <c r="H131" s="37">
        <f>1238.89/1.2</f>
        <v>1032.4083333333335</v>
      </c>
      <c r="I131" s="38">
        <f t="shared" si="19"/>
        <v>60550.748750000013</v>
      </c>
      <c r="J131" s="36" t="s">
        <v>189</v>
      </c>
      <c r="K131" s="37">
        <f>1320.83/1.2</f>
        <v>1100.6916666666666</v>
      </c>
      <c r="L131" s="38">
        <f t="shared" si="11"/>
        <v>64555.566249999996</v>
      </c>
      <c r="M131" s="36" t="s">
        <v>149</v>
      </c>
      <c r="N131" s="37">
        <f>1385.5/1.2</f>
        <v>1154.5833333333335</v>
      </c>
      <c r="O131" s="38">
        <f t="shared" si="12"/>
        <v>67716.3125</v>
      </c>
      <c r="P131" s="39">
        <f t="shared" si="13"/>
        <v>1095.8944444444446</v>
      </c>
      <c r="Q131" s="40">
        <f t="shared" si="14"/>
        <v>-0.50136621024937256</v>
      </c>
      <c r="R131" s="39">
        <f t="shared" si="15"/>
        <v>63951.960000000006</v>
      </c>
      <c r="S131" s="52"/>
      <c r="T131" s="53"/>
      <c r="U131" s="42">
        <f t="shared" si="16"/>
        <v>-6</v>
      </c>
      <c r="V131" s="42">
        <f t="shared" si="17"/>
        <v>0</v>
      </c>
      <c r="W131" s="42">
        <f t="shared" si="18"/>
        <v>5</v>
      </c>
      <c r="Y131" s="28">
        <v>123</v>
      </c>
    </row>
    <row r="132" spans="1:25" s="28" customFormat="1" ht="73.5" customHeight="1" x14ac:dyDescent="0.2">
      <c r="A132" s="30">
        <v>127</v>
      </c>
      <c r="B132" s="31" t="s">
        <v>190</v>
      </c>
      <c r="C132" s="32" t="s">
        <v>53</v>
      </c>
      <c r="D132" s="33" t="s">
        <v>191</v>
      </c>
      <c r="E132" s="34">
        <v>1562.5</v>
      </c>
      <c r="F132" s="35">
        <v>2710.82</v>
      </c>
      <c r="G132" s="36" t="s">
        <v>90</v>
      </c>
      <c r="H132" s="37">
        <f>3111.11/1.2</f>
        <v>2592.5916666666667</v>
      </c>
      <c r="I132" s="38">
        <f t="shared" ref="I132:I163" si="20">D132*H132</f>
        <v>2851.8508333333334</v>
      </c>
      <c r="J132" s="36" t="s">
        <v>189</v>
      </c>
      <c r="K132" s="37">
        <f>3185.77/1.2</f>
        <v>2654.8083333333334</v>
      </c>
      <c r="L132" s="38">
        <f t="shared" si="11"/>
        <v>2920.2891666666669</v>
      </c>
      <c r="M132" s="36" t="s">
        <v>149</v>
      </c>
      <c r="N132" s="37">
        <f>3480.8/1.2</f>
        <v>2900.666666666667</v>
      </c>
      <c r="O132" s="38">
        <f t="shared" si="12"/>
        <v>3190.733333333334</v>
      </c>
      <c r="P132" s="39">
        <f t="shared" si="13"/>
        <v>2716.0222222222224</v>
      </c>
      <c r="Q132" s="40">
        <f t="shared" si="14"/>
        <v>-0.19153827901915577</v>
      </c>
      <c r="R132" s="39">
        <f t="shared" si="15"/>
        <v>2981.9020000000005</v>
      </c>
      <c r="S132" s="52"/>
      <c r="U132" s="42">
        <f t="shared" si="16"/>
        <v>-5</v>
      </c>
      <c r="V132" s="42">
        <f t="shared" si="17"/>
        <v>-2</v>
      </c>
      <c r="W132" s="42">
        <f t="shared" si="18"/>
        <v>7</v>
      </c>
      <c r="Y132" s="28">
        <v>124</v>
      </c>
    </row>
    <row r="133" spans="1:25" s="28" customFormat="1" ht="73.5" customHeight="1" x14ac:dyDescent="0.2">
      <c r="A133" s="30">
        <v>128</v>
      </c>
      <c r="B133" s="31" t="s">
        <v>192</v>
      </c>
      <c r="C133" s="32" t="s">
        <v>53</v>
      </c>
      <c r="D133" s="33" t="s">
        <v>193</v>
      </c>
      <c r="E133" s="34">
        <v>1779.17</v>
      </c>
      <c r="F133" s="35">
        <v>2701.65</v>
      </c>
      <c r="G133" s="36" t="s">
        <v>90</v>
      </c>
      <c r="H133" s="37">
        <f>3166.67/1.2</f>
        <v>2638.8916666666669</v>
      </c>
      <c r="I133" s="38">
        <f t="shared" si="20"/>
        <v>8180.5641666666679</v>
      </c>
      <c r="J133" s="36" t="s">
        <v>189</v>
      </c>
      <c r="K133" s="37">
        <f>3135.29/1.2</f>
        <v>2612.7416666666668</v>
      </c>
      <c r="L133" s="38">
        <f t="shared" si="11"/>
        <v>8099.4991666666674</v>
      </c>
      <c r="M133" s="36" t="s">
        <v>149</v>
      </c>
      <c r="N133" s="37">
        <f>3514.09/1.2</f>
        <v>2928.4083333333338</v>
      </c>
      <c r="O133" s="38">
        <f t="shared" si="12"/>
        <v>9078.065833333334</v>
      </c>
      <c r="P133" s="39">
        <f t="shared" si="13"/>
        <v>2726.6805555555557</v>
      </c>
      <c r="Q133" s="40">
        <f t="shared" si="14"/>
        <v>-0.91798635907518644</v>
      </c>
      <c r="R133" s="39">
        <f t="shared" si="15"/>
        <v>8375.1149999999998</v>
      </c>
      <c r="S133" s="52"/>
      <c r="U133" s="42">
        <f t="shared" si="16"/>
        <v>-3</v>
      </c>
      <c r="V133" s="42">
        <f t="shared" si="17"/>
        <v>-4</v>
      </c>
      <c r="W133" s="42">
        <f t="shared" si="18"/>
        <v>7</v>
      </c>
      <c r="Y133" s="28">
        <v>125</v>
      </c>
    </row>
    <row r="134" spans="1:25" s="28" customFormat="1" ht="73.5" customHeight="1" x14ac:dyDescent="0.2">
      <c r="A134" s="30">
        <v>129</v>
      </c>
      <c r="B134" s="31" t="s">
        <v>194</v>
      </c>
      <c r="C134" s="32" t="s">
        <v>53</v>
      </c>
      <c r="D134" s="33">
        <v>10</v>
      </c>
      <c r="E134" s="34">
        <v>1270.3699999999999</v>
      </c>
      <c r="F134" s="35">
        <v>1478.6</v>
      </c>
      <c r="G134" s="36" t="s">
        <v>90</v>
      </c>
      <c r="H134" s="37">
        <f>1725.55/1.2</f>
        <v>1437.9583333333333</v>
      </c>
      <c r="I134" s="38">
        <f t="shared" si="20"/>
        <v>14379.583333333332</v>
      </c>
      <c r="J134" s="36" t="s">
        <v>189</v>
      </c>
      <c r="K134" s="37">
        <f>1741.12/1.2</f>
        <v>1450.9333333333334</v>
      </c>
      <c r="L134" s="38">
        <f t="shared" si="11"/>
        <v>14509.333333333334</v>
      </c>
      <c r="M134" s="36" t="s">
        <v>149</v>
      </c>
      <c r="N134" s="37">
        <f>1865.66/1.2</f>
        <v>1554.7166666666667</v>
      </c>
      <c r="O134" s="38">
        <f t="shared" si="12"/>
        <v>15547.166666666668</v>
      </c>
      <c r="P134" s="39">
        <f t="shared" si="13"/>
        <v>1481.2027777777778</v>
      </c>
      <c r="Q134" s="40">
        <f t="shared" si="14"/>
        <v>-0.17572055742986947</v>
      </c>
      <c r="R134" s="39">
        <f t="shared" si="15"/>
        <v>14786</v>
      </c>
      <c r="S134" s="52"/>
      <c r="U134" s="42">
        <f t="shared" si="16"/>
        <v>-3</v>
      </c>
      <c r="V134" s="42">
        <f t="shared" si="17"/>
        <v>-2</v>
      </c>
      <c r="W134" s="42">
        <f t="shared" si="18"/>
        <v>5</v>
      </c>
      <c r="Y134" s="28">
        <v>126</v>
      </c>
    </row>
    <row r="135" spans="1:25" s="28" customFormat="1" ht="73.5" customHeight="1" x14ac:dyDescent="0.2">
      <c r="A135" s="30">
        <v>130</v>
      </c>
      <c r="B135" s="31" t="s">
        <v>195</v>
      </c>
      <c r="C135" s="32" t="s">
        <v>53</v>
      </c>
      <c r="D135" s="33">
        <v>15</v>
      </c>
      <c r="E135" s="34">
        <v>1323.15</v>
      </c>
      <c r="F135" s="35">
        <v>1369.87</v>
      </c>
      <c r="G135" s="36" t="s">
        <v>90</v>
      </c>
      <c r="H135" s="37">
        <f>1505.56/1.2</f>
        <v>1254.6333333333334</v>
      </c>
      <c r="I135" s="38">
        <f t="shared" si="20"/>
        <v>18819.5</v>
      </c>
      <c r="J135" s="36" t="s">
        <v>189</v>
      </c>
      <c r="K135" s="37">
        <f>1637.46/1.2</f>
        <v>1364.5500000000002</v>
      </c>
      <c r="L135" s="38">
        <f t="shared" si="11"/>
        <v>20468.250000000004</v>
      </c>
      <c r="M135" s="36" t="s">
        <v>149</v>
      </c>
      <c r="N135" s="37">
        <f>1805.2/1.2</f>
        <v>1504.3333333333335</v>
      </c>
      <c r="O135" s="38">
        <f t="shared" si="12"/>
        <v>22565.000000000004</v>
      </c>
      <c r="P135" s="39">
        <f t="shared" si="13"/>
        <v>1374.5055555555555</v>
      </c>
      <c r="Q135" s="40">
        <f t="shared" si="14"/>
        <v>-0.33725258779924161</v>
      </c>
      <c r="R135" s="39">
        <f t="shared" si="15"/>
        <v>20548.05</v>
      </c>
      <c r="S135" s="52"/>
      <c r="U135" s="42">
        <f t="shared" si="16"/>
        <v>-9</v>
      </c>
      <c r="V135" s="42">
        <f t="shared" si="17"/>
        <v>-1</v>
      </c>
      <c r="W135" s="42">
        <f t="shared" si="18"/>
        <v>9</v>
      </c>
      <c r="Y135" s="28">
        <v>127</v>
      </c>
    </row>
    <row r="136" spans="1:25" s="28" customFormat="1" ht="73.5" customHeight="1" x14ac:dyDescent="0.2">
      <c r="A136" s="30">
        <v>131</v>
      </c>
      <c r="B136" s="31" t="s">
        <v>196</v>
      </c>
      <c r="C136" s="32" t="s">
        <v>53</v>
      </c>
      <c r="D136" s="33" t="s">
        <v>191</v>
      </c>
      <c r="E136" s="34">
        <v>1349.17</v>
      </c>
      <c r="F136" s="35">
        <v>1878.3</v>
      </c>
      <c r="G136" s="36" t="s">
        <v>90</v>
      </c>
      <c r="H136" s="37">
        <f>2222.22/1.2</f>
        <v>1851.85</v>
      </c>
      <c r="I136" s="38">
        <f t="shared" si="20"/>
        <v>2037.0350000000001</v>
      </c>
      <c r="J136" s="36" t="s">
        <v>189</v>
      </c>
      <c r="K136" s="37">
        <f>2269.73/1.2</f>
        <v>1891.4416666666668</v>
      </c>
      <c r="L136" s="38">
        <f t="shared" si="11"/>
        <v>2080.5858333333335</v>
      </c>
      <c r="M136" s="36" t="s">
        <v>149</v>
      </c>
      <c r="N136" s="37">
        <f>2294.14/1.2</f>
        <v>1911.7833333333333</v>
      </c>
      <c r="O136" s="38">
        <f t="shared" si="12"/>
        <v>2102.9616666666666</v>
      </c>
      <c r="P136" s="39">
        <f t="shared" si="13"/>
        <v>1885.0250000000003</v>
      </c>
      <c r="Q136" s="40">
        <f t="shared" si="14"/>
        <v>-0.35675919417515445</v>
      </c>
      <c r="R136" s="39">
        <f t="shared" si="15"/>
        <v>2066.13</v>
      </c>
      <c r="S136" s="52"/>
      <c r="U136" s="42">
        <f t="shared" si="16"/>
        <v>-2</v>
      </c>
      <c r="V136" s="42">
        <f t="shared" si="17"/>
        <v>0</v>
      </c>
      <c r="W136" s="42">
        <f t="shared" si="18"/>
        <v>1</v>
      </c>
      <c r="Y136" s="28">
        <v>128</v>
      </c>
    </row>
    <row r="137" spans="1:25" s="28" customFormat="1" ht="73.5" customHeight="1" x14ac:dyDescent="0.2">
      <c r="A137" s="30">
        <v>132</v>
      </c>
      <c r="B137" s="31" t="s">
        <v>197</v>
      </c>
      <c r="C137" s="32" t="s">
        <v>45</v>
      </c>
      <c r="D137" s="33">
        <v>450</v>
      </c>
      <c r="E137" s="34" t="s">
        <v>26</v>
      </c>
      <c r="F137" s="35">
        <v>452.31</v>
      </c>
      <c r="G137" s="32" t="s">
        <v>198</v>
      </c>
      <c r="H137" s="37">
        <f>12465/1.2/25</f>
        <v>415.5</v>
      </c>
      <c r="I137" s="38">
        <f t="shared" si="20"/>
        <v>186975</v>
      </c>
      <c r="J137" s="36" t="s">
        <v>189</v>
      </c>
      <c r="K137" s="37">
        <f>526.16/1.2</f>
        <v>438.46666666666664</v>
      </c>
      <c r="L137" s="38">
        <f t="shared" si="11"/>
        <v>197310</v>
      </c>
      <c r="M137" s="38" t="s">
        <v>41</v>
      </c>
      <c r="N137" s="37">
        <v>509.48</v>
      </c>
      <c r="O137" s="38">
        <f t="shared" si="12"/>
        <v>229266</v>
      </c>
      <c r="P137" s="39">
        <f t="shared" si="13"/>
        <v>454.48222222222222</v>
      </c>
      <c r="Q137" s="40">
        <f t="shared" si="14"/>
        <v>-0.47795537779255426</v>
      </c>
      <c r="R137" s="39">
        <f t="shared" si="15"/>
        <v>203539.5</v>
      </c>
      <c r="S137" s="41"/>
      <c r="U137" s="42">
        <f t="shared" si="16"/>
        <v>-9</v>
      </c>
      <c r="V137" s="42">
        <f t="shared" si="17"/>
        <v>-4</v>
      </c>
      <c r="W137" s="42">
        <f t="shared" si="18"/>
        <v>12</v>
      </c>
      <c r="Y137" s="28">
        <v>129</v>
      </c>
    </row>
    <row r="138" spans="1:25" s="28" customFormat="1" ht="73.5" customHeight="1" x14ac:dyDescent="0.2">
      <c r="A138" s="30">
        <v>133</v>
      </c>
      <c r="B138" s="31" t="s">
        <v>199</v>
      </c>
      <c r="C138" s="32" t="s">
        <v>25</v>
      </c>
      <c r="D138" s="33">
        <v>2</v>
      </c>
      <c r="E138" s="34" t="s">
        <v>26</v>
      </c>
      <c r="F138" s="35">
        <v>789.34</v>
      </c>
      <c r="G138" s="32" t="s">
        <v>27</v>
      </c>
      <c r="H138" s="37">
        <f>898.07/1.2</f>
        <v>748.39166666666677</v>
      </c>
      <c r="I138" s="38">
        <f t="shared" si="20"/>
        <v>1496.7833333333335</v>
      </c>
      <c r="J138" s="38" t="s">
        <v>28</v>
      </c>
      <c r="K138" s="37">
        <f>987.35/1.2</f>
        <v>822.79166666666674</v>
      </c>
      <c r="L138" s="38">
        <f t="shared" si="11"/>
        <v>1645.5833333333335</v>
      </c>
      <c r="M138" s="32" t="s">
        <v>29</v>
      </c>
      <c r="N138" s="37">
        <v>801.16</v>
      </c>
      <c r="O138" s="38">
        <f t="shared" si="12"/>
        <v>1602.32</v>
      </c>
      <c r="P138" s="39">
        <f t="shared" si="13"/>
        <v>790.78111111111104</v>
      </c>
      <c r="Q138" s="40">
        <f t="shared" si="14"/>
        <v>-0.18223893955764936</v>
      </c>
      <c r="R138" s="39">
        <f t="shared" si="15"/>
        <v>1578.68</v>
      </c>
      <c r="S138" s="41"/>
      <c r="U138" s="42">
        <f t="shared" si="16"/>
        <v>-5</v>
      </c>
      <c r="V138" s="42">
        <f t="shared" si="17"/>
        <v>4</v>
      </c>
      <c r="W138" s="42">
        <f t="shared" si="18"/>
        <v>1</v>
      </c>
      <c r="Y138" s="28">
        <v>130</v>
      </c>
    </row>
    <row r="139" spans="1:25" s="28" customFormat="1" ht="73.5" customHeight="1" x14ac:dyDescent="0.2">
      <c r="A139" s="30">
        <v>134</v>
      </c>
      <c r="B139" s="31" t="s">
        <v>200</v>
      </c>
      <c r="C139" s="32" t="s">
        <v>25</v>
      </c>
      <c r="D139" s="33">
        <v>36</v>
      </c>
      <c r="E139" s="34" t="s">
        <v>26</v>
      </c>
      <c r="F139" s="35">
        <v>329.75</v>
      </c>
      <c r="G139" s="32" t="s">
        <v>27</v>
      </c>
      <c r="H139" s="37">
        <f>356.62/1.2</f>
        <v>297.18333333333334</v>
      </c>
      <c r="I139" s="38">
        <f t="shared" si="20"/>
        <v>10698.6</v>
      </c>
      <c r="J139" s="38" t="s">
        <v>28</v>
      </c>
      <c r="K139" s="37">
        <f>442.12/1.2</f>
        <v>368.43333333333334</v>
      </c>
      <c r="L139" s="38">
        <f t="shared" si="11"/>
        <v>13263.6</v>
      </c>
      <c r="M139" s="32" t="s">
        <v>29</v>
      </c>
      <c r="N139" s="37">
        <v>335.45</v>
      </c>
      <c r="O139" s="38">
        <f t="shared" si="12"/>
        <v>12076.199999999999</v>
      </c>
      <c r="P139" s="39">
        <f t="shared" si="13"/>
        <v>333.68888888888887</v>
      </c>
      <c r="Q139" s="40">
        <f t="shared" si="14"/>
        <v>-1.1804075652637067</v>
      </c>
      <c r="R139" s="39">
        <f t="shared" si="15"/>
        <v>11871</v>
      </c>
      <c r="S139" s="41"/>
      <c r="U139" s="42">
        <f t="shared" si="16"/>
        <v>-11</v>
      </c>
      <c r="V139" s="42">
        <f t="shared" si="17"/>
        <v>10</v>
      </c>
      <c r="W139" s="42">
        <f t="shared" si="18"/>
        <v>1</v>
      </c>
      <c r="Y139" s="28">
        <v>131</v>
      </c>
    </row>
    <row r="140" spans="1:25" s="28" customFormat="1" ht="99.75" customHeight="1" x14ac:dyDescent="0.2">
      <c r="A140" s="30">
        <v>135</v>
      </c>
      <c r="B140" s="31" t="s">
        <v>201</v>
      </c>
      <c r="C140" s="32" t="s">
        <v>45</v>
      </c>
      <c r="D140" s="33">
        <v>140</v>
      </c>
      <c r="E140" s="34">
        <v>387.5</v>
      </c>
      <c r="F140" s="35">
        <v>429.98</v>
      </c>
      <c r="G140" s="32" t="s">
        <v>202</v>
      </c>
      <c r="H140" s="37">
        <f>10220/25</f>
        <v>408.8</v>
      </c>
      <c r="I140" s="38">
        <f t="shared" si="20"/>
        <v>57232</v>
      </c>
      <c r="J140" s="32" t="s">
        <v>46</v>
      </c>
      <c r="K140" s="37">
        <v>456.73</v>
      </c>
      <c r="L140" s="38">
        <f t="shared" ref="L140:L203" si="21">D140*K140</f>
        <v>63942.200000000004</v>
      </c>
      <c r="M140" s="32" t="s">
        <v>57</v>
      </c>
      <c r="N140" s="37">
        <v>428.41</v>
      </c>
      <c r="O140" s="38">
        <f t="shared" ref="O140:O203" si="22">D140*N140</f>
        <v>59977.4</v>
      </c>
      <c r="P140" s="39">
        <f t="shared" ref="P140:P203" si="23">AVERAGE(H140,K140,N140)</f>
        <v>431.31333333333333</v>
      </c>
      <c r="Q140" s="40">
        <f t="shared" ref="Q140:Q203" si="24">F140*100/P140-100</f>
        <v>-0.30913334466822562</v>
      </c>
      <c r="R140" s="39">
        <f t="shared" ref="R140:R203" si="25">D140*F140</f>
        <v>60197.200000000004</v>
      </c>
      <c r="S140" s="41"/>
      <c r="U140" s="42">
        <f t="shared" ref="U140:U203" si="26">ROUND(H140*100/P140-100,0)</f>
        <v>-5</v>
      </c>
      <c r="V140" s="42">
        <f t="shared" ref="V140:V203" si="27">ROUND(K140*100/P140-100,0)</f>
        <v>6</v>
      </c>
      <c r="W140" s="42">
        <f t="shared" ref="W140:W203" si="28">ROUND(N140*100/P140-100,0)</f>
        <v>-1</v>
      </c>
      <c r="Y140" s="28">
        <v>132</v>
      </c>
    </row>
    <row r="141" spans="1:25" s="28" customFormat="1" ht="95.25" customHeight="1" x14ac:dyDescent="0.2">
      <c r="A141" s="30">
        <v>136</v>
      </c>
      <c r="B141" s="31" t="s">
        <v>203</v>
      </c>
      <c r="C141" s="32" t="s">
        <v>45</v>
      </c>
      <c r="D141" s="33">
        <v>12</v>
      </c>
      <c r="E141" s="34">
        <v>808.33</v>
      </c>
      <c r="F141" s="35">
        <v>905.66</v>
      </c>
      <c r="G141" s="32" t="s">
        <v>202</v>
      </c>
      <c r="H141" s="37">
        <f>21931.67/25</f>
        <v>877.26679999999988</v>
      </c>
      <c r="I141" s="38">
        <f t="shared" si="20"/>
        <v>10527.201599999999</v>
      </c>
      <c r="J141" s="32" t="s">
        <v>46</v>
      </c>
      <c r="K141" s="37">
        <v>954.02</v>
      </c>
      <c r="L141" s="38">
        <f t="shared" si="21"/>
        <v>11448.24</v>
      </c>
      <c r="M141" s="32" t="s">
        <v>57</v>
      </c>
      <c r="N141" s="37">
        <v>893.4</v>
      </c>
      <c r="O141" s="38">
        <f t="shared" si="22"/>
        <v>10720.8</v>
      </c>
      <c r="P141" s="39">
        <f t="shared" si="23"/>
        <v>908.22893333333332</v>
      </c>
      <c r="Q141" s="40">
        <f t="shared" si="24"/>
        <v>-0.28285085830782464</v>
      </c>
      <c r="R141" s="39">
        <f t="shared" si="25"/>
        <v>10867.92</v>
      </c>
      <c r="S141" s="41"/>
      <c r="U141" s="42">
        <f t="shared" si="26"/>
        <v>-3</v>
      </c>
      <c r="V141" s="42">
        <f t="shared" si="27"/>
        <v>5</v>
      </c>
      <c r="W141" s="42">
        <f t="shared" si="28"/>
        <v>-2</v>
      </c>
      <c r="Y141" s="28">
        <v>133</v>
      </c>
    </row>
    <row r="142" spans="1:25" s="28" customFormat="1" ht="73.5" customHeight="1" x14ac:dyDescent="0.2">
      <c r="A142" s="30">
        <v>137</v>
      </c>
      <c r="B142" s="31" t="s">
        <v>204</v>
      </c>
      <c r="C142" s="32" t="s">
        <v>25</v>
      </c>
      <c r="D142" s="33">
        <v>12</v>
      </c>
      <c r="E142" s="34" t="s">
        <v>26</v>
      </c>
      <c r="F142" s="35">
        <v>653.71</v>
      </c>
      <c r="G142" s="32" t="s">
        <v>27</v>
      </c>
      <c r="H142" s="37">
        <f>723.24/1.2</f>
        <v>602.70000000000005</v>
      </c>
      <c r="I142" s="38">
        <f t="shared" si="20"/>
        <v>7232.4000000000005</v>
      </c>
      <c r="J142" s="38" t="s">
        <v>28</v>
      </c>
      <c r="K142" s="37">
        <f>857.27/1.2</f>
        <v>714.39166666666665</v>
      </c>
      <c r="L142" s="38">
        <f t="shared" si="21"/>
        <v>8572.7000000000007</v>
      </c>
      <c r="M142" s="32" t="s">
        <v>29</v>
      </c>
      <c r="N142" s="37">
        <v>652.02</v>
      </c>
      <c r="O142" s="38">
        <f t="shared" si="22"/>
        <v>7824.24</v>
      </c>
      <c r="P142" s="39">
        <f t="shared" si="23"/>
        <v>656.3705555555556</v>
      </c>
      <c r="Q142" s="40">
        <f t="shared" si="24"/>
        <v>-0.4053435263109435</v>
      </c>
      <c r="R142" s="39">
        <f t="shared" si="25"/>
        <v>7844.52</v>
      </c>
      <c r="S142" s="41"/>
      <c r="U142" s="42">
        <f t="shared" si="26"/>
        <v>-8</v>
      </c>
      <c r="V142" s="42">
        <f t="shared" si="27"/>
        <v>9</v>
      </c>
      <c r="W142" s="42">
        <f t="shared" si="28"/>
        <v>-1</v>
      </c>
      <c r="Y142" s="28">
        <v>134</v>
      </c>
    </row>
    <row r="143" spans="1:25" s="28" customFormat="1" ht="73.5" customHeight="1" x14ac:dyDescent="0.2">
      <c r="A143" s="30">
        <v>138</v>
      </c>
      <c r="B143" s="31" t="s">
        <v>205</v>
      </c>
      <c r="C143" s="32" t="s">
        <v>25</v>
      </c>
      <c r="D143" s="33">
        <v>35</v>
      </c>
      <c r="E143" s="34" t="s">
        <v>26</v>
      </c>
      <c r="F143" s="35">
        <v>113.54</v>
      </c>
      <c r="G143" s="32" t="s">
        <v>27</v>
      </c>
      <c r="H143" s="37">
        <f>118.77/1.2</f>
        <v>98.974999999999994</v>
      </c>
      <c r="I143" s="38">
        <f t="shared" si="20"/>
        <v>3464.125</v>
      </c>
      <c r="J143" s="38" t="s">
        <v>28</v>
      </c>
      <c r="K143" s="37">
        <f>135.22/1.2</f>
        <v>112.68333333333334</v>
      </c>
      <c r="L143" s="38">
        <f t="shared" si="21"/>
        <v>3943.916666666667</v>
      </c>
      <c r="M143" s="32" t="s">
        <v>29</v>
      </c>
      <c r="N143" s="37">
        <v>135.37</v>
      </c>
      <c r="O143" s="38">
        <f t="shared" si="22"/>
        <v>4737.95</v>
      </c>
      <c r="P143" s="39">
        <f t="shared" si="23"/>
        <v>115.6761111111111</v>
      </c>
      <c r="Q143" s="40">
        <f t="shared" si="24"/>
        <v>-1.846631158839088</v>
      </c>
      <c r="R143" s="39">
        <f t="shared" si="25"/>
        <v>3973.9</v>
      </c>
      <c r="S143" s="41"/>
      <c r="U143" s="42">
        <f t="shared" si="26"/>
        <v>-14</v>
      </c>
      <c r="V143" s="42">
        <f t="shared" si="27"/>
        <v>-3</v>
      </c>
      <c r="W143" s="42">
        <f t="shared" si="28"/>
        <v>17</v>
      </c>
      <c r="Y143" s="28">
        <v>135</v>
      </c>
    </row>
    <row r="144" spans="1:25" s="28" customFormat="1" ht="73.5" customHeight="1" x14ac:dyDescent="0.2">
      <c r="A144" s="30">
        <v>139</v>
      </c>
      <c r="B144" s="31" t="s">
        <v>206</v>
      </c>
      <c r="C144" s="32" t="s">
        <v>25</v>
      </c>
      <c r="D144" s="33">
        <v>20</v>
      </c>
      <c r="E144" s="34">
        <v>221.17</v>
      </c>
      <c r="F144" s="35">
        <v>242.64</v>
      </c>
      <c r="G144" s="32" t="s">
        <v>27</v>
      </c>
      <c r="H144" s="37">
        <f>283.32/1.2</f>
        <v>236.1</v>
      </c>
      <c r="I144" s="38">
        <f t="shared" si="20"/>
        <v>4722</v>
      </c>
      <c r="J144" s="38" t="s">
        <v>28</v>
      </c>
      <c r="K144" s="37">
        <f>320.12/1.2</f>
        <v>266.76666666666671</v>
      </c>
      <c r="L144" s="38">
        <f t="shared" si="21"/>
        <v>5335.3333333333339</v>
      </c>
      <c r="M144" s="32" t="s">
        <v>29</v>
      </c>
      <c r="N144" s="37">
        <v>231.89</v>
      </c>
      <c r="O144" s="38">
        <f t="shared" si="22"/>
        <v>4637.7999999999993</v>
      </c>
      <c r="P144" s="39">
        <f t="shared" si="23"/>
        <v>244.91888888888889</v>
      </c>
      <c r="Q144" s="40">
        <f t="shared" si="24"/>
        <v>-0.93046677584868576</v>
      </c>
      <c r="R144" s="39">
        <f t="shared" si="25"/>
        <v>4852.7999999999993</v>
      </c>
      <c r="S144" s="41"/>
      <c r="U144" s="42">
        <f t="shared" si="26"/>
        <v>-4</v>
      </c>
      <c r="V144" s="42">
        <f t="shared" si="27"/>
        <v>9</v>
      </c>
      <c r="W144" s="42">
        <f t="shared" si="28"/>
        <v>-5</v>
      </c>
      <c r="Y144" s="28">
        <v>136</v>
      </c>
    </row>
    <row r="145" spans="1:25" s="28" customFormat="1" ht="73.5" customHeight="1" x14ac:dyDescent="0.2">
      <c r="A145" s="30">
        <v>140</v>
      </c>
      <c r="B145" s="31" t="s">
        <v>207</v>
      </c>
      <c r="C145" s="32" t="s">
        <v>25</v>
      </c>
      <c r="D145" s="33">
        <v>356</v>
      </c>
      <c r="E145" s="34">
        <v>148.41</v>
      </c>
      <c r="F145" s="35">
        <v>228.33</v>
      </c>
      <c r="G145" s="32" t="s">
        <v>27</v>
      </c>
      <c r="H145" s="37">
        <f>219.61/1.2</f>
        <v>183.00833333333335</v>
      </c>
      <c r="I145" s="38">
        <f t="shared" si="20"/>
        <v>65150.966666666674</v>
      </c>
      <c r="J145" s="38" t="s">
        <v>28</v>
      </c>
      <c r="K145" s="37">
        <f>287.78/1.2</f>
        <v>239.81666666666666</v>
      </c>
      <c r="L145" s="38">
        <f t="shared" si="21"/>
        <v>85374.733333333337</v>
      </c>
      <c r="M145" s="32" t="s">
        <v>29</v>
      </c>
      <c r="N145" s="37">
        <v>266.51</v>
      </c>
      <c r="O145" s="38">
        <f t="shared" si="22"/>
        <v>94877.56</v>
      </c>
      <c r="P145" s="39">
        <f t="shared" si="23"/>
        <v>229.77833333333334</v>
      </c>
      <c r="Q145" s="40">
        <f t="shared" si="24"/>
        <v>-0.63031762495738519</v>
      </c>
      <c r="R145" s="39">
        <f t="shared" si="25"/>
        <v>81285.48000000001</v>
      </c>
      <c r="S145" s="41"/>
      <c r="U145" s="42">
        <f t="shared" si="26"/>
        <v>-20</v>
      </c>
      <c r="V145" s="42">
        <f t="shared" si="27"/>
        <v>4</v>
      </c>
      <c r="W145" s="42">
        <f t="shared" si="28"/>
        <v>16</v>
      </c>
      <c r="Y145" s="28">
        <v>137</v>
      </c>
    </row>
    <row r="146" spans="1:25" s="28" customFormat="1" ht="73.5" customHeight="1" x14ac:dyDescent="0.2">
      <c r="A146" s="30">
        <v>141</v>
      </c>
      <c r="B146" s="31" t="s">
        <v>208</v>
      </c>
      <c r="C146" s="32" t="s">
        <v>25</v>
      </c>
      <c r="D146" s="33" t="s">
        <v>209</v>
      </c>
      <c r="E146" s="34">
        <v>201.62</v>
      </c>
      <c r="F146" s="35">
        <v>233.64</v>
      </c>
      <c r="G146" s="32" t="s">
        <v>27</v>
      </c>
      <c r="H146" s="37">
        <f>276.58/1.2</f>
        <v>230.48333333333332</v>
      </c>
      <c r="I146" s="38">
        <f t="shared" si="20"/>
        <v>61769.533333333333</v>
      </c>
      <c r="J146" s="38" t="s">
        <v>28</v>
      </c>
      <c r="K146" s="37">
        <f>267.66/1.2</f>
        <v>223.05000000000004</v>
      </c>
      <c r="L146" s="38">
        <f t="shared" si="21"/>
        <v>59777.400000000009</v>
      </c>
      <c r="M146" s="32" t="s">
        <v>29</v>
      </c>
      <c r="N146" s="37">
        <v>248.97</v>
      </c>
      <c r="O146" s="38">
        <f t="shared" si="22"/>
        <v>66723.960000000006</v>
      </c>
      <c r="P146" s="39">
        <f t="shared" si="23"/>
        <v>234.16777777777779</v>
      </c>
      <c r="Q146" s="40">
        <f t="shared" si="24"/>
        <v>-0.22538445843673571</v>
      </c>
      <c r="R146" s="39">
        <f t="shared" si="25"/>
        <v>62615.519999999997</v>
      </c>
      <c r="S146" s="41"/>
      <c r="U146" s="42">
        <f t="shared" si="26"/>
        <v>-2</v>
      </c>
      <c r="V146" s="42">
        <f t="shared" si="27"/>
        <v>-5</v>
      </c>
      <c r="W146" s="42">
        <f t="shared" si="28"/>
        <v>6</v>
      </c>
      <c r="Y146" s="28">
        <v>138</v>
      </c>
    </row>
    <row r="147" spans="1:25" s="28" customFormat="1" ht="73.5" customHeight="1" x14ac:dyDescent="0.2">
      <c r="A147" s="30">
        <v>142</v>
      </c>
      <c r="B147" s="31" t="s">
        <v>210</v>
      </c>
      <c r="C147" s="32" t="s">
        <v>25</v>
      </c>
      <c r="D147" s="33">
        <v>200</v>
      </c>
      <c r="E147" s="34">
        <v>250.93</v>
      </c>
      <c r="F147" s="35">
        <v>325.77999999999997</v>
      </c>
      <c r="G147" s="32" t="s">
        <v>27</v>
      </c>
      <c r="H147" s="37">
        <f>364.29/1.2</f>
        <v>303.57500000000005</v>
      </c>
      <c r="I147" s="38">
        <f t="shared" si="20"/>
        <v>60715.000000000007</v>
      </c>
      <c r="J147" s="38" t="s">
        <v>28</v>
      </c>
      <c r="K147" s="37">
        <f>361.37/1.2</f>
        <v>301.14166666666671</v>
      </c>
      <c r="L147" s="38">
        <f t="shared" si="21"/>
        <v>60228.333333333343</v>
      </c>
      <c r="M147" s="32" t="s">
        <v>29</v>
      </c>
      <c r="N147" s="37">
        <v>374.02</v>
      </c>
      <c r="O147" s="38">
        <f t="shared" si="22"/>
        <v>74804</v>
      </c>
      <c r="P147" s="39">
        <f t="shared" si="23"/>
        <v>326.24555555555554</v>
      </c>
      <c r="Q147" s="40">
        <f t="shared" si="24"/>
        <v>-0.14270096484925432</v>
      </c>
      <c r="R147" s="39">
        <f t="shared" si="25"/>
        <v>65155.999999999993</v>
      </c>
      <c r="S147" s="41"/>
      <c r="U147" s="42">
        <f t="shared" si="26"/>
        <v>-7</v>
      </c>
      <c r="V147" s="42">
        <f t="shared" si="27"/>
        <v>-8</v>
      </c>
      <c r="W147" s="42">
        <f t="shared" si="28"/>
        <v>15</v>
      </c>
      <c r="Y147" s="28">
        <v>139</v>
      </c>
    </row>
    <row r="148" spans="1:25" s="28" customFormat="1" ht="73.5" customHeight="1" x14ac:dyDescent="0.2">
      <c r="A148" s="30">
        <v>143</v>
      </c>
      <c r="B148" s="31" t="s">
        <v>211</v>
      </c>
      <c r="C148" s="32" t="s">
        <v>25</v>
      </c>
      <c r="D148" s="33">
        <v>40</v>
      </c>
      <c r="E148" s="34">
        <v>814.79</v>
      </c>
      <c r="F148" s="35">
        <v>1233.75</v>
      </c>
      <c r="G148" s="32" t="s">
        <v>27</v>
      </c>
      <c r="H148" s="37">
        <f>1201.84/1.2</f>
        <v>1001.5333333333333</v>
      </c>
      <c r="I148" s="38">
        <f t="shared" si="20"/>
        <v>40061.333333333328</v>
      </c>
      <c r="J148" s="38" t="s">
        <v>28</v>
      </c>
      <c r="K148" s="37">
        <f>1674.32/1.2</f>
        <v>1395.2666666666667</v>
      </c>
      <c r="L148" s="38">
        <f t="shared" si="21"/>
        <v>55810.666666666664</v>
      </c>
      <c r="M148" s="32" t="s">
        <v>29</v>
      </c>
      <c r="N148" s="37">
        <v>1306.33</v>
      </c>
      <c r="O148" s="38">
        <f t="shared" si="22"/>
        <v>52253.2</v>
      </c>
      <c r="P148" s="39">
        <f t="shared" si="23"/>
        <v>1234.3766666666668</v>
      </c>
      <c r="Q148" s="40">
        <f t="shared" si="24"/>
        <v>-5.0767863942127178E-2</v>
      </c>
      <c r="R148" s="39">
        <f t="shared" si="25"/>
        <v>49350</v>
      </c>
      <c r="S148" s="41"/>
      <c r="U148" s="42">
        <f t="shared" si="26"/>
        <v>-19</v>
      </c>
      <c r="V148" s="42">
        <f t="shared" si="27"/>
        <v>13</v>
      </c>
      <c r="W148" s="42">
        <f t="shared" si="28"/>
        <v>6</v>
      </c>
      <c r="Y148" s="28">
        <v>140</v>
      </c>
    </row>
    <row r="149" spans="1:25" s="28" customFormat="1" ht="73.5" customHeight="1" x14ac:dyDescent="0.2">
      <c r="A149" s="30">
        <v>144</v>
      </c>
      <c r="B149" s="31" t="s">
        <v>212</v>
      </c>
      <c r="C149" s="32" t="s">
        <v>25</v>
      </c>
      <c r="D149" s="33">
        <v>30</v>
      </c>
      <c r="E149" s="34">
        <v>883.22</v>
      </c>
      <c r="F149" s="35">
        <v>1098.76</v>
      </c>
      <c r="G149" s="32" t="s">
        <v>27</v>
      </c>
      <c r="H149" s="37">
        <f>1199.31/1.2</f>
        <v>999.42499999999995</v>
      </c>
      <c r="I149" s="38">
        <f t="shared" si="20"/>
        <v>29982.75</v>
      </c>
      <c r="J149" s="38" t="s">
        <v>28</v>
      </c>
      <c r="K149" s="37">
        <f>1269.16/1.2</f>
        <v>1057.6333333333334</v>
      </c>
      <c r="L149" s="38">
        <f t="shared" si="21"/>
        <v>31729.000000000004</v>
      </c>
      <c r="M149" s="32" t="s">
        <v>29</v>
      </c>
      <c r="N149" s="37">
        <v>1244.25</v>
      </c>
      <c r="O149" s="38">
        <f t="shared" si="22"/>
        <v>37327.5</v>
      </c>
      <c r="P149" s="39">
        <f t="shared" si="23"/>
        <v>1100.4361111111111</v>
      </c>
      <c r="Q149" s="40">
        <f t="shared" si="24"/>
        <v>-0.15231335051507244</v>
      </c>
      <c r="R149" s="39">
        <f t="shared" si="25"/>
        <v>32962.800000000003</v>
      </c>
      <c r="S149" s="41"/>
      <c r="U149" s="42">
        <f t="shared" si="26"/>
        <v>-9</v>
      </c>
      <c r="V149" s="42">
        <f t="shared" si="27"/>
        <v>-4</v>
      </c>
      <c r="W149" s="42">
        <f t="shared" si="28"/>
        <v>13</v>
      </c>
      <c r="Y149" s="28">
        <v>141</v>
      </c>
    </row>
    <row r="150" spans="1:25" s="28" customFormat="1" ht="73.5" customHeight="1" x14ac:dyDescent="0.2">
      <c r="A150" s="30">
        <v>145</v>
      </c>
      <c r="B150" s="31" t="s">
        <v>213</v>
      </c>
      <c r="C150" s="32" t="s">
        <v>25</v>
      </c>
      <c r="D150" s="33">
        <v>118</v>
      </c>
      <c r="E150" s="34">
        <v>924.46</v>
      </c>
      <c r="F150" s="35">
        <v>951.47</v>
      </c>
      <c r="G150" s="32" t="s">
        <v>27</v>
      </c>
      <c r="H150" s="37">
        <f>1115.69/1.2</f>
        <v>929.74166666666679</v>
      </c>
      <c r="I150" s="38">
        <f t="shared" si="20"/>
        <v>109709.51666666668</v>
      </c>
      <c r="J150" s="38" t="s">
        <v>28</v>
      </c>
      <c r="K150" s="37">
        <f>1208.38/1.2</f>
        <v>1006.9833333333335</v>
      </c>
      <c r="L150" s="38">
        <f t="shared" si="21"/>
        <v>118824.03333333335</v>
      </c>
      <c r="M150" s="32" t="s">
        <v>29</v>
      </c>
      <c r="N150" s="37">
        <v>921.17</v>
      </c>
      <c r="O150" s="38">
        <f t="shared" si="22"/>
        <v>108698.06</v>
      </c>
      <c r="P150" s="39">
        <f t="shared" si="23"/>
        <v>952.63166666666677</v>
      </c>
      <c r="Q150" s="40">
        <f t="shared" si="24"/>
        <v>-0.12194289853196949</v>
      </c>
      <c r="R150" s="39">
        <f t="shared" si="25"/>
        <v>112273.46</v>
      </c>
      <c r="S150" s="41"/>
      <c r="U150" s="42">
        <f t="shared" si="26"/>
        <v>-2</v>
      </c>
      <c r="V150" s="42">
        <f t="shared" si="27"/>
        <v>6</v>
      </c>
      <c r="W150" s="42">
        <f t="shared" si="28"/>
        <v>-3</v>
      </c>
      <c r="Y150" s="28">
        <v>142</v>
      </c>
    </row>
    <row r="151" spans="1:25" s="28" customFormat="1" ht="73.5" customHeight="1" x14ac:dyDescent="0.2">
      <c r="A151" s="30">
        <v>146</v>
      </c>
      <c r="B151" s="31" t="s">
        <v>214</v>
      </c>
      <c r="C151" s="32" t="s">
        <v>25</v>
      </c>
      <c r="D151" s="33">
        <v>425</v>
      </c>
      <c r="E151" s="34">
        <v>1151.7</v>
      </c>
      <c r="F151" s="35">
        <v>1254.32</v>
      </c>
      <c r="G151" s="32" t="s">
        <v>27</v>
      </c>
      <c r="H151" s="37">
        <f>1382.75/1.2</f>
        <v>1152.2916666666667</v>
      </c>
      <c r="I151" s="38">
        <f t="shared" si="20"/>
        <v>489723.95833333337</v>
      </c>
      <c r="J151" s="38" t="s">
        <v>28</v>
      </c>
      <c r="K151" s="37">
        <f>1595.17/1.2</f>
        <v>1329.3083333333334</v>
      </c>
      <c r="L151" s="38">
        <f t="shared" si="21"/>
        <v>564956.04166666674</v>
      </c>
      <c r="M151" s="32" t="s">
        <v>29</v>
      </c>
      <c r="N151" s="37">
        <v>1288.6300000000001</v>
      </c>
      <c r="O151" s="38">
        <f t="shared" si="22"/>
        <v>547667.75</v>
      </c>
      <c r="P151" s="39">
        <f t="shared" si="23"/>
        <v>1256.7433333333336</v>
      </c>
      <c r="Q151" s="40">
        <f t="shared" si="24"/>
        <v>-0.19282643233968599</v>
      </c>
      <c r="R151" s="39">
        <f t="shared" si="25"/>
        <v>533086</v>
      </c>
      <c r="S151" s="41"/>
      <c r="U151" s="42">
        <f t="shared" si="26"/>
        <v>-8</v>
      </c>
      <c r="V151" s="42">
        <f t="shared" si="27"/>
        <v>6</v>
      </c>
      <c r="W151" s="42">
        <f t="shared" si="28"/>
        <v>3</v>
      </c>
      <c r="Y151" s="28">
        <v>143</v>
      </c>
    </row>
    <row r="152" spans="1:25" s="28" customFormat="1" ht="73.5" customHeight="1" x14ac:dyDescent="0.2">
      <c r="A152" s="30">
        <v>147</v>
      </c>
      <c r="B152" s="31" t="s">
        <v>215</v>
      </c>
      <c r="C152" s="32" t="s">
        <v>25</v>
      </c>
      <c r="D152" s="33">
        <v>20</v>
      </c>
      <c r="E152" s="34">
        <v>1503.52</v>
      </c>
      <c r="F152" s="35">
        <v>1529.66</v>
      </c>
      <c r="G152" s="32" t="s">
        <v>27</v>
      </c>
      <c r="H152" s="37">
        <f>1801.3/1.2</f>
        <v>1501.0833333333333</v>
      </c>
      <c r="I152" s="38">
        <f t="shared" si="20"/>
        <v>30021.666666666664</v>
      </c>
      <c r="J152" s="38" t="s">
        <v>28</v>
      </c>
      <c r="K152" s="37">
        <f>1933.26/1.2</f>
        <v>1611.05</v>
      </c>
      <c r="L152" s="38">
        <f t="shared" si="21"/>
        <v>32221</v>
      </c>
      <c r="M152" s="32" t="s">
        <v>29</v>
      </c>
      <c r="N152" s="37">
        <v>1482.09</v>
      </c>
      <c r="O152" s="38">
        <f t="shared" si="22"/>
        <v>29641.8</v>
      </c>
      <c r="P152" s="39">
        <f t="shared" si="23"/>
        <v>1531.4077777777777</v>
      </c>
      <c r="Q152" s="40">
        <f t="shared" si="24"/>
        <v>-0.11412882990015305</v>
      </c>
      <c r="R152" s="39">
        <f t="shared" si="25"/>
        <v>30593.200000000001</v>
      </c>
      <c r="S152" s="41"/>
      <c r="U152" s="42">
        <f t="shared" si="26"/>
        <v>-2</v>
      </c>
      <c r="V152" s="42">
        <f t="shared" si="27"/>
        <v>5</v>
      </c>
      <c r="W152" s="42">
        <f t="shared" si="28"/>
        <v>-3</v>
      </c>
      <c r="Y152" s="28">
        <v>144</v>
      </c>
    </row>
    <row r="153" spans="1:25" s="28" customFormat="1" ht="73.5" customHeight="1" x14ac:dyDescent="0.2">
      <c r="A153" s="30">
        <v>148</v>
      </c>
      <c r="B153" s="31" t="s">
        <v>216</v>
      </c>
      <c r="C153" s="32" t="s">
        <v>25</v>
      </c>
      <c r="D153" s="33">
        <v>250</v>
      </c>
      <c r="E153" s="34">
        <v>422.19</v>
      </c>
      <c r="F153" s="35">
        <v>469.64</v>
      </c>
      <c r="G153" s="32" t="s">
        <v>27</v>
      </c>
      <c r="H153" s="37">
        <f>508.15/1.2</f>
        <v>423.45833333333331</v>
      </c>
      <c r="I153" s="38">
        <f t="shared" si="20"/>
        <v>105864.58333333333</v>
      </c>
      <c r="J153" s="38" t="s">
        <v>28</v>
      </c>
      <c r="K153" s="37">
        <f>585.8/1.2</f>
        <v>488.16666666666663</v>
      </c>
      <c r="L153" s="38">
        <f t="shared" si="21"/>
        <v>122041.66666666666</v>
      </c>
      <c r="M153" s="32" t="s">
        <v>29</v>
      </c>
      <c r="N153" s="37">
        <v>501.33</v>
      </c>
      <c r="O153" s="38">
        <f t="shared" si="22"/>
        <v>125332.5</v>
      </c>
      <c r="P153" s="39">
        <f t="shared" si="23"/>
        <v>470.98499999999996</v>
      </c>
      <c r="Q153" s="40">
        <f t="shared" si="24"/>
        <v>-0.28557172733738412</v>
      </c>
      <c r="R153" s="39">
        <f t="shared" si="25"/>
        <v>117410</v>
      </c>
      <c r="S153" s="41"/>
      <c r="U153" s="42">
        <f t="shared" si="26"/>
        <v>-10</v>
      </c>
      <c r="V153" s="42">
        <f t="shared" si="27"/>
        <v>4</v>
      </c>
      <c r="W153" s="42">
        <f t="shared" si="28"/>
        <v>6</v>
      </c>
      <c r="Y153" s="28">
        <v>145</v>
      </c>
    </row>
    <row r="154" spans="1:25" s="28" customFormat="1" ht="73.5" customHeight="1" x14ac:dyDescent="0.2">
      <c r="A154" s="30">
        <v>149</v>
      </c>
      <c r="B154" s="31" t="s">
        <v>217</v>
      </c>
      <c r="C154" s="32" t="s">
        <v>25</v>
      </c>
      <c r="D154" s="33">
        <v>15</v>
      </c>
      <c r="E154" s="34">
        <v>1835.44</v>
      </c>
      <c r="F154" s="35">
        <v>1847.48</v>
      </c>
      <c r="G154" s="32" t="s">
        <v>27</v>
      </c>
      <c r="H154" s="37">
        <f>2200.3/1.2</f>
        <v>1833.5833333333335</v>
      </c>
      <c r="I154" s="38">
        <f t="shared" si="20"/>
        <v>27503.750000000004</v>
      </c>
      <c r="J154" s="38" t="s">
        <v>28</v>
      </c>
      <c r="K154" s="37">
        <f>2162.38/1.2</f>
        <v>1801.9833333333336</v>
      </c>
      <c r="L154" s="38">
        <f t="shared" si="21"/>
        <v>27029.750000000004</v>
      </c>
      <c r="M154" s="32" t="s">
        <v>29</v>
      </c>
      <c r="N154" s="37">
        <v>1912.41</v>
      </c>
      <c r="O154" s="38">
        <f t="shared" si="22"/>
        <v>28686.15</v>
      </c>
      <c r="P154" s="39">
        <f t="shared" si="23"/>
        <v>1849.3255555555559</v>
      </c>
      <c r="Q154" s="40">
        <f t="shared" si="24"/>
        <v>-9.9796141896788981E-2</v>
      </c>
      <c r="R154" s="39">
        <f t="shared" si="25"/>
        <v>27712.2</v>
      </c>
      <c r="S154" s="41"/>
      <c r="U154" s="42">
        <f t="shared" si="26"/>
        <v>-1</v>
      </c>
      <c r="V154" s="42">
        <f t="shared" si="27"/>
        <v>-3</v>
      </c>
      <c r="W154" s="42">
        <f t="shared" si="28"/>
        <v>3</v>
      </c>
      <c r="Y154" s="28">
        <v>146</v>
      </c>
    </row>
    <row r="155" spans="1:25" s="28" customFormat="1" ht="73.5" customHeight="1" x14ac:dyDescent="0.2">
      <c r="A155" s="30">
        <v>150</v>
      </c>
      <c r="B155" s="31" t="s">
        <v>218</v>
      </c>
      <c r="C155" s="32" t="s">
        <v>25</v>
      </c>
      <c r="D155" s="33">
        <v>14</v>
      </c>
      <c r="E155" s="34">
        <v>118.92</v>
      </c>
      <c r="F155" s="35">
        <v>130.55000000000001</v>
      </c>
      <c r="G155" s="32" t="s">
        <v>27</v>
      </c>
      <c r="H155" s="37">
        <f>149.23/1.2</f>
        <v>124.35833333333333</v>
      </c>
      <c r="I155" s="38">
        <f t="shared" si="20"/>
        <v>1741.0166666666667</v>
      </c>
      <c r="J155" s="38" t="s">
        <v>28</v>
      </c>
      <c r="K155" s="37">
        <f>144.07/1.2</f>
        <v>120.05833333333334</v>
      </c>
      <c r="L155" s="38">
        <f t="shared" si="21"/>
        <v>1680.8166666666666</v>
      </c>
      <c r="M155" s="32" t="s">
        <v>29</v>
      </c>
      <c r="N155" s="37">
        <v>151.36000000000001</v>
      </c>
      <c r="O155" s="38">
        <f t="shared" si="22"/>
        <v>2119.04</v>
      </c>
      <c r="P155" s="39">
        <f t="shared" si="23"/>
        <v>131.92555555555558</v>
      </c>
      <c r="Q155" s="40">
        <f t="shared" si="24"/>
        <v>-1.0426755830308423</v>
      </c>
      <c r="R155" s="39">
        <f t="shared" si="25"/>
        <v>1827.7000000000003</v>
      </c>
      <c r="S155" s="41"/>
      <c r="U155" s="42">
        <f t="shared" si="26"/>
        <v>-6</v>
      </c>
      <c r="V155" s="42">
        <f t="shared" si="27"/>
        <v>-9</v>
      </c>
      <c r="W155" s="42">
        <f t="shared" si="28"/>
        <v>15</v>
      </c>
      <c r="Y155" s="28">
        <v>147</v>
      </c>
    </row>
    <row r="156" spans="1:25" s="28" customFormat="1" ht="73.5" customHeight="1" x14ac:dyDescent="0.2">
      <c r="A156" s="30">
        <v>151</v>
      </c>
      <c r="B156" s="31" t="s">
        <v>219</v>
      </c>
      <c r="C156" s="32" t="s">
        <v>25</v>
      </c>
      <c r="D156" s="33" t="s">
        <v>220</v>
      </c>
      <c r="E156" s="34">
        <v>274.17</v>
      </c>
      <c r="F156" s="35">
        <v>275.68</v>
      </c>
      <c r="G156" s="32" t="s">
        <v>27</v>
      </c>
      <c r="H156" s="37">
        <f>326.58/1.2</f>
        <v>272.14999999999998</v>
      </c>
      <c r="I156" s="38">
        <f t="shared" si="20"/>
        <v>339643.19999999995</v>
      </c>
      <c r="J156" s="38" t="s">
        <v>28</v>
      </c>
      <c r="K156" s="37">
        <f>350.12/1.2</f>
        <v>291.76666666666671</v>
      </c>
      <c r="L156" s="38">
        <f t="shared" si="21"/>
        <v>364124.80000000005</v>
      </c>
      <c r="M156" s="32" t="s">
        <v>29</v>
      </c>
      <c r="N156" s="37">
        <v>265.08999999999997</v>
      </c>
      <c r="O156" s="38">
        <f t="shared" si="22"/>
        <v>330832.31999999995</v>
      </c>
      <c r="P156" s="39">
        <f t="shared" si="23"/>
        <v>276.33555555555557</v>
      </c>
      <c r="Q156" s="40">
        <f t="shared" si="24"/>
        <v>-0.23723170702287177</v>
      </c>
      <c r="R156" s="39">
        <f t="shared" si="25"/>
        <v>344048.64000000001</v>
      </c>
      <c r="S156" s="41"/>
      <c r="U156" s="42">
        <f t="shared" si="26"/>
        <v>-2</v>
      </c>
      <c r="V156" s="42">
        <f t="shared" si="27"/>
        <v>6</v>
      </c>
      <c r="W156" s="42">
        <f t="shared" si="28"/>
        <v>-4</v>
      </c>
      <c r="Y156" s="28">
        <v>148</v>
      </c>
    </row>
    <row r="157" spans="1:25" s="28" customFormat="1" ht="73.5" customHeight="1" x14ac:dyDescent="0.2">
      <c r="A157" s="30">
        <v>152</v>
      </c>
      <c r="B157" s="31" t="s">
        <v>221</v>
      </c>
      <c r="C157" s="32" t="s">
        <v>25</v>
      </c>
      <c r="D157" s="33">
        <v>20</v>
      </c>
      <c r="E157" s="34">
        <v>255.69</v>
      </c>
      <c r="F157" s="35">
        <v>264.47000000000003</v>
      </c>
      <c r="G157" s="32" t="s">
        <v>27</v>
      </c>
      <c r="H157" s="37">
        <f>307.21/1.2</f>
        <v>256.00833333333333</v>
      </c>
      <c r="I157" s="38">
        <f t="shared" si="20"/>
        <v>5120.1666666666661</v>
      </c>
      <c r="J157" s="38" t="s">
        <v>28</v>
      </c>
      <c r="K157" s="37">
        <f>304.61/1.2</f>
        <v>253.8416666666667</v>
      </c>
      <c r="L157" s="38">
        <f t="shared" si="21"/>
        <v>5076.8333333333339</v>
      </c>
      <c r="M157" s="32" t="s">
        <v>29</v>
      </c>
      <c r="N157" s="37">
        <v>287.67</v>
      </c>
      <c r="O157" s="38">
        <f t="shared" si="22"/>
        <v>5753.4000000000005</v>
      </c>
      <c r="P157" s="39">
        <f t="shared" si="23"/>
        <v>265.83999999999997</v>
      </c>
      <c r="Q157" s="40">
        <f t="shared" si="24"/>
        <v>-0.51534757749020343</v>
      </c>
      <c r="R157" s="39">
        <f t="shared" si="25"/>
        <v>5289.4000000000005</v>
      </c>
      <c r="S157" s="41"/>
      <c r="U157" s="42">
        <f t="shared" si="26"/>
        <v>-4</v>
      </c>
      <c r="V157" s="42">
        <f t="shared" si="27"/>
        <v>-5</v>
      </c>
      <c r="W157" s="42">
        <f t="shared" si="28"/>
        <v>8</v>
      </c>
      <c r="Y157" s="28">
        <v>149</v>
      </c>
    </row>
    <row r="158" spans="1:25" s="28" customFormat="1" ht="73.5" customHeight="1" x14ac:dyDescent="0.2">
      <c r="A158" s="30">
        <v>153</v>
      </c>
      <c r="B158" s="31" t="s">
        <v>222</v>
      </c>
      <c r="C158" s="32" t="s">
        <v>25</v>
      </c>
      <c r="D158" s="33">
        <v>100</v>
      </c>
      <c r="E158" s="34">
        <v>389.92</v>
      </c>
      <c r="F158" s="35">
        <v>398.01</v>
      </c>
      <c r="G158" s="32" t="s">
        <v>27</v>
      </c>
      <c r="H158" s="37">
        <f>463.67/1.2</f>
        <v>386.39166666666671</v>
      </c>
      <c r="I158" s="38">
        <f t="shared" si="20"/>
        <v>38639.166666666672</v>
      </c>
      <c r="J158" s="38" t="s">
        <v>28</v>
      </c>
      <c r="K158" s="37">
        <f>475.33/1.2</f>
        <v>396.10833333333335</v>
      </c>
      <c r="L158" s="38">
        <f t="shared" si="21"/>
        <v>39610.833333333336</v>
      </c>
      <c r="M158" s="32" t="s">
        <v>29</v>
      </c>
      <c r="N158" s="37">
        <v>412.28</v>
      </c>
      <c r="O158" s="38">
        <f t="shared" si="22"/>
        <v>41228</v>
      </c>
      <c r="P158" s="39">
        <f t="shared" si="23"/>
        <v>398.26</v>
      </c>
      <c r="Q158" s="40">
        <f t="shared" si="24"/>
        <v>-6.2773062823282544E-2</v>
      </c>
      <c r="R158" s="39">
        <f t="shared" si="25"/>
        <v>39801</v>
      </c>
      <c r="S158" s="41"/>
      <c r="U158" s="42">
        <f t="shared" si="26"/>
        <v>-3</v>
      </c>
      <c r="V158" s="42">
        <f t="shared" si="27"/>
        <v>-1</v>
      </c>
      <c r="W158" s="42">
        <f t="shared" si="28"/>
        <v>4</v>
      </c>
      <c r="Y158" s="28">
        <v>150</v>
      </c>
    </row>
    <row r="159" spans="1:25" s="28" customFormat="1" ht="73.5" customHeight="1" x14ac:dyDescent="0.2">
      <c r="A159" s="30">
        <v>154</v>
      </c>
      <c r="B159" s="31" t="s">
        <v>223</v>
      </c>
      <c r="C159" s="32" t="s">
        <v>25</v>
      </c>
      <c r="D159" s="33">
        <v>35</v>
      </c>
      <c r="E159" s="34">
        <v>442.33</v>
      </c>
      <c r="F159" s="35">
        <v>560.24</v>
      </c>
      <c r="G159" s="32" t="s">
        <v>27</v>
      </c>
      <c r="H159" s="37">
        <f>628.4/1.2</f>
        <v>523.66666666666663</v>
      </c>
      <c r="I159" s="38">
        <f t="shared" si="20"/>
        <v>18328.333333333332</v>
      </c>
      <c r="J159" s="38" t="s">
        <v>28</v>
      </c>
      <c r="K159" s="37">
        <f>707.8/1.2</f>
        <v>589.83333333333337</v>
      </c>
      <c r="L159" s="38">
        <f t="shared" si="21"/>
        <v>20644.166666666668</v>
      </c>
      <c r="M159" s="32" t="s">
        <v>29</v>
      </c>
      <c r="N159" s="37">
        <v>574.41</v>
      </c>
      <c r="O159" s="38">
        <f t="shared" si="22"/>
        <v>20104.349999999999</v>
      </c>
      <c r="P159" s="39">
        <f t="shared" si="23"/>
        <v>562.63666666666666</v>
      </c>
      <c r="Q159" s="40">
        <f t="shared" si="24"/>
        <v>-0.42597057900006519</v>
      </c>
      <c r="R159" s="39">
        <f t="shared" si="25"/>
        <v>19608.400000000001</v>
      </c>
      <c r="S159" s="41"/>
      <c r="U159" s="42">
        <f t="shared" si="26"/>
        <v>-7</v>
      </c>
      <c r="V159" s="42">
        <f t="shared" si="27"/>
        <v>5</v>
      </c>
      <c r="W159" s="42">
        <f t="shared" si="28"/>
        <v>2</v>
      </c>
      <c r="Y159" s="28">
        <v>151</v>
      </c>
    </row>
    <row r="160" spans="1:25" s="28" customFormat="1" ht="73.5" customHeight="1" x14ac:dyDescent="0.2">
      <c r="A160" s="30">
        <v>155</v>
      </c>
      <c r="B160" s="31" t="s">
        <v>224</v>
      </c>
      <c r="C160" s="32" t="s">
        <v>25</v>
      </c>
      <c r="D160" s="33">
        <v>20</v>
      </c>
      <c r="E160" s="34">
        <v>659.27</v>
      </c>
      <c r="F160" s="35">
        <v>662.34</v>
      </c>
      <c r="G160" s="32" t="s">
        <v>27</v>
      </c>
      <c r="H160" s="37">
        <f>786.17/1.2</f>
        <v>655.14166666666665</v>
      </c>
      <c r="I160" s="38">
        <f t="shared" si="20"/>
        <v>13102.833333333332</v>
      </c>
      <c r="J160" s="38" t="s">
        <v>28</v>
      </c>
      <c r="K160" s="37">
        <f>780.48/1.2</f>
        <v>650.40000000000009</v>
      </c>
      <c r="L160" s="38">
        <f t="shared" si="21"/>
        <v>13008.000000000002</v>
      </c>
      <c r="M160" s="32" t="s">
        <v>29</v>
      </c>
      <c r="N160" s="37">
        <v>688.63</v>
      </c>
      <c r="O160" s="38">
        <f t="shared" si="22"/>
        <v>13772.6</v>
      </c>
      <c r="P160" s="39">
        <f t="shared" si="23"/>
        <v>664.72388888888884</v>
      </c>
      <c r="Q160" s="40">
        <f t="shared" si="24"/>
        <v>-0.35862843636830632</v>
      </c>
      <c r="R160" s="39">
        <f t="shared" si="25"/>
        <v>13246.800000000001</v>
      </c>
      <c r="S160" s="41"/>
      <c r="U160" s="42">
        <f t="shared" si="26"/>
        <v>-1</v>
      </c>
      <c r="V160" s="42">
        <f t="shared" si="27"/>
        <v>-2</v>
      </c>
      <c r="W160" s="42">
        <f t="shared" si="28"/>
        <v>4</v>
      </c>
      <c r="Y160" s="28">
        <v>152</v>
      </c>
    </row>
    <row r="161" spans="1:25" s="28" customFormat="1" ht="73.5" customHeight="1" x14ac:dyDescent="0.2">
      <c r="A161" s="30">
        <v>156</v>
      </c>
      <c r="B161" s="31" t="s">
        <v>225</v>
      </c>
      <c r="C161" s="32" t="s">
        <v>25</v>
      </c>
      <c r="D161" s="33">
        <v>40</v>
      </c>
      <c r="E161" s="34">
        <v>204.48</v>
      </c>
      <c r="F161" s="35">
        <v>244.58</v>
      </c>
      <c r="G161" s="32" t="s">
        <v>27</v>
      </c>
      <c r="H161" s="37">
        <f>242.87/1.2</f>
        <v>202.39166666666668</v>
      </c>
      <c r="I161" s="38">
        <f t="shared" si="20"/>
        <v>8095.666666666667</v>
      </c>
      <c r="J161" s="38" t="s">
        <v>28</v>
      </c>
      <c r="K161" s="37">
        <f>341.51/1.2</f>
        <v>284.5916666666667</v>
      </c>
      <c r="L161" s="38">
        <f t="shared" si="21"/>
        <v>11383.666666666668</v>
      </c>
      <c r="M161" s="32" t="s">
        <v>29</v>
      </c>
      <c r="N161" s="37">
        <v>251.07</v>
      </c>
      <c r="O161" s="38">
        <f t="shared" si="22"/>
        <v>10042.799999999999</v>
      </c>
      <c r="P161" s="39">
        <f t="shared" si="23"/>
        <v>246.01777777777775</v>
      </c>
      <c r="Q161" s="40">
        <f t="shared" si="24"/>
        <v>-0.58442027676409225</v>
      </c>
      <c r="R161" s="39">
        <f t="shared" si="25"/>
        <v>9783.2000000000007</v>
      </c>
      <c r="S161" s="41"/>
      <c r="U161" s="42">
        <f t="shared" si="26"/>
        <v>-18</v>
      </c>
      <c r="V161" s="42">
        <f t="shared" si="27"/>
        <v>16</v>
      </c>
      <c r="W161" s="42">
        <f t="shared" si="28"/>
        <v>2</v>
      </c>
      <c r="Y161" s="28">
        <v>153</v>
      </c>
    </row>
    <row r="162" spans="1:25" s="28" customFormat="1" ht="73.5" customHeight="1" x14ac:dyDescent="0.2">
      <c r="A162" s="30">
        <v>157</v>
      </c>
      <c r="B162" s="31" t="s">
        <v>226</v>
      </c>
      <c r="C162" s="32" t="s">
        <v>25</v>
      </c>
      <c r="D162" s="33">
        <v>25</v>
      </c>
      <c r="E162" s="34">
        <v>185.82</v>
      </c>
      <c r="F162" s="35">
        <v>205.99</v>
      </c>
      <c r="G162" s="32" t="s">
        <v>27</v>
      </c>
      <c r="H162" s="37">
        <f>222.01/1.2</f>
        <v>185.00833333333333</v>
      </c>
      <c r="I162" s="38">
        <f t="shared" si="20"/>
        <v>4625.208333333333</v>
      </c>
      <c r="J162" s="38" t="s">
        <v>28</v>
      </c>
      <c r="K162" s="37">
        <f>280.49/1.2</f>
        <v>233.74166666666667</v>
      </c>
      <c r="L162" s="38">
        <f t="shared" si="21"/>
        <v>5843.541666666667</v>
      </c>
      <c r="M162" s="32" t="s">
        <v>29</v>
      </c>
      <c r="N162" s="37">
        <v>203.98</v>
      </c>
      <c r="O162" s="38">
        <f t="shared" si="22"/>
        <v>5099.5</v>
      </c>
      <c r="P162" s="39">
        <f t="shared" si="23"/>
        <v>207.57666666666668</v>
      </c>
      <c r="Q162" s="40">
        <f t="shared" si="24"/>
        <v>-0.76437621441074555</v>
      </c>
      <c r="R162" s="39">
        <f t="shared" si="25"/>
        <v>5149.75</v>
      </c>
      <c r="S162" s="41"/>
      <c r="U162" s="42">
        <f t="shared" si="26"/>
        <v>-11</v>
      </c>
      <c r="V162" s="42">
        <f t="shared" si="27"/>
        <v>13</v>
      </c>
      <c r="W162" s="42">
        <f t="shared" si="28"/>
        <v>-2</v>
      </c>
      <c r="Y162" s="28">
        <v>154</v>
      </c>
    </row>
    <row r="163" spans="1:25" s="28" customFormat="1" ht="73.5" customHeight="1" x14ac:dyDescent="0.2">
      <c r="A163" s="30">
        <v>158</v>
      </c>
      <c r="B163" s="31" t="s">
        <v>227</v>
      </c>
      <c r="C163" s="32" t="s">
        <v>25</v>
      </c>
      <c r="D163" s="33">
        <v>60</v>
      </c>
      <c r="E163" s="34">
        <v>32.39</v>
      </c>
      <c r="F163" s="35">
        <v>48.03</v>
      </c>
      <c r="G163" s="32" t="s">
        <v>27</v>
      </c>
      <c r="H163" s="37">
        <f>48.91/1.2</f>
        <v>40.758333333333333</v>
      </c>
      <c r="I163" s="38">
        <f t="shared" si="20"/>
        <v>2445.5</v>
      </c>
      <c r="J163" s="38" t="s">
        <v>28</v>
      </c>
      <c r="K163" s="37">
        <f>69.67/1.2</f>
        <v>58.058333333333337</v>
      </c>
      <c r="L163" s="38">
        <f t="shared" si="21"/>
        <v>3483.5</v>
      </c>
      <c r="M163" s="32" t="s">
        <v>29</v>
      </c>
      <c r="N163" s="37">
        <v>49.5</v>
      </c>
      <c r="O163" s="38">
        <f t="shared" si="22"/>
        <v>2970</v>
      </c>
      <c r="P163" s="39">
        <f t="shared" si="23"/>
        <v>49.43888888888889</v>
      </c>
      <c r="Q163" s="40">
        <f t="shared" si="24"/>
        <v>-2.8497583998202032</v>
      </c>
      <c r="R163" s="39">
        <f t="shared" si="25"/>
        <v>2881.8</v>
      </c>
      <c r="S163" s="41"/>
      <c r="U163" s="42">
        <f t="shared" si="26"/>
        <v>-18</v>
      </c>
      <c r="V163" s="42">
        <f t="shared" si="27"/>
        <v>17</v>
      </c>
      <c r="W163" s="42">
        <f t="shared" si="28"/>
        <v>0</v>
      </c>
      <c r="Y163" s="28">
        <v>155</v>
      </c>
    </row>
    <row r="164" spans="1:25" s="28" customFormat="1" ht="73.5" customHeight="1" x14ac:dyDescent="0.2">
      <c r="A164" s="30">
        <v>159</v>
      </c>
      <c r="B164" s="31" t="s">
        <v>228</v>
      </c>
      <c r="C164" s="32" t="s">
        <v>25</v>
      </c>
      <c r="D164" s="33">
        <v>19</v>
      </c>
      <c r="E164" s="34">
        <v>237.08</v>
      </c>
      <c r="F164" s="35">
        <v>321.56</v>
      </c>
      <c r="G164" s="32" t="s">
        <v>27</v>
      </c>
      <c r="H164" s="37">
        <f>369.48/1.2</f>
        <v>307.90000000000003</v>
      </c>
      <c r="I164" s="38">
        <f t="shared" ref="I164:I195" si="29">D164*H164</f>
        <v>5850.1</v>
      </c>
      <c r="J164" s="38" t="s">
        <v>28</v>
      </c>
      <c r="K164" s="37">
        <f>366.65/1.2</f>
        <v>305.54166666666669</v>
      </c>
      <c r="L164" s="38">
        <f t="shared" si="21"/>
        <v>5805.291666666667</v>
      </c>
      <c r="M164" s="32" t="s">
        <v>29</v>
      </c>
      <c r="N164" s="37">
        <v>361.22</v>
      </c>
      <c r="O164" s="38">
        <f t="shared" si="22"/>
        <v>6863.18</v>
      </c>
      <c r="P164" s="39">
        <f t="shared" si="23"/>
        <v>324.88722222222225</v>
      </c>
      <c r="Q164" s="40">
        <f t="shared" si="24"/>
        <v>-1.0241160607869091</v>
      </c>
      <c r="R164" s="39">
        <f t="shared" si="25"/>
        <v>6109.64</v>
      </c>
      <c r="S164" s="41"/>
      <c r="U164" s="42">
        <f t="shared" si="26"/>
        <v>-5</v>
      </c>
      <c r="V164" s="42">
        <f t="shared" si="27"/>
        <v>-6</v>
      </c>
      <c r="W164" s="42">
        <f t="shared" si="28"/>
        <v>11</v>
      </c>
      <c r="Y164" s="28">
        <v>156</v>
      </c>
    </row>
    <row r="165" spans="1:25" s="28" customFormat="1" ht="73.5" customHeight="1" x14ac:dyDescent="0.2">
      <c r="A165" s="30">
        <v>160</v>
      </c>
      <c r="B165" s="31" t="s">
        <v>229</v>
      </c>
      <c r="C165" s="32" t="s">
        <v>45</v>
      </c>
      <c r="D165" s="33" t="s">
        <v>230</v>
      </c>
      <c r="E165" s="34">
        <v>2603.12</v>
      </c>
      <c r="F165" s="35">
        <v>8050.5</v>
      </c>
      <c r="G165" s="32" t="s">
        <v>231</v>
      </c>
      <c r="H165" s="37">
        <f>9362.18/1.2</f>
        <v>7801.8166666666675</v>
      </c>
      <c r="I165" s="38">
        <f t="shared" si="29"/>
        <v>429099.91666666669</v>
      </c>
      <c r="J165" s="32" t="s">
        <v>46</v>
      </c>
      <c r="K165" s="37">
        <v>7956.2</v>
      </c>
      <c r="L165" s="38">
        <f t="shared" si="21"/>
        <v>437591</v>
      </c>
      <c r="M165" s="32" t="s">
        <v>58</v>
      </c>
      <c r="N165" s="37">
        <v>8400.2999999999993</v>
      </c>
      <c r="O165" s="38">
        <f t="shared" si="22"/>
        <v>462016.49999999994</v>
      </c>
      <c r="P165" s="39">
        <f t="shared" si="23"/>
        <v>8052.7722222222219</v>
      </c>
      <c r="Q165" s="40">
        <f t="shared" si="24"/>
        <v>-2.8216645889372671E-2</v>
      </c>
      <c r="R165" s="39">
        <f t="shared" si="25"/>
        <v>442777.5</v>
      </c>
      <c r="S165" s="41"/>
      <c r="U165" s="42">
        <f t="shared" si="26"/>
        <v>-3</v>
      </c>
      <c r="V165" s="42">
        <f t="shared" si="27"/>
        <v>-1</v>
      </c>
      <c r="W165" s="42">
        <f t="shared" si="28"/>
        <v>4</v>
      </c>
      <c r="Y165" s="28">
        <v>157</v>
      </c>
    </row>
    <row r="166" spans="1:25" s="28" customFormat="1" ht="73.5" customHeight="1" x14ac:dyDescent="0.2">
      <c r="A166" s="30">
        <v>161</v>
      </c>
      <c r="B166" s="31" t="s">
        <v>232</v>
      </c>
      <c r="C166" s="32" t="s">
        <v>25</v>
      </c>
      <c r="D166" s="33" t="s">
        <v>233</v>
      </c>
      <c r="E166" s="34">
        <v>85.37</v>
      </c>
      <c r="F166" s="35">
        <v>164.05</v>
      </c>
      <c r="G166" s="32" t="s">
        <v>39</v>
      </c>
      <c r="H166" s="37">
        <v>153.05000000000001</v>
      </c>
      <c r="I166" s="38">
        <f t="shared" si="29"/>
        <v>26324.600000000002</v>
      </c>
      <c r="J166" s="38" t="s">
        <v>28</v>
      </c>
      <c r="K166" s="37">
        <v>159.37</v>
      </c>
      <c r="L166" s="38">
        <f t="shared" si="21"/>
        <v>27411.64</v>
      </c>
      <c r="M166" s="38" t="s">
        <v>46</v>
      </c>
      <c r="N166" s="37">
        <v>181.06</v>
      </c>
      <c r="O166" s="38">
        <f t="shared" si="22"/>
        <v>31142.32</v>
      </c>
      <c r="P166" s="39">
        <f t="shared" si="23"/>
        <v>164.49333333333334</v>
      </c>
      <c r="Q166" s="40">
        <f t="shared" si="24"/>
        <v>-0.26951446867147411</v>
      </c>
      <c r="R166" s="39">
        <f t="shared" si="25"/>
        <v>28216.600000000002</v>
      </c>
      <c r="S166" s="41"/>
      <c r="U166" s="42">
        <f t="shared" si="26"/>
        <v>-7</v>
      </c>
      <c r="V166" s="42">
        <f t="shared" si="27"/>
        <v>-3</v>
      </c>
      <c r="W166" s="42">
        <f t="shared" si="28"/>
        <v>10</v>
      </c>
      <c r="Y166" s="28">
        <v>158</v>
      </c>
    </row>
    <row r="167" spans="1:25" s="28" customFormat="1" ht="73.5" customHeight="1" x14ac:dyDescent="0.2">
      <c r="A167" s="30">
        <v>162</v>
      </c>
      <c r="B167" s="31" t="s">
        <v>234</v>
      </c>
      <c r="C167" s="32" t="s">
        <v>45</v>
      </c>
      <c r="D167" s="33" t="s">
        <v>235</v>
      </c>
      <c r="E167" s="34">
        <v>6333.33</v>
      </c>
      <c r="F167" s="35">
        <v>6388.4</v>
      </c>
      <c r="G167" s="32" t="s">
        <v>231</v>
      </c>
      <c r="H167" s="37">
        <f>7648.2/1.2</f>
        <v>6373.5</v>
      </c>
      <c r="I167" s="38">
        <f t="shared" si="29"/>
        <v>236456.85</v>
      </c>
      <c r="J167" s="32" t="s">
        <v>236</v>
      </c>
      <c r="K167" s="37">
        <f>7548/1.2</f>
        <v>6290</v>
      </c>
      <c r="L167" s="38">
        <f t="shared" si="21"/>
        <v>233359</v>
      </c>
      <c r="M167" s="32" t="s">
        <v>58</v>
      </c>
      <c r="N167" s="37">
        <v>6504.5</v>
      </c>
      <c r="O167" s="38">
        <f t="shared" si="22"/>
        <v>241316.95</v>
      </c>
      <c r="P167" s="39">
        <f t="shared" si="23"/>
        <v>6389.333333333333</v>
      </c>
      <c r="Q167" s="40">
        <f t="shared" si="24"/>
        <v>-1.4607679465768797E-2</v>
      </c>
      <c r="R167" s="39">
        <f t="shared" si="25"/>
        <v>237009.63999999998</v>
      </c>
      <c r="S167" s="41"/>
      <c r="U167" s="42">
        <f t="shared" si="26"/>
        <v>0</v>
      </c>
      <c r="V167" s="42">
        <f t="shared" si="27"/>
        <v>-2</v>
      </c>
      <c r="W167" s="42">
        <f t="shared" si="28"/>
        <v>2</v>
      </c>
      <c r="Y167" s="28">
        <v>159</v>
      </c>
    </row>
    <row r="168" spans="1:25" s="28" customFormat="1" ht="73.5" customHeight="1" x14ac:dyDescent="0.2">
      <c r="A168" s="30">
        <v>163</v>
      </c>
      <c r="B168" s="31" t="s">
        <v>237</v>
      </c>
      <c r="C168" s="32" t="s">
        <v>147</v>
      </c>
      <c r="D168" s="33" t="s">
        <v>238</v>
      </c>
      <c r="E168" s="34">
        <v>15.83</v>
      </c>
      <c r="F168" s="35">
        <v>14.72</v>
      </c>
      <c r="G168" s="32" t="s">
        <v>231</v>
      </c>
      <c r="H168" s="37">
        <f>18.73/1.2</f>
        <v>15.608333333333334</v>
      </c>
      <c r="I168" s="38">
        <f t="shared" si="29"/>
        <v>38240.416666666672</v>
      </c>
      <c r="J168" s="32" t="s">
        <v>236</v>
      </c>
      <c r="K168" s="37">
        <f>16.5/1.2</f>
        <v>13.75</v>
      </c>
      <c r="L168" s="38">
        <f t="shared" si="21"/>
        <v>33687.5</v>
      </c>
      <c r="M168" s="32" t="s">
        <v>58</v>
      </c>
      <c r="N168" s="37">
        <v>15.03</v>
      </c>
      <c r="O168" s="38">
        <f t="shared" si="22"/>
        <v>36823.5</v>
      </c>
      <c r="P168" s="39">
        <f t="shared" si="23"/>
        <v>14.796111111111111</v>
      </c>
      <c r="Q168" s="40">
        <f t="shared" si="24"/>
        <v>-0.51439942927946447</v>
      </c>
      <c r="R168" s="39">
        <f t="shared" si="25"/>
        <v>36064</v>
      </c>
      <c r="S168" s="41"/>
      <c r="U168" s="42">
        <f t="shared" si="26"/>
        <v>5</v>
      </c>
      <c r="V168" s="42">
        <f t="shared" si="27"/>
        <v>-7</v>
      </c>
      <c r="W168" s="42">
        <f t="shared" si="28"/>
        <v>2</v>
      </c>
      <c r="Y168" s="28">
        <v>160</v>
      </c>
    </row>
    <row r="169" spans="1:25" s="28" customFormat="1" ht="73.5" customHeight="1" x14ac:dyDescent="0.2">
      <c r="A169" s="30">
        <v>164</v>
      </c>
      <c r="B169" s="31" t="s">
        <v>239</v>
      </c>
      <c r="C169" s="32" t="s">
        <v>147</v>
      </c>
      <c r="D169" s="33">
        <v>65</v>
      </c>
      <c r="E169" s="34">
        <v>6.42</v>
      </c>
      <c r="F169" s="35">
        <v>6</v>
      </c>
      <c r="G169" s="32" t="s">
        <v>231</v>
      </c>
      <c r="H169" s="37">
        <f>7.12/1.2</f>
        <v>5.9333333333333336</v>
      </c>
      <c r="I169" s="38">
        <f t="shared" si="29"/>
        <v>385.66666666666669</v>
      </c>
      <c r="J169" s="32" t="s">
        <v>236</v>
      </c>
      <c r="K169" s="37">
        <f>6.91/1.2</f>
        <v>5.7583333333333337</v>
      </c>
      <c r="L169" s="38">
        <f t="shared" si="21"/>
        <v>374.29166666666669</v>
      </c>
      <c r="M169" s="32" t="s">
        <v>58</v>
      </c>
      <c r="N169" s="37">
        <v>6.37</v>
      </c>
      <c r="O169" s="38">
        <f t="shared" si="22"/>
        <v>414.05</v>
      </c>
      <c r="P169" s="39">
        <f t="shared" si="23"/>
        <v>6.0205555555555561</v>
      </c>
      <c r="Q169" s="40">
        <f t="shared" si="24"/>
        <v>-0.34142290301744538</v>
      </c>
      <c r="R169" s="39">
        <f t="shared" si="25"/>
        <v>390</v>
      </c>
      <c r="S169" s="41"/>
      <c r="U169" s="42">
        <f t="shared" si="26"/>
        <v>-1</v>
      </c>
      <c r="V169" s="42">
        <f t="shared" si="27"/>
        <v>-4</v>
      </c>
      <c r="W169" s="42">
        <f t="shared" si="28"/>
        <v>6</v>
      </c>
      <c r="Y169" s="28">
        <v>161</v>
      </c>
    </row>
    <row r="170" spans="1:25" s="28" customFormat="1" ht="73.5" customHeight="1" x14ac:dyDescent="0.2">
      <c r="A170" s="30">
        <v>165</v>
      </c>
      <c r="B170" s="31" t="s">
        <v>240</v>
      </c>
      <c r="C170" s="32" t="s">
        <v>147</v>
      </c>
      <c r="D170" s="33" t="s">
        <v>241</v>
      </c>
      <c r="E170" s="34">
        <v>8.33</v>
      </c>
      <c r="F170" s="35">
        <v>7.6</v>
      </c>
      <c r="G170" s="32" t="s">
        <v>231</v>
      </c>
      <c r="H170" s="37">
        <f>8.7/1.2</f>
        <v>7.25</v>
      </c>
      <c r="I170" s="38">
        <f t="shared" si="29"/>
        <v>2900</v>
      </c>
      <c r="J170" s="32" t="s">
        <v>236</v>
      </c>
      <c r="K170" s="37">
        <f>9.03/1.2</f>
        <v>7.5249999999999995</v>
      </c>
      <c r="L170" s="38">
        <f t="shared" si="21"/>
        <v>3010</v>
      </c>
      <c r="M170" s="32" t="s">
        <v>58</v>
      </c>
      <c r="N170" s="37">
        <v>8.1199999999999992</v>
      </c>
      <c r="O170" s="38">
        <f t="shared" si="22"/>
        <v>3247.9999999999995</v>
      </c>
      <c r="P170" s="39">
        <f t="shared" si="23"/>
        <v>7.631666666666665</v>
      </c>
      <c r="Q170" s="40">
        <f t="shared" si="24"/>
        <v>-0.4149377593360839</v>
      </c>
      <c r="R170" s="39">
        <f t="shared" si="25"/>
        <v>3040</v>
      </c>
      <c r="S170" s="41"/>
      <c r="U170" s="42">
        <f t="shared" si="26"/>
        <v>-5</v>
      </c>
      <c r="V170" s="42">
        <f t="shared" si="27"/>
        <v>-1</v>
      </c>
      <c r="W170" s="42">
        <f t="shared" si="28"/>
        <v>6</v>
      </c>
      <c r="Y170" s="28">
        <v>162</v>
      </c>
    </row>
    <row r="171" spans="1:25" s="28" customFormat="1" ht="73.5" customHeight="1" x14ac:dyDescent="0.2">
      <c r="A171" s="30">
        <v>167</v>
      </c>
      <c r="B171" s="31" t="s">
        <v>242</v>
      </c>
      <c r="C171" s="32" t="s">
        <v>147</v>
      </c>
      <c r="D171" s="33" t="s">
        <v>243</v>
      </c>
      <c r="E171" s="34">
        <v>10.33</v>
      </c>
      <c r="F171" s="35">
        <v>9.52</v>
      </c>
      <c r="G171" s="32" t="s">
        <v>231</v>
      </c>
      <c r="H171" s="37">
        <f>11.28/1.2</f>
        <v>9.4</v>
      </c>
      <c r="I171" s="38">
        <f t="shared" si="29"/>
        <v>188</v>
      </c>
      <c r="J171" s="32" t="s">
        <v>236</v>
      </c>
      <c r="K171" s="37">
        <f>11.14/1.2</f>
        <v>9.283333333333335</v>
      </c>
      <c r="L171" s="38">
        <f t="shared" si="21"/>
        <v>185.66666666666669</v>
      </c>
      <c r="M171" s="32" t="s">
        <v>58</v>
      </c>
      <c r="N171" s="37">
        <v>9.9700000000000006</v>
      </c>
      <c r="O171" s="38">
        <f t="shared" si="22"/>
        <v>199.4</v>
      </c>
      <c r="P171" s="39">
        <f t="shared" si="23"/>
        <v>9.551111111111112</v>
      </c>
      <c r="Q171" s="40">
        <f t="shared" si="24"/>
        <v>-0.32573289902281033</v>
      </c>
      <c r="R171" s="39">
        <f t="shared" si="25"/>
        <v>190.39999999999998</v>
      </c>
      <c r="S171" s="41"/>
      <c r="U171" s="42">
        <f t="shared" si="26"/>
        <v>-2</v>
      </c>
      <c r="V171" s="42">
        <f t="shared" si="27"/>
        <v>-3</v>
      </c>
      <c r="W171" s="42">
        <f t="shared" si="28"/>
        <v>4</v>
      </c>
      <c r="Y171" s="28">
        <v>163</v>
      </c>
    </row>
    <row r="172" spans="1:25" s="28" customFormat="1" ht="73.5" customHeight="1" x14ac:dyDescent="0.2">
      <c r="A172" s="30">
        <v>168</v>
      </c>
      <c r="B172" s="31" t="s">
        <v>244</v>
      </c>
      <c r="C172" s="32" t="s">
        <v>147</v>
      </c>
      <c r="D172" s="33" t="s">
        <v>245</v>
      </c>
      <c r="E172" s="34">
        <v>4.67</v>
      </c>
      <c r="F172" s="35">
        <v>6.79</v>
      </c>
      <c r="G172" s="32" t="s">
        <v>231</v>
      </c>
      <c r="H172" s="37">
        <f>6.62/1.2</f>
        <v>5.5166666666666666</v>
      </c>
      <c r="I172" s="38">
        <f t="shared" si="29"/>
        <v>3310</v>
      </c>
      <c r="J172" s="32" t="s">
        <v>236</v>
      </c>
      <c r="K172" s="37">
        <f>8.58/1.2</f>
        <v>7.15</v>
      </c>
      <c r="L172" s="38">
        <f t="shared" si="21"/>
        <v>4290</v>
      </c>
      <c r="M172" s="32" t="s">
        <v>58</v>
      </c>
      <c r="N172" s="37">
        <v>7.83</v>
      </c>
      <c r="O172" s="38">
        <f t="shared" si="22"/>
        <v>4698</v>
      </c>
      <c r="P172" s="39">
        <f t="shared" si="23"/>
        <v>6.8322222222222235</v>
      </c>
      <c r="Q172" s="40">
        <f t="shared" si="24"/>
        <v>-0.61798666449831785</v>
      </c>
      <c r="R172" s="39">
        <f t="shared" si="25"/>
        <v>4074</v>
      </c>
      <c r="S172" s="41"/>
      <c r="U172" s="42">
        <f t="shared" si="26"/>
        <v>-19</v>
      </c>
      <c r="V172" s="42">
        <f t="shared" si="27"/>
        <v>5</v>
      </c>
      <c r="W172" s="42">
        <f t="shared" si="28"/>
        <v>15</v>
      </c>
      <c r="Y172" s="28">
        <v>164</v>
      </c>
    </row>
    <row r="173" spans="1:25" s="28" customFormat="1" ht="73.5" customHeight="1" x14ac:dyDescent="0.2">
      <c r="A173" s="30">
        <v>169</v>
      </c>
      <c r="B173" s="31" t="s">
        <v>246</v>
      </c>
      <c r="C173" s="32" t="s">
        <v>45</v>
      </c>
      <c r="D173" s="33" t="s">
        <v>247</v>
      </c>
      <c r="E173" s="34">
        <v>3225</v>
      </c>
      <c r="F173" s="35">
        <v>2210.44</v>
      </c>
      <c r="G173" s="36" t="s">
        <v>248</v>
      </c>
      <c r="H173" s="37">
        <f>8990/4</f>
        <v>2247.5</v>
      </c>
      <c r="I173" s="38">
        <f t="shared" si="29"/>
        <v>26970</v>
      </c>
      <c r="J173" s="32" t="s">
        <v>249</v>
      </c>
      <c r="K173" s="37">
        <f>10015/4</f>
        <v>2503.75</v>
      </c>
      <c r="L173" s="38">
        <f t="shared" si="21"/>
        <v>30045</v>
      </c>
      <c r="M173" s="32" t="s">
        <v>250</v>
      </c>
      <c r="N173" s="37">
        <v>1898.75</v>
      </c>
      <c r="O173" s="38">
        <f t="shared" si="22"/>
        <v>22785</v>
      </c>
      <c r="P173" s="39">
        <f t="shared" si="23"/>
        <v>2216.6666666666665</v>
      </c>
      <c r="Q173" s="40">
        <f t="shared" si="24"/>
        <v>-0.28090225563909144</v>
      </c>
      <c r="R173" s="39">
        <f t="shared" si="25"/>
        <v>26525.279999999999</v>
      </c>
      <c r="S173" s="41"/>
      <c r="U173" s="42">
        <f t="shared" si="26"/>
        <v>1</v>
      </c>
      <c r="V173" s="42">
        <f t="shared" si="27"/>
        <v>13</v>
      </c>
      <c r="W173" s="42">
        <f t="shared" si="28"/>
        <v>-14</v>
      </c>
      <c r="Y173" s="28">
        <v>165</v>
      </c>
    </row>
    <row r="174" spans="1:25" s="28" customFormat="1" ht="73.5" hidden="1" customHeight="1" x14ac:dyDescent="0.2">
      <c r="A174" s="30">
        <v>170</v>
      </c>
      <c r="B174" s="31" t="s">
        <v>251</v>
      </c>
      <c r="C174" s="32" t="s">
        <v>147</v>
      </c>
      <c r="D174" s="33">
        <v>60</v>
      </c>
      <c r="E174" s="34">
        <v>369.24</v>
      </c>
      <c r="F174" s="35">
        <v>480.56</v>
      </c>
      <c r="G174" s="32" t="s">
        <v>27</v>
      </c>
      <c r="H174" s="37">
        <f>542.05/1.2</f>
        <v>451.70833333333331</v>
      </c>
      <c r="I174" s="38">
        <f t="shared" si="29"/>
        <v>27102.5</v>
      </c>
      <c r="J174" s="38" t="s">
        <v>28</v>
      </c>
      <c r="K174" s="37">
        <f>586.87/1.2</f>
        <v>489.05833333333334</v>
      </c>
      <c r="L174" s="38">
        <f t="shared" si="21"/>
        <v>29343.5</v>
      </c>
      <c r="M174" s="38" t="s">
        <v>29</v>
      </c>
      <c r="N174" s="37">
        <v>506.22</v>
      </c>
      <c r="O174" s="38">
        <f t="shared" si="22"/>
        <v>30373.200000000001</v>
      </c>
      <c r="P174" s="39">
        <f t="shared" si="23"/>
        <v>482.32888888888891</v>
      </c>
      <c r="Q174" s="40">
        <f t="shared" si="24"/>
        <v>-0.36673915447275363</v>
      </c>
      <c r="R174" s="39">
        <f t="shared" si="25"/>
        <v>28833.599999999999</v>
      </c>
      <c r="S174" s="47" t="s">
        <v>116</v>
      </c>
      <c r="U174" s="42">
        <f t="shared" si="26"/>
        <v>-6</v>
      </c>
      <c r="V174" s="42">
        <f t="shared" si="27"/>
        <v>1</v>
      </c>
      <c r="W174" s="42">
        <f t="shared" si="28"/>
        <v>5</v>
      </c>
      <c r="Y174" s="28">
        <v>166</v>
      </c>
    </row>
    <row r="175" spans="1:25" s="28" customFormat="1" ht="73.5" customHeight="1" x14ac:dyDescent="0.2">
      <c r="A175" s="30">
        <v>171</v>
      </c>
      <c r="B175" s="31" t="s">
        <v>252</v>
      </c>
      <c r="C175" s="32" t="s">
        <v>45</v>
      </c>
      <c r="D175" s="33">
        <v>180</v>
      </c>
      <c r="E175" s="34">
        <v>457.81</v>
      </c>
      <c r="F175" s="35">
        <v>383.82</v>
      </c>
      <c r="G175" s="32" t="s">
        <v>253</v>
      </c>
      <c r="H175" s="37">
        <v>385.11</v>
      </c>
      <c r="I175" s="38">
        <f t="shared" si="29"/>
        <v>69319.8</v>
      </c>
      <c r="J175" s="32" t="s">
        <v>254</v>
      </c>
      <c r="K175" s="37">
        <f>462/1.2</f>
        <v>385</v>
      </c>
      <c r="L175" s="38">
        <f t="shared" si="21"/>
        <v>69300</v>
      </c>
      <c r="M175" s="32" t="s">
        <v>255</v>
      </c>
      <c r="N175" s="37">
        <f>462.13/1.2</f>
        <v>385.10833333333335</v>
      </c>
      <c r="O175" s="38">
        <f t="shared" si="22"/>
        <v>69319.5</v>
      </c>
      <c r="P175" s="39">
        <f t="shared" si="23"/>
        <v>385.07277777777773</v>
      </c>
      <c r="Q175" s="40">
        <f t="shared" si="24"/>
        <v>-0.32533532622258576</v>
      </c>
      <c r="R175" s="39">
        <f t="shared" si="25"/>
        <v>69087.600000000006</v>
      </c>
      <c r="S175" s="41"/>
      <c r="U175" s="42">
        <f t="shared" si="26"/>
        <v>0</v>
      </c>
      <c r="V175" s="42">
        <f t="shared" si="27"/>
        <v>0</v>
      </c>
      <c r="W175" s="42">
        <f t="shared" si="28"/>
        <v>0</v>
      </c>
      <c r="Y175" s="28">
        <v>167</v>
      </c>
    </row>
    <row r="176" spans="1:25" s="28" customFormat="1" ht="73.5" customHeight="1" x14ac:dyDescent="0.2">
      <c r="A176" s="30">
        <v>172</v>
      </c>
      <c r="B176" s="31" t="s">
        <v>256</v>
      </c>
      <c r="C176" s="32" t="s">
        <v>25</v>
      </c>
      <c r="D176" s="33">
        <v>1580</v>
      </c>
      <c r="E176" s="34">
        <v>94.72</v>
      </c>
      <c r="F176" s="35">
        <v>254.67</v>
      </c>
      <c r="G176" s="32" t="s">
        <v>27</v>
      </c>
      <c r="H176" s="37">
        <f>246.91/1.2</f>
        <v>205.75833333333333</v>
      </c>
      <c r="I176" s="38">
        <f t="shared" si="29"/>
        <v>325098.16666666663</v>
      </c>
      <c r="J176" s="38" t="s">
        <v>28</v>
      </c>
      <c r="K176" s="37">
        <f>350.39/1.2</f>
        <v>291.99166666666667</v>
      </c>
      <c r="L176" s="38">
        <f t="shared" si="21"/>
        <v>461346.83333333337</v>
      </c>
      <c r="M176" s="38" t="s">
        <v>29</v>
      </c>
      <c r="N176" s="37">
        <v>268.85000000000002</v>
      </c>
      <c r="O176" s="38">
        <f t="shared" si="22"/>
        <v>424783.00000000006</v>
      </c>
      <c r="P176" s="39">
        <f t="shared" si="23"/>
        <v>255.53333333333333</v>
      </c>
      <c r="Q176" s="40">
        <f t="shared" si="24"/>
        <v>-0.33785546569266955</v>
      </c>
      <c r="R176" s="39">
        <f t="shared" si="25"/>
        <v>402378.6</v>
      </c>
      <c r="S176" s="41"/>
      <c r="U176" s="42">
        <f t="shared" si="26"/>
        <v>-19</v>
      </c>
      <c r="V176" s="42">
        <f t="shared" si="27"/>
        <v>14</v>
      </c>
      <c r="W176" s="42">
        <f t="shared" si="28"/>
        <v>5</v>
      </c>
      <c r="Y176" s="28">
        <v>168</v>
      </c>
    </row>
    <row r="177" spans="1:25" s="28" customFormat="1" ht="73.5" customHeight="1" x14ac:dyDescent="0.2">
      <c r="A177" s="30">
        <v>173</v>
      </c>
      <c r="B177" s="31" t="s">
        <v>257</v>
      </c>
      <c r="C177" s="32" t="s">
        <v>45</v>
      </c>
      <c r="D177" s="33">
        <v>13</v>
      </c>
      <c r="E177" s="34">
        <v>97.04</v>
      </c>
      <c r="F177" s="35">
        <v>98.56</v>
      </c>
      <c r="G177" s="32" t="s">
        <v>258</v>
      </c>
      <c r="H177" s="37">
        <v>98.67</v>
      </c>
      <c r="I177" s="38">
        <f t="shared" si="29"/>
        <v>1282.71</v>
      </c>
      <c r="J177" s="32" t="s">
        <v>259</v>
      </c>
      <c r="K177" s="37">
        <f>117.62/1.2</f>
        <v>98.01666666666668</v>
      </c>
      <c r="L177" s="38">
        <f t="shared" si="21"/>
        <v>1274.2166666666669</v>
      </c>
      <c r="M177" s="38" t="s">
        <v>68</v>
      </c>
      <c r="N177" s="37">
        <v>100.23</v>
      </c>
      <c r="O177" s="38">
        <f t="shared" si="22"/>
        <v>1302.99</v>
      </c>
      <c r="P177" s="39">
        <f t="shared" si="23"/>
        <v>98.972222222222229</v>
      </c>
      <c r="Q177" s="40">
        <f t="shared" si="24"/>
        <v>-0.4165029469548216</v>
      </c>
      <c r="R177" s="39">
        <f t="shared" si="25"/>
        <v>1281.28</v>
      </c>
      <c r="S177" s="41"/>
      <c r="U177" s="42">
        <f t="shared" si="26"/>
        <v>0</v>
      </c>
      <c r="V177" s="42">
        <f t="shared" si="27"/>
        <v>-1</v>
      </c>
      <c r="W177" s="42">
        <f t="shared" si="28"/>
        <v>1</v>
      </c>
      <c r="Y177" s="28">
        <v>169</v>
      </c>
    </row>
    <row r="178" spans="1:25" s="28" customFormat="1" ht="73.5" customHeight="1" x14ac:dyDescent="0.2">
      <c r="A178" s="30">
        <v>174</v>
      </c>
      <c r="B178" s="31" t="s">
        <v>260</v>
      </c>
      <c r="C178" s="32" t="s">
        <v>45</v>
      </c>
      <c r="D178" s="33">
        <v>3</v>
      </c>
      <c r="E178" s="34">
        <v>124.67</v>
      </c>
      <c r="F178" s="35">
        <v>395.42</v>
      </c>
      <c r="G178" s="32" t="s">
        <v>261</v>
      </c>
      <c r="H178" s="37">
        <f>460/1.2</f>
        <v>383.33333333333337</v>
      </c>
      <c r="I178" s="38">
        <f t="shared" si="29"/>
        <v>1150</v>
      </c>
      <c r="J178" s="32" t="s">
        <v>46</v>
      </c>
      <c r="K178" s="37">
        <v>426.92</v>
      </c>
      <c r="L178" s="38">
        <f t="shared" si="21"/>
        <v>1280.76</v>
      </c>
      <c r="M178" s="32" t="s">
        <v>57</v>
      </c>
      <c r="N178" s="37">
        <v>378.8</v>
      </c>
      <c r="O178" s="38">
        <f t="shared" si="22"/>
        <v>1136.4000000000001</v>
      </c>
      <c r="P178" s="39">
        <f t="shared" si="23"/>
        <v>396.35111111111109</v>
      </c>
      <c r="Q178" s="40">
        <f t="shared" si="24"/>
        <v>-0.23492077731303596</v>
      </c>
      <c r="R178" s="39">
        <f t="shared" si="25"/>
        <v>1186.26</v>
      </c>
      <c r="S178" s="41"/>
      <c r="U178" s="42">
        <f t="shared" si="26"/>
        <v>-3</v>
      </c>
      <c r="V178" s="42">
        <f t="shared" si="27"/>
        <v>8</v>
      </c>
      <c r="W178" s="42">
        <f t="shared" si="28"/>
        <v>-4</v>
      </c>
      <c r="Y178" s="28">
        <v>170</v>
      </c>
    </row>
    <row r="179" spans="1:25" s="28" customFormat="1" ht="73.5" customHeight="1" x14ac:dyDescent="0.2">
      <c r="A179" s="30">
        <v>175</v>
      </c>
      <c r="B179" s="31" t="s">
        <v>262</v>
      </c>
      <c r="C179" s="32" t="s">
        <v>45</v>
      </c>
      <c r="D179" s="33">
        <v>26.4</v>
      </c>
      <c r="E179" s="34">
        <v>9491.6200000000008</v>
      </c>
      <c r="F179" s="35">
        <v>12311.49</v>
      </c>
      <c r="G179" s="36" t="s">
        <v>90</v>
      </c>
      <c r="H179" s="37">
        <f>13658.48/1.2</f>
        <v>11382.066666666668</v>
      </c>
      <c r="I179" s="38">
        <f t="shared" si="29"/>
        <v>300486.56</v>
      </c>
      <c r="J179" s="32" t="s">
        <v>46</v>
      </c>
      <c r="K179" s="37">
        <v>13004.1</v>
      </c>
      <c r="L179" s="38">
        <f t="shared" si="21"/>
        <v>343308.24</v>
      </c>
      <c r="M179" s="32" t="s">
        <v>58</v>
      </c>
      <c r="N179" s="37">
        <v>12560.4</v>
      </c>
      <c r="O179" s="38">
        <f t="shared" si="22"/>
        <v>331594.56</v>
      </c>
      <c r="P179" s="39">
        <f t="shared" si="23"/>
        <v>12315.522222222222</v>
      </c>
      <c r="Q179" s="40">
        <f t="shared" si="24"/>
        <v>-3.2740976383010434E-2</v>
      </c>
      <c r="R179" s="39">
        <f t="shared" si="25"/>
        <v>325023.33599999995</v>
      </c>
      <c r="S179" s="41"/>
      <c r="U179" s="42">
        <f t="shared" si="26"/>
        <v>-8</v>
      </c>
      <c r="V179" s="42">
        <f t="shared" si="27"/>
        <v>6</v>
      </c>
      <c r="W179" s="42">
        <f t="shared" si="28"/>
        <v>2</v>
      </c>
      <c r="Y179" s="28">
        <v>171</v>
      </c>
    </row>
    <row r="180" spans="1:25" s="28" customFormat="1" ht="73.5" customHeight="1" x14ac:dyDescent="0.2">
      <c r="A180" s="30">
        <v>176</v>
      </c>
      <c r="B180" s="31" t="s">
        <v>263</v>
      </c>
      <c r="C180" s="32" t="s">
        <v>25</v>
      </c>
      <c r="D180" s="33">
        <v>69</v>
      </c>
      <c r="E180" s="34" t="s">
        <v>26</v>
      </c>
      <c r="F180" s="35">
        <v>1431.87</v>
      </c>
      <c r="G180" s="32" t="s">
        <v>27</v>
      </c>
      <c r="H180" s="37">
        <f>1609.9/1.2</f>
        <v>1341.5833333333335</v>
      </c>
      <c r="I180" s="38">
        <f t="shared" si="29"/>
        <v>92569.250000000015</v>
      </c>
      <c r="J180" s="38" t="s">
        <v>28</v>
      </c>
      <c r="K180" s="37">
        <f>1748.87/1.2</f>
        <v>1457.3916666666667</v>
      </c>
      <c r="L180" s="38">
        <f t="shared" si="21"/>
        <v>100560.02499999999</v>
      </c>
      <c r="M180" s="38" t="s">
        <v>29</v>
      </c>
      <c r="N180" s="37">
        <v>1503.09</v>
      </c>
      <c r="O180" s="38">
        <f t="shared" si="22"/>
        <v>103713.20999999999</v>
      </c>
      <c r="P180" s="39">
        <f t="shared" si="23"/>
        <v>1434.0216666666668</v>
      </c>
      <c r="Q180" s="40">
        <f t="shared" si="24"/>
        <v>-0.15004422294875042</v>
      </c>
      <c r="R180" s="39">
        <f t="shared" si="25"/>
        <v>98799.03</v>
      </c>
      <c r="S180" s="41"/>
      <c r="U180" s="42">
        <f t="shared" si="26"/>
        <v>-6</v>
      </c>
      <c r="V180" s="42">
        <f t="shared" si="27"/>
        <v>2</v>
      </c>
      <c r="W180" s="42">
        <f t="shared" si="28"/>
        <v>5</v>
      </c>
      <c r="Y180" s="28">
        <v>172</v>
      </c>
    </row>
    <row r="181" spans="1:25" s="28" customFormat="1" ht="73.5" customHeight="1" x14ac:dyDescent="0.2">
      <c r="A181" s="30">
        <v>177</v>
      </c>
      <c r="B181" s="31" t="s">
        <v>264</v>
      </c>
      <c r="C181" s="32" t="s">
        <v>25</v>
      </c>
      <c r="D181" s="33">
        <v>78</v>
      </c>
      <c r="E181" s="34">
        <v>28.31</v>
      </c>
      <c r="F181" s="35">
        <v>40.01</v>
      </c>
      <c r="G181" s="32" t="s">
        <v>27</v>
      </c>
      <c r="H181" s="37">
        <f>45.64/1.2</f>
        <v>38.033333333333339</v>
      </c>
      <c r="I181" s="38">
        <f t="shared" si="29"/>
        <v>2966.6000000000004</v>
      </c>
      <c r="J181" s="38" t="s">
        <v>28</v>
      </c>
      <c r="K181" s="37">
        <f>44.54/1.2</f>
        <v>37.116666666666667</v>
      </c>
      <c r="L181" s="38">
        <f t="shared" si="21"/>
        <v>2895.1</v>
      </c>
      <c r="M181" s="38" t="s">
        <v>29</v>
      </c>
      <c r="N181" s="37">
        <v>45.47</v>
      </c>
      <c r="O181" s="38">
        <f t="shared" si="22"/>
        <v>3546.66</v>
      </c>
      <c r="P181" s="39">
        <f t="shared" si="23"/>
        <v>40.206666666666671</v>
      </c>
      <c r="Q181" s="40">
        <f t="shared" si="24"/>
        <v>-0.48913944619467031</v>
      </c>
      <c r="R181" s="39">
        <f t="shared" si="25"/>
        <v>3120.7799999999997</v>
      </c>
      <c r="S181" s="41"/>
      <c r="U181" s="42">
        <f t="shared" si="26"/>
        <v>-5</v>
      </c>
      <c r="V181" s="42">
        <f t="shared" si="27"/>
        <v>-8</v>
      </c>
      <c r="W181" s="42">
        <f t="shared" si="28"/>
        <v>13</v>
      </c>
      <c r="Y181" s="28">
        <v>173</v>
      </c>
    </row>
    <row r="182" spans="1:25" s="28" customFormat="1" ht="73.5" customHeight="1" x14ac:dyDescent="0.2">
      <c r="A182" s="30">
        <v>178</v>
      </c>
      <c r="B182" s="31" t="s">
        <v>265</v>
      </c>
      <c r="C182" s="32" t="s">
        <v>25</v>
      </c>
      <c r="D182" s="33">
        <v>1</v>
      </c>
      <c r="E182" s="34">
        <v>451.72</v>
      </c>
      <c r="F182" s="35">
        <v>539.74</v>
      </c>
      <c r="G182" s="32" t="s">
        <v>27</v>
      </c>
      <c r="H182" s="37">
        <f>628.74/1.2</f>
        <v>523.95000000000005</v>
      </c>
      <c r="I182" s="38">
        <f t="shared" si="29"/>
        <v>523.95000000000005</v>
      </c>
      <c r="J182" s="38" t="s">
        <v>28</v>
      </c>
      <c r="K182" s="37">
        <f>697.44/1.2</f>
        <v>581.20000000000005</v>
      </c>
      <c r="L182" s="38">
        <f t="shared" si="21"/>
        <v>581.20000000000005</v>
      </c>
      <c r="M182" s="38" t="s">
        <v>29</v>
      </c>
      <c r="N182" s="37">
        <v>520.80999999999995</v>
      </c>
      <c r="O182" s="38">
        <f t="shared" si="22"/>
        <v>520.80999999999995</v>
      </c>
      <c r="P182" s="39">
        <f t="shared" si="23"/>
        <v>541.98666666666668</v>
      </c>
      <c r="Q182" s="40">
        <f t="shared" si="24"/>
        <v>-0.41452434254225068</v>
      </c>
      <c r="R182" s="39">
        <f t="shared" si="25"/>
        <v>539.74</v>
      </c>
      <c r="S182" s="41"/>
      <c r="U182" s="42">
        <f t="shared" si="26"/>
        <v>-3</v>
      </c>
      <c r="V182" s="42">
        <f t="shared" si="27"/>
        <v>7</v>
      </c>
      <c r="W182" s="42">
        <f t="shared" si="28"/>
        <v>-4</v>
      </c>
      <c r="Y182" s="28">
        <v>174</v>
      </c>
    </row>
    <row r="183" spans="1:25" s="28" customFormat="1" ht="73.5" customHeight="1" x14ac:dyDescent="0.2">
      <c r="A183" s="30">
        <v>179</v>
      </c>
      <c r="B183" s="31" t="s">
        <v>266</v>
      </c>
      <c r="C183" s="32" t="s">
        <v>25</v>
      </c>
      <c r="D183" s="33">
        <v>100</v>
      </c>
      <c r="E183" s="34">
        <v>0.89</v>
      </c>
      <c r="F183" s="35">
        <v>1.28</v>
      </c>
      <c r="G183" s="32" t="s">
        <v>27</v>
      </c>
      <c r="H183" s="37">
        <f>62.47/50/1.2</f>
        <v>1.0411666666666668</v>
      </c>
      <c r="I183" s="38">
        <f t="shared" si="29"/>
        <v>104.11666666666667</v>
      </c>
      <c r="J183" s="38" t="s">
        <v>28</v>
      </c>
      <c r="K183" s="37">
        <f>1.66/1.2</f>
        <v>1.3833333333333333</v>
      </c>
      <c r="L183" s="38">
        <f t="shared" si="21"/>
        <v>138.33333333333334</v>
      </c>
      <c r="M183" s="38" t="s">
        <v>29</v>
      </c>
      <c r="N183" s="37">
        <v>1.46</v>
      </c>
      <c r="O183" s="38">
        <f t="shared" si="22"/>
        <v>146</v>
      </c>
      <c r="P183" s="39">
        <f t="shared" si="23"/>
        <v>1.2948333333333333</v>
      </c>
      <c r="Q183" s="40">
        <f t="shared" si="24"/>
        <v>-1.1455785815420256</v>
      </c>
      <c r="R183" s="39">
        <f t="shared" si="25"/>
        <v>128</v>
      </c>
      <c r="S183" s="41"/>
      <c r="U183" s="42">
        <f t="shared" si="26"/>
        <v>-20</v>
      </c>
      <c r="V183" s="42">
        <f t="shared" si="27"/>
        <v>7</v>
      </c>
      <c r="W183" s="42">
        <f t="shared" si="28"/>
        <v>13</v>
      </c>
      <c r="Y183" s="28">
        <v>175</v>
      </c>
    </row>
    <row r="184" spans="1:25" s="28" customFormat="1" ht="73.5" customHeight="1" x14ac:dyDescent="0.2">
      <c r="A184" s="30">
        <v>180</v>
      </c>
      <c r="B184" s="31" t="s">
        <v>267</v>
      </c>
      <c r="C184" s="32" t="s">
        <v>25</v>
      </c>
      <c r="D184" s="33">
        <v>26</v>
      </c>
      <c r="E184" s="34" t="s">
        <v>26</v>
      </c>
      <c r="F184" s="35">
        <v>22.15</v>
      </c>
      <c r="G184" s="32" t="s">
        <v>27</v>
      </c>
      <c r="H184" s="37">
        <f>21.83/1.2</f>
        <v>18.191666666666666</v>
      </c>
      <c r="I184" s="38">
        <f t="shared" si="29"/>
        <v>472.98333333333335</v>
      </c>
      <c r="J184" s="38" t="s">
        <v>28</v>
      </c>
      <c r="K184" s="37">
        <f>27.18/1.2</f>
        <v>22.650000000000002</v>
      </c>
      <c r="L184" s="38">
        <f t="shared" si="21"/>
        <v>588.90000000000009</v>
      </c>
      <c r="M184" s="38" t="s">
        <v>29</v>
      </c>
      <c r="N184" s="37">
        <v>26.07</v>
      </c>
      <c r="O184" s="38">
        <f t="shared" si="22"/>
        <v>677.82</v>
      </c>
      <c r="P184" s="39">
        <f t="shared" si="23"/>
        <v>22.303888888888888</v>
      </c>
      <c r="Q184" s="40">
        <f t="shared" si="24"/>
        <v>-0.68996438090019296</v>
      </c>
      <c r="R184" s="39">
        <f t="shared" si="25"/>
        <v>575.9</v>
      </c>
      <c r="S184" s="41"/>
      <c r="U184" s="42">
        <f t="shared" si="26"/>
        <v>-18</v>
      </c>
      <c r="V184" s="42">
        <f t="shared" si="27"/>
        <v>2</v>
      </c>
      <c r="W184" s="42">
        <f t="shared" si="28"/>
        <v>17</v>
      </c>
      <c r="Y184" s="28">
        <v>176</v>
      </c>
    </row>
    <row r="185" spans="1:25" s="28" customFormat="1" ht="73.5" customHeight="1" x14ac:dyDescent="0.2">
      <c r="A185" s="30">
        <v>181</v>
      </c>
      <c r="B185" s="31" t="s">
        <v>268</v>
      </c>
      <c r="C185" s="32" t="s">
        <v>25</v>
      </c>
      <c r="D185" s="33">
        <v>8</v>
      </c>
      <c r="E185" s="34">
        <v>462.83</v>
      </c>
      <c r="F185" s="35">
        <v>569.91</v>
      </c>
      <c r="G185" s="32" t="s">
        <v>57</v>
      </c>
      <c r="H185" s="37">
        <v>518.54</v>
      </c>
      <c r="I185" s="38">
        <f t="shared" si="29"/>
        <v>4148.32</v>
      </c>
      <c r="J185" s="32" t="s">
        <v>46</v>
      </c>
      <c r="K185" s="37">
        <v>554.70000000000005</v>
      </c>
      <c r="L185" s="38">
        <f t="shared" si="21"/>
        <v>4437.6000000000004</v>
      </c>
      <c r="M185" s="38" t="s">
        <v>41</v>
      </c>
      <c r="N185" s="37">
        <v>640.79999999999995</v>
      </c>
      <c r="O185" s="38">
        <f t="shared" si="22"/>
        <v>5126.3999999999996</v>
      </c>
      <c r="P185" s="39">
        <f t="shared" si="23"/>
        <v>571.34666666666669</v>
      </c>
      <c r="Q185" s="40">
        <f t="shared" si="24"/>
        <v>-0.25145270822152099</v>
      </c>
      <c r="R185" s="39">
        <f t="shared" si="25"/>
        <v>4559.28</v>
      </c>
      <c r="S185" s="41"/>
      <c r="U185" s="42">
        <f t="shared" si="26"/>
        <v>-9</v>
      </c>
      <c r="V185" s="42">
        <f t="shared" si="27"/>
        <v>-3</v>
      </c>
      <c r="W185" s="42">
        <f t="shared" si="28"/>
        <v>12</v>
      </c>
      <c r="Y185" s="28">
        <v>177</v>
      </c>
    </row>
    <row r="186" spans="1:25" s="28" customFormat="1" ht="73.5" customHeight="1" x14ac:dyDescent="0.2">
      <c r="A186" s="30">
        <v>182</v>
      </c>
      <c r="B186" s="31" t="s">
        <v>269</v>
      </c>
      <c r="C186" s="32" t="s">
        <v>45</v>
      </c>
      <c r="D186" s="33">
        <v>48</v>
      </c>
      <c r="E186" s="34">
        <v>2917.37</v>
      </c>
      <c r="F186" s="35">
        <v>4556.9399999999996</v>
      </c>
      <c r="G186" s="32" t="s">
        <v>270</v>
      </c>
      <c r="H186" s="37">
        <v>4125</v>
      </c>
      <c r="I186" s="38">
        <f t="shared" si="29"/>
        <v>198000</v>
      </c>
      <c r="J186" s="32" t="s">
        <v>271</v>
      </c>
      <c r="K186" s="37">
        <v>4583.33</v>
      </c>
      <c r="L186" s="38">
        <f t="shared" si="21"/>
        <v>219999.84</v>
      </c>
      <c r="M186" s="32" t="s">
        <v>272</v>
      </c>
      <c r="N186" s="37">
        <v>4970.33</v>
      </c>
      <c r="O186" s="38">
        <f t="shared" si="22"/>
        <v>238575.84</v>
      </c>
      <c r="P186" s="39">
        <f t="shared" si="23"/>
        <v>4559.5533333333333</v>
      </c>
      <c r="Q186" s="40">
        <f t="shared" si="24"/>
        <v>-5.7315555763508996E-2</v>
      </c>
      <c r="R186" s="39">
        <f t="shared" si="25"/>
        <v>218733.12</v>
      </c>
      <c r="S186" s="41"/>
      <c r="U186" s="42">
        <f t="shared" si="26"/>
        <v>-10</v>
      </c>
      <c r="V186" s="42">
        <f t="shared" si="27"/>
        <v>1</v>
      </c>
      <c r="W186" s="42">
        <f t="shared" si="28"/>
        <v>9</v>
      </c>
      <c r="Y186" s="28">
        <v>178</v>
      </c>
    </row>
    <row r="187" spans="1:25" s="28" customFormat="1" ht="73.5" customHeight="1" x14ac:dyDescent="0.2">
      <c r="A187" s="30">
        <v>183</v>
      </c>
      <c r="B187" s="31" t="s">
        <v>273</v>
      </c>
      <c r="C187" s="32" t="s">
        <v>45</v>
      </c>
      <c r="D187" s="33">
        <v>16</v>
      </c>
      <c r="E187" s="34">
        <v>781.69</v>
      </c>
      <c r="F187" s="35">
        <v>1229.54</v>
      </c>
      <c r="G187" s="32" t="s">
        <v>274</v>
      </c>
      <c r="H187" s="37">
        <v>980</v>
      </c>
      <c r="I187" s="38">
        <f t="shared" si="29"/>
        <v>15680</v>
      </c>
      <c r="J187" s="32" t="s">
        <v>275</v>
      </c>
      <c r="K187" s="37">
        <v>1450</v>
      </c>
      <c r="L187" s="38">
        <f t="shared" si="21"/>
        <v>23200</v>
      </c>
      <c r="M187" s="38" t="s">
        <v>41</v>
      </c>
      <c r="N187" s="37">
        <v>1263</v>
      </c>
      <c r="O187" s="38">
        <f t="shared" si="22"/>
        <v>20208</v>
      </c>
      <c r="P187" s="39">
        <f t="shared" si="23"/>
        <v>1231</v>
      </c>
      <c r="Q187" s="40">
        <f t="shared" si="24"/>
        <v>-0.11860276198213171</v>
      </c>
      <c r="R187" s="39">
        <f t="shared" si="25"/>
        <v>19672.64</v>
      </c>
      <c r="S187" s="41"/>
      <c r="U187" s="42">
        <f t="shared" si="26"/>
        <v>-20</v>
      </c>
      <c r="V187" s="42">
        <f t="shared" si="27"/>
        <v>18</v>
      </c>
      <c r="W187" s="42">
        <f t="shared" si="28"/>
        <v>3</v>
      </c>
      <c r="Y187" s="28">
        <v>179</v>
      </c>
    </row>
    <row r="188" spans="1:25" s="28" customFormat="1" ht="73.5" customHeight="1" x14ac:dyDescent="0.2">
      <c r="A188" s="30">
        <v>184</v>
      </c>
      <c r="B188" s="31" t="s">
        <v>276</v>
      </c>
      <c r="C188" s="32" t="s">
        <v>53</v>
      </c>
      <c r="D188" s="33">
        <v>500</v>
      </c>
      <c r="E188" s="34">
        <v>203.84</v>
      </c>
      <c r="F188" s="35">
        <v>482.37</v>
      </c>
      <c r="G188" s="32" t="s">
        <v>277</v>
      </c>
      <c r="H188" s="37">
        <f>625/1.2</f>
        <v>520.83333333333337</v>
      </c>
      <c r="I188" s="38">
        <f t="shared" si="29"/>
        <v>260416.66666666669</v>
      </c>
      <c r="J188" s="32" t="s">
        <v>46</v>
      </c>
      <c r="K188" s="37">
        <v>479</v>
      </c>
      <c r="L188" s="38">
        <f t="shared" si="21"/>
        <v>239500</v>
      </c>
      <c r="M188" s="32" t="s">
        <v>278</v>
      </c>
      <c r="N188" s="37">
        <f>10800/20/1.2</f>
        <v>450</v>
      </c>
      <c r="O188" s="38">
        <f t="shared" si="22"/>
        <v>225000</v>
      </c>
      <c r="P188" s="39">
        <f t="shared" si="23"/>
        <v>483.27777777777783</v>
      </c>
      <c r="Q188" s="40">
        <f t="shared" si="24"/>
        <v>-0.18783768249224408</v>
      </c>
      <c r="R188" s="39">
        <f t="shared" si="25"/>
        <v>241185</v>
      </c>
      <c r="S188" s="41"/>
      <c r="U188" s="42">
        <f t="shared" si="26"/>
        <v>8</v>
      </c>
      <c r="V188" s="42">
        <f t="shared" si="27"/>
        <v>-1</v>
      </c>
      <c r="W188" s="42">
        <f t="shared" si="28"/>
        <v>-7</v>
      </c>
      <c r="Y188" s="28">
        <v>180</v>
      </c>
    </row>
    <row r="189" spans="1:25" s="28" customFormat="1" ht="73.5" customHeight="1" x14ac:dyDescent="0.2">
      <c r="A189" s="30">
        <v>185</v>
      </c>
      <c r="B189" s="31" t="s">
        <v>279</v>
      </c>
      <c r="C189" s="32" t="s">
        <v>45</v>
      </c>
      <c r="D189" s="33" t="s">
        <v>280</v>
      </c>
      <c r="E189" s="34">
        <v>25632.43</v>
      </c>
      <c r="F189" s="35">
        <v>28855.3</v>
      </c>
      <c r="G189" s="32" t="s">
        <v>281</v>
      </c>
      <c r="H189" s="37">
        <f>(1630*1000/50)/1.2</f>
        <v>27166.666666666668</v>
      </c>
      <c r="I189" s="38">
        <f t="shared" si="29"/>
        <v>13583.333333333334</v>
      </c>
      <c r="J189" s="32" t="s">
        <v>58</v>
      </c>
      <c r="K189" s="37">
        <v>30052.39</v>
      </c>
      <c r="L189" s="54">
        <f t="shared" si="21"/>
        <v>15026.195</v>
      </c>
      <c r="M189" s="38" t="s">
        <v>29</v>
      </c>
      <c r="N189" s="37">
        <v>29361.09</v>
      </c>
      <c r="O189" s="38">
        <f t="shared" si="22"/>
        <v>14680.545</v>
      </c>
      <c r="P189" s="39">
        <f t="shared" si="23"/>
        <v>28860.04888888889</v>
      </c>
      <c r="Q189" s="40">
        <f t="shared" si="24"/>
        <v>-1.6454888580312854E-2</v>
      </c>
      <c r="R189" s="39">
        <f t="shared" si="25"/>
        <v>14427.65</v>
      </c>
      <c r="S189" s="41"/>
      <c r="U189" s="42">
        <f t="shared" si="26"/>
        <v>-6</v>
      </c>
      <c r="V189" s="42">
        <f t="shared" si="27"/>
        <v>4</v>
      </c>
      <c r="W189" s="42">
        <f t="shared" si="28"/>
        <v>2</v>
      </c>
      <c r="Y189" s="28">
        <v>181</v>
      </c>
    </row>
    <row r="190" spans="1:25" s="28" customFormat="1" ht="73.5" customHeight="1" x14ac:dyDescent="0.2">
      <c r="A190" s="30">
        <v>186</v>
      </c>
      <c r="B190" s="31" t="s">
        <v>282</v>
      </c>
      <c r="C190" s="32" t="s">
        <v>25</v>
      </c>
      <c r="D190" s="33">
        <v>10</v>
      </c>
      <c r="E190" s="34">
        <v>114.38</v>
      </c>
      <c r="F190" s="35">
        <v>154.38</v>
      </c>
      <c r="G190" s="32" t="s">
        <v>27</v>
      </c>
      <c r="H190" s="37">
        <f>159.09/1.2</f>
        <v>132.57500000000002</v>
      </c>
      <c r="I190" s="38">
        <f t="shared" si="29"/>
        <v>1325.7500000000002</v>
      </c>
      <c r="J190" s="38" t="s">
        <v>28</v>
      </c>
      <c r="K190" s="37">
        <v>173.53</v>
      </c>
      <c r="L190" s="38">
        <f t="shared" si="21"/>
        <v>1735.3</v>
      </c>
      <c r="M190" s="38" t="s">
        <v>29</v>
      </c>
      <c r="N190" s="37">
        <v>159.82</v>
      </c>
      <c r="O190" s="38">
        <f t="shared" si="22"/>
        <v>1598.1999999999998</v>
      </c>
      <c r="P190" s="39">
        <f t="shared" si="23"/>
        <v>155.30833333333334</v>
      </c>
      <c r="Q190" s="40">
        <f t="shared" si="24"/>
        <v>-0.59773568707410618</v>
      </c>
      <c r="R190" s="39">
        <f t="shared" si="25"/>
        <v>1543.8</v>
      </c>
      <c r="S190" s="41"/>
      <c r="U190" s="42">
        <f t="shared" si="26"/>
        <v>-15</v>
      </c>
      <c r="V190" s="42">
        <f t="shared" si="27"/>
        <v>12</v>
      </c>
      <c r="W190" s="42">
        <f t="shared" si="28"/>
        <v>3</v>
      </c>
      <c r="Y190" s="28">
        <v>182</v>
      </c>
    </row>
    <row r="191" spans="1:25" s="28" customFormat="1" ht="73.5" customHeight="1" x14ac:dyDescent="0.2">
      <c r="A191" s="30">
        <v>187</v>
      </c>
      <c r="B191" s="31" t="s">
        <v>283</v>
      </c>
      <c r="C191" s="32" t="s">
        <v>25</v>
      </c>
      <c r="D191" s="33">
        <v>5</v>
      </c>
      <c r="E191" s="34">
        <v>22.12</v>
      </c>
      <c r="F191" s="35">
        <v>38.659999999999997</v>
      </c>
      <c r="G191" s="32" t="s">
        <v>27</v>
      </c>
      <c r="H191" s="37">
        <f>41.96/1.2</f>
        <v>34.966666666666669</v>
      </c>
      <c r="I191" s="38">
        <f t="shared" si="29"/>
        <v>174.83333333333334</v>
      </c>
      <c r="J191" s="38" t="s">
        <v>28</v>
      </c>
      <c r="K191" s="37">
        <v>40.11</v>
      </c>
      <c r="L191" s="38">
        <f t="shared" si="21"/>
        <v>200.55</v>
      </c>
      <c r="M191" s="38" t="s">
        <v>29</v>
      </c>
      <c r="N191" s="37">
        <v>42.43</v>
      </c>
      <c r="O191" s="38">
        <f t="shared" si="22"/>
        <v>212.15</v>
      </c>
      <c r="P191" s="39">
        <f t="shared" si="23"/>
        <v>39.168888888888887</v>
      </c>
      <c r="Q191" s="40">
        <f t="shared" si="24"/>
        <v>-1.2992170656984001</v>
      </c>
      <c r="R191" s="39">
        <f t="shared" si="25"/>
        <v>193.29999999999998</v>
      </c>
      <c r="S191" s="41"/>
      <c r="U191" s="42">
        <f t="shared" si="26"/>
        <v>-11</v>
      </c>
      <c r="V191" s="42">
        <f t="shared" si="27"/>
        <v>2</v>
      </c>
      <c r="W191" s="42">
        <f t="shared" si="28"/>
        <v>8</v>
      </c>
      <c r="Y191" s="28">
        <v>183</v>
      </c>
    </row>
    <row r="192" spans="1:25" s="28" customFormat="1" ht="73.5" customHeight="1" x14ac:dyDescent="0.2">
      <c r="A192" s="30">
        <v>188</v>
      </c>
      <c r="B192" s="31" t="s">
        <v>284</v>
      </c>
      <c r="C192" s="32" t="s">
        <v>25</v>
      </c>
      <c r="D192" s="33">
        <v>51</v>
      </c>
      <c r="E192" s="34">
        <v>25.74</v>
      </c>
      <c r="F192" s="35">
        <v>37.020000000000003</v>
      </c>
      <c r="G192" s="32" t="s">
        <v>27</v>
      </c>
      <c r="H192" s="37">
        <f>42.95/1.2</f>
        <v>35.791666666666671</v>
      </c>
      <c r="I192" s="38">
        <f t="shared" si="29"/>
        <v>1825.3750000000002</v>
      </c>
      <c r="J192" s="38" t="s">
        <v>28</v>
      </c>
      <c r="K192" s="37">
        <v>42.57</v>
      </c>
      <c r="L192" s="38">
        <f t="shared" si="21"/>
        <v>2171.0700000000002</v>
      </c>
      <c r="M192" s="38" t="s">
        <v>29</v>
      </c>
      <c r="N192" s="37">
        <v>34.21</v>
      </c>
      <c r="O192" s="38">
        <f t="shared" si="22"/>
        <v>1744.71</v>
      </c>
      <c r="P192" s="39">
        <f t="shared" si="23"/>
        <v>37.523888888888898</v>
      </c>
      <c r="Q192" s="40">
        <f t="shared" si="24"/>
        <v>-1.3428482596272175</v>
      </c>
      <c r="R192" s="39">
        <f t="shared" si="25"/>
        <v>1888.0200000000002</v>
      </c>
      <c r="S192" s="41"/>
      <c r="U192" s="42">
        <f t="shared" si="26"/>
        <v>-5</v>
      </c>
      <c r="V192" s="42">
        <f t="shared" si="27"/>
        <v>13</v>
      </c>
      <c r="W192" s="42">
        <f t="shared" si="28"/>
        <v>-9</v>
      </c>
      <c r="Y192" s="28">
        <v>184</v>
      </c>
    </row>
    <row r="193" spans="1:25" s="28" customFormat="1" ht="73.5" customHeight="1" x14ac:dyDescent="0.2">
      <c r="A193" s="30">
        <v>189</v>
      </c>
      <c r="B193" s="31" t="s">
        <v>285</v>
      </c>
      <c r="C193" s="32" t="s">
        <v>25</v>
      </c>
      <c r="D193" s="33">
        <v>65</v>
      </c>
      <c r="E193" s="34">
        <v>113.63</v>
      </c>
      <c r="F193" s="35">
        <v>128.97999999999999</v>
      </c>
      <c r="G193" s="32" t="s">
        <v>27</v>
      </c>
      <c r="H193" s="37">
        <f>152.58/1.2</f>
        <v>127.15000000000002</v>
      </c>
      <c r="I193" s="38">
        <f t="shared" si="29"/>
        <v>8264.7500000000018</v>
      </c>
      <c r="J193" s="38" t="s">
        <v>28</v>
      </c>
      <c r="K193" s="37">
        <v>124.64</v>
      </c>
      <c r="L193" s="38">
        <f t="shared" si="21"/>
        <v>8101.6</v>
      </c>
      <c r="M193" s="38" t="s">
        <v>29</v>
      </c>
      <c r="N193" s="37">
        <v>140.51</v>
      </c>
      <c r="O193" s="38">
        <f t="shared" si="22"/>
        <v>9133.15</v>
      </c>
      <c r="P193" s="39">
        <f t="shared" si="23"/>
        <v>130.76666666666668</v>
      </c>
      <c r="Q193" s="40">
        <f t="shared" si="24"/>
        <v>-1.366301300025512</v>
      </c>
      <c r="R193" s="39">
        <f t="shared" si="25"/>
        <v>8383.6999999999989</v>
      </c>
      <c r="S193" s="41"/>
      <c r="U193" s="42">
        <f t="shared" si="26"/>
        <v>-3</v>
      </c>
      <c r="V193" s="42">
        <f t="shared" si="27"/>
        <v>-5</v>
      </c>
      <c r="W193" s="42">
        <f t="shared" si="28"/>
        <v>7</v>
      </c>
      <c r="Y193" s="28">
        <v>185</v>
      </c>
    </row>
    <row r="194" spans="1:25" s="28" customFormat="1" ht="73.5" customHeight="1" x14ac:dyDescent="0.2">
      <c r="A194" s="30">
        <v>190</v>
      </c>
      <c r="B194" s="31" t="s">
        <v>286</v>
      </c>
      <c r="C194" s="32" t="s">
        <v>25</v>
      </c>
      <c r="D194" s="33">
        <v>17</v>
      </c>
      <c r="E194" s="34">
        <v>815.94</v>
      </c>
      <c r="F194" s="35">
        <v>825.64</v>
      </c>
      <c r="G194" s="32" t="s">
        <v>27</v>
      </c>
      <c r="H194" s="37">
        <f>964.79/1.2</f>
        <v>803.99166666666667</v>
      </c>
      <c r="I194" s="38">
        <f t="shared" si="29"/>
        <v>13667.858333333334</v>
      </c>
      <c r="J194" s="38" t="s">
        <v>28</v>
      </c>
      <c r="K194" s="37">
        <v>800.97</v>
      </c>
      <c r="L194" s="38">
        <f t="shared" si="21"/>
        <v>13616.49</v>
      </c>
      <c r="M194" s="38" t="s">
        <v>29</v>
      </c>
      <c r="N194" s="37">
        <v>877.17</v>
      </c>
      <c r="O194" s="38">
        <f t="shared" si="22"/>
        <v>14911.89</v>
      </c>
      <c r="P194" s="39">
        <f t="shared" si="23"/>
        <v>827.37722222222226</v>
      </c>
      <c r="Q194" s="40">
        <f t="shared" si="24"/>
        <v>-0.20996737347401506</v>
      </c>
      <c r="R194" s="39">
        <f t="shared" si="25"/>
        <v>14035.88</v>
      </c>
      <c r="S194" s="41"/>
      <c r="U194" s="42">
        <f t="shared" si="26"/>
        <v>-3</v>
      </c>
      <c r="V194" s="42">
        <f t="shared" si="27"/>
        <v>-3</v>
      </c>
      <c r="W194" s="42">
        <f t="shared" si="28"/>
        <v>6</v>
      </c>
      <c r="Y194" s="28">
        <v>186</v>
      </c>
    </row>
    <row r="195" spans="1:25" s="28" customFormat="1" ht="73.5" customHeight="1" x14ac:dyDescent="0.2">
      <c r="A195" s="30">
        <v>191</v>
      </c>
      <c r="B195" s="31" t="s">
        <v>287</v>
      </c>
      <c r="C195" s="32" t="s">
        <v>25</v>
      </c>
      <c r="D195" s="33">
        <v>1</v>
      </c>
      <c r="E195" s="34">
        <v>1346.39</v>
      </c>
      <c r="F195" s="35">
        <v>1705.34</v>
      </c>
      <c r="G195" s="32" t="s">
        <v>27</v>
      </c>
      <c r="H195" s="37">
        <f>1922.48/1.2</f>
        <v>1602.0666666666668</v>
      </c>
      <c r="I195" s="38">
        <f t="shared" si="29"/>
        <v>1602.0666666666668</v>
      </c>
      <c r="J195" s="38" t="s">
        <v>28</v>
      </c>
      <c r="K195" s="37">
        <v>1722.42</v>
      </c>
      <c r="L195" s="38">
        <f t="shared" si="21"/>
        <v>1722.42</v>
      </c>
      <c r="M195" s="38" t="s">
        <v>29</v>
      </c>
      <c r="N195" s="37">
        <v>1806.95</v>
      </c>
      <c r="O195" s="38">
        <f t="shared" si="22"/>
        <v>1806.95</v>
      </c>
      <c r="P195" s="39">
        <f t="shared" si="23"/>
        <v>1710.4788888888888</v>
      </c>
      <c r="Q195" s="40">
        <f t="shared" si="24"/>
        <v>-0.30043568045596203</v>
      </c>
      <c r="R195" s="39">
        <f t="shared" si="25"/>
        <v>1705.34</v>
      </c>
      <c r="S195" s="41"/>
      <c r="U195" s="42">
        <f t="shared" si="26"/>
        <v>-6</v>
      </c>
      <c r="V195" s="42">
        <f t="shared" si="27"/>
        <v>1</v>
      </c>
      <c r="W195" s="42">
        <f t="shared" si="28"/>
        <v>6</v>
      </c>
      <c r="Y195" s="28">
        <v>187</v>
      </c>
    </row>
    <row r="196" spans="1:25" s="28" customFormat="1" ht="73.5" customHeight="1" x14ac:dyDescent="0.2">
      <c r="A196" s="30">
        <v>192</v>
      </c>
      <c r="B196" s="31" t="s">
        <v>288</v>
      </c>
      <c r="C196" s="32" t="s">
        <v>25</v>
      </c>
      <c r="D196" s="33">
        <v>1</v>
      </c>
      <c r="E196" s="34">
        <v>229.17</v>
      </c>
      <c r="F196" s="35">
        <v>246.37</v>
      </c>
      <c r="G196" s="32" t="s">
        <v>27</v>
      </c>
      <c r="H196" s="37">
        <f>272.92/1.2</f>
        <v>227.43333333333337</v>
      </c>
      <c r="I196" s="38">
        <f t="shared" ref="I196:I224" si="30">D196*H196</f>
        <v>227.43333333333337</v>
      </c>
      <c r="J196" s="38" t="s">
        <v>28</v>
      </c>
      <c r="K196" s="37">
        <v>218.37</v>
      </c>
      <c r="L196" s="38">
        <f t="shared" si="21"/>
        <v>218.37</v>
      </c>
      <c r="M196" s="38" t="s">
        <v>29</v>
      </c>
      <c r="N196" s="37">
        <v>299.05</v>
      </c>
      <c r="O196" s="38">
        <f t="shared" si="22"/>
        <v>299.05</v>
      </c>
      <c r="P196" s="39">
        <f t="shared" si="23"/>
        <v>248.28444444444449</v>
      </c>
      <c r="Q196" s="40">
        <f t="shared" si="24"/>
        <v>-0.77106902477447647</v>
      </c>
      <c r="R196" s="39">
        <f t="shared" si="25"/>
        <v>246.37</v>
      </c>
      <c r="S196" s="41"/>
      <c r="U196" s="42">
        <f t="shared" si="26"/>
        <v>-8</v>
      </c>
      <c r="V196" s="42">
        <f t="shared" si="27"/>
        <v>-12</v>
      </c>
      <c r="W196" s="42">
        <f t="shared" si="28"/>
        <v>20</v>
      </c>
      <c r="Y196" s="28">
        <v>188</v>
      </c>
    </row>
    <row r="197" spans="1:25" s="28" customFormat="1" ht="73.5" customHeight="1" x14ac:dyDescent="0.2">
      <c r="A197" s="30">
        <v>193</v>
      </c>
      <c r="B197" s="31" t="s">
        <v>289</v>
      </c>
      <c r="C197" s="32" t="s">
        <v>25</v>
      </c>
      <c r="D197" s="33">
        <v>36</v>
      </c>
      <c r="E197" s="34">
        <v>35.54</v>
      </c>
      <c r="F197" s="35">
        <v>39.04</v>
      </c>
      <c r="G197" s="32" t="s">
        <v>27</v>
      </c>
      <c r="H197" s="37">
        <f>42.98/1.2</f>
        <v>35.816666666666663</v>
      </c>
      <c r="I197" s="38">
        <f t="shared" si="30"/>
        <v>1289.3999999999999</v>
      </c>
      <c r="J197" s="38" t="s">
        <v>28</v>
      </c>
      <c r="K197" s="37">
        <v>44.2</v>
      </c>
      <c r="L197" s="38">
        <f t="shared" si="21"/>
        <v>1591.2</v>
      </c>
      <c r="M197" s="38" t="s">
        <v>29</v>
      </c>
      <c r="N197" s="37">
        <v>38.46</v>
      </c>
      <c r="O197" s="38">
        <f t="shared" si="22"/>
        <v>1384.56</v>
      </c>
      <c r="P197" s="39">
        <f t="shared" si="23"/>
        <v>39.492222222222217</v>
      </c>
      <c r="Q197" s="40">
        <f t="shared" si="24"/>
        <v>-1.1450918605632552</v>
      </c>
      <c r="R197" s="39">
        <f t="shared" si="25"/>
        <v>1405.44</v>
      </c>
      <c r="S197" s="41"/>
      <c r="U197" s="42">
        <f t="shared" si="26"/>
        <v>-9</v>
      </c>
      <c r="V197" s="42">
        <f t="shared" si="27"/>
        <v>12</v>
      </c>
      <c r="W197" s="42">
        <f t="shared" si="28"/>
        <v>-3</v>
      </c>
      <c r="Y197" s="28">
        <v>189</v>
      </c>
    </row>
    <row r="198" spans="1:25" s="28" customFormat="1" ht="73.5" customHeight="1" x14ac:dyDescent="0.2">
      <c r="A198" s="30">
        <v>194</v>
      </c>
      <c r="B198" s="31" t="s">
        <v>290</v>
      </c>
      <c r="C198" s="32" t="s">
        <v>45</v>
      </c>
      <c r="D198" s="33">
        <v>8</v>
      </c>
      <c r="E198" s="34">
        <v>544.47</v>
      </c>
      <c r="F198" s="35">
        <v>592.47</v>
      </c>
      <c r="G198" s="32" t="s">
        <v>56</v>
      </c>
      <c r="H198" s="37">
        <v>597.5</v>
      </c>
      <c r="I198" s="38">
        <f t="shared" si="30"/>
        <v>4780</v>
      </c>
      <c r="J198" s="38" t="s">
        <v>57</v>
      </c>
      <c r="K198" s="37">
        <v>549.78</v>
      </c>
      <c r="L198" s="38">
        <f t="shared" si="21"/>
        <v>4398.24</v>
      </c>
      <c r="M198" s="32" t="s">
        <v>58</v>
      </c>
      <c r="N198" s="37">
        <v>634.45000000000005</v>
      </c>
      <c r="O198" s="38">
        <f t="shared" si="22"/>
        <v>5075.6000000000004</v>
      </c>
      <c r="P198" s="39">
        <f t="shared" si="23"/>
        <v>593.91</v>
      </c>
      <c r="Q198" s="40">
        <f t="shared" si="24"/>
        <v>-0.24246097893619378</v>
      </c>
      <c r="R198" s="39">
        <f t="shared" si="25"/>
        <v>4739.76</v>
      </c>
      <c r="S198" s="41"/>
      <c r="U198" s="42">
        <f t="shared" si="26"/>
        <v>1</v>
      </c>
      <c r="V198" s="42">
        <f t="shared" si="27"/>
        <v>-7</v>
      </c>
      <c r="W198" s="42">
        <f t="shared" si="28"/>
        <v>7</v>
      </c>
      <c r="Y198" s="28">
        <v>190</v>
      </c>
    </row>
    <row r="199" spans="1:25" s="28" customFormat="1" ht="73.5" customHeight="1" x14ac:dyDescent="0.2">
      <c r="A199" s="30">
        <v>195</v>
      </c>
      <c r="B199" s="31" t="s">
        <v>291</v>
      </c>
      <c r="C199" s="32" t="s">
        <v>292</v>
      </c>
      <c r="D199" s="33">
        <v>532</v>
      </c>
      <c r="E199" s="34">
        <v>43.24</v>
      </c>
      <c r="F199" s="35">
        <v>53.08</v>
      </c>
      <c r="G199" s="36" t="s">
        <v>90</v>
      </c>
      <c r="H199" s="37">
        <f>61.72/1.2</f>
        <v>51.433333333333337</v>
      </c>
      <c r="I199" s="38">
        <f t="shared" si="30"/>
        <v>27362.533333333336</v>
      </c>
      <c r="J199" s="36" t="s">
        <v>46</v>
      </c>
      <c r="K199" s="37">
        <v>55.09</v>
      </c>
      <c r="L199" s="38">
        <f t="shared" si="21"/>
        <v>29307.88</v>
      </c>
      <c r="M199" s="32" t="s">
        <v>58</v>
      </c>
      <c r="N199" s="37">
        <v>53.87</v>
      </c>
      <c r="O199" s="38">
        <f t="shared" si="22"/>
        <v>28658.84</v>
      </c>
      <c r="P199" s="39">
        <f t="shared" si="23"/>
        <v>53.464444444444446</v>
      </c>
      <c r="Q199" s="40">
        <f t="shared" si="24"/>
        <v>-0.71906563032545989</v>
      </c>
      <c r="R199" s="39">
        <f t="shared" si="25"/>
        <v>28238.559999999998</v>
      </c>
      <c r="S199" s="41"/>
      <c r="U199" s="42">
        <f t="shared" si="26"/>
        <v>-4</v>
      </c>
      <c r="V199" s="42">
        <f t="shared" si="27"/>
        <v>3</v>
      </c>
      <c r="W199" s="42">
        <f t="shared" si="28"/>
        <v>1</v>
      </c>
      <c r="Y199" s="28">
        <v>191</v>
      </c>
    </row>
    <row r="200" spans="1:25" s="28" customFormat="1" ht="73.5" customHeight="1" x14ac:dyDescent="0.2">
      <c r="A200" s="30">
        <v>196</v>
      </c>
      <c r="B200" s="31" t="s">
        <v>293</v>
      </c>
      <c r="C200" s="32" t="s">
        <v>25</v>
      </c>
      <c r="D200" s="33">
        <v>8</v>
      </c>
      <c r="E200" s="34">
        <v>357</v>
      </c>
      <c r="F200" s="35">
        <v>394.7</v>
      </c>
      <c r="G200" s="32" t="s">
        <v>294</v>
      </c>
      <c r="H200" s="37">
        <v>357.28</v>
      </c>
      <c r="I200" s="38">
        <f t="shared" si="30"/>
        <v>2858.24</v>
      </c>
      <c r="J200" s="32" t="s">
        <v>295</v>
      </c>
      <c r="K200" s="37">
        <v>380</v>
      </c>
      <c r="L200" s="38">
        <f t="shared" si="21"/>
        <v>3040</v>
      </c>
      <c r="M200" s="38" t="s">
        <v>41</v>
      </c>
      <c r="N200" s="37">
        <v>450.14</v>
      </c>
      <c r="O200" s="38">
        <f t="shared" si="22"/>
        <v>3601.12</v>
      </c>
      <c r="P200" s="39">
        <f t="shared" si="23"/>
        <v>395.80666666666667</v>
      </c>
      <c r="Q200" s="40">
        <f t="shared" si="24"/>
        <v>-0.27959778342962238</v>
      </c>
      <c r="R200" s="39">
        <f t="shared" si="25"/>
        <v>3157.6</v>
      </c>
      <c r="S200" s="41"/>
      <c r="U200" s="42">
        <f t="shared" si="26"/>
        <v>-10</v>
      </c>
      <c r="V200" s="42">
        <f t="shared" si="27"/>
        <v>-4</v>
      </c>
      <c r="W200" s="42">
        <f t="shared" si="28"/>
        <v>14</v>
      </c>
      <c r="Y200" s="28">
        <v>192</v>
      </c>
    </row>
    <row r="201" spans="1:25" s="28" customFormat="1" ht="73.5" customHeight="1" x14ac:dyDescent="0.2">
      <c r="A201" s="30">
        <v>197</v>
      </c>
      <c r="B201" s="31" t="s">
        <v>296</v>
      </c>
      <c r="C201" s="32" t="s">
        <v>25</v>
      </c>
      <c r="D201" s="33">
        <v>28</v>
      </c>
      <c r="E201" s="34" t="s">
        <v>26</v>
      </c>
      <c r="F201" s="35">
        <v>402.64</v>
      </c>
      <c r="G201" s="32" t="s">
        <v>294</v>
      </c>
      <c r="H201" s="37">
        <v>395.38</v>
      </c>
      <c r="I201" s="38">
        <f t="shared" si="30"/>
        <v>11070.64</v>
      </c>
      <c r="J201" s="32" t="s">
        <v>295</v>
      </c>
      <c r="K201" s="37">
        <v>395</v>
      </c>
      <c r="L201" s="38">
        <f t="shared" si="21"/>
        <v>11060</v>
      </c>
      <c r="M201" s="38" t="s">
        <v>41</v>
      </c>
      <c r="N201" s="37">
        <v>420.11</v>
      </c>
      <c r="O201" s="38">
        <f t="shared" si="22"/>
        <v>11763.08</v>
      </c>
      <c r="P201" s="39">
        <f t="shared" si="23"/>
        <v>403.49666666666667</v>
      </c>
      <c r="Q201" s="40">
        <f t="shared" si="24"/>
        <v>-0.21231071714760219</v>
      </c>
      <c r="R201" s="39">
        <f t="shared" si="25"/>
        <v>11273.92</v>
      </c>
      <c r="S201" s="41"/>
      <c r="U201" s="42">
        <f t="shared" si="26"/>
        <v>-2</v>
      </c>
      <c r="V201" s="42">
        <f t="shared" si="27"/>
        <v>-2</v>
      </c>
      <c r="W201" s="42">
        <f t="shared" si="28"/>
        <v>4</v>
      </c>
      <c r="Y201" s="28">
        <v>193</v>
      </c>
    </row>
    <row r="202" spans="1:25" s="28" customFormat="1" ht="73.5" customHeight="1" x14ac:dyDescent="0.2">
      <c r="A202" s="30">
        <v>198</v>
      </c>
      <c r="B202" s="31" t="s">
        <v>297</v>
      </c>
      <c r="C202" s="32" t="s">
        <v>25</v>
      </c>
      <c r="D202" s="33">
        <v>2</v>
      </c>
      <c r="E202" s="34">
        <v>961.21</v>
      </c>
      <c r="F202" s="35">
        <v>990.1</v>
      </c>
      <c r="G202" s="32" t="s">
        <v>294</v>
      </c>
      <c r="H202" s="37">
        <v>984.06</v>
      </c>
      <c r="I202" s="38">
        <f t="shared" si="30"/>
        <v>1968.12</v>
      </c>
      <c r="J202" s="32" t="s">
        <v>295</v>
      </c>
      <c r="K202" s="37">
        <v>956</v>
      </c>
      <c r="L202" s="38">
        <f t="shared" si="21"/>
        <v>1912</v>
      </c>
      <c r="M202" s="38" t="s">
        <v>41</v>
      </c>
      <c r="N202" s="37">
        <v>1040.46</v>
      </c>
      <c r="O202" s="38">
        <f t="shared" si="22"/>
        <v>2080.92</v>
      </c>
      <c r="P202" s="39">
        <f t="shared" si="23"/>
        <v>993.50666666666666</v>
      </c>
      <c r="Q202" s="40">
        <f t="shared" si="24"/>
        <v>-0.34289318642385069</v>
      </c>
      <c r="R202" s="39">
        <f t="shared" si="25"/>
        <v>1980.2</v>
      </c>
      <c r="S202" s="41"/>
      <c r="U202" s="42">
        <f t="shared" si="26"/>
        <v>-1</v>
      </c>
      <c r="V202" s="42">
        <f t="shared" si="27"/>
        <v>-4</v>
      </c>
      <c r="W202" s="42">
        <f t="shared" si="28"/>
        <v>5</v>
      </c>
      <c r="Y202" s="28">
        <v>194</v>
      </c>
    </row>
    <row r="203" spans="1:25" s="28" customFormat="1" ht="73.5" customHeight="1" x14ac:dyDescent="0.2">
      <c r="A203" s="30">
        <v>199</v>
      </c>
      <c r="B203" s="31" t="s">
        <v>298</v>
      </c>
      <c r="C203" s="32" t="s">
        <v>25</v>
      </c>
      <c r="D203" s="33">
        <v>8</v>
      </c>
      <c r="E203" s="34">
        <v>462.54</v>
      </c>
      <c r="F203" s="35">
        <v>487.56</v>
      </c>
      <c r="G203" s="32" t="s">
        <v>294</v>
      </c>
      <c r="H203" s="37">
        <v>465.05</v>
      </c>
      <c r="I203" s="38">
        <f t="shared" si="30"/>
        <v>3720.4</v>
      </c>
      <c r="J203" s="32" t="s">
        <v>295</v>
      </c>
      <c r="K203" s="37">
        <v>482</v>
      </c>
      <c r="L203" s="38">
        <f t="shared" si="21"/>
        <v>3856</v>
      </c>
      <c r="M203" s="38" t="s">
        <v>41</v>
      </c>
      <c r="N203" s="37">
        <v>521.12</v>
      </c>
      <c r="O203" s="38">
        <f t="shared" si="22"/>
        <v>4168.96</v>
      </c>
      <c r="P203" s="39">
        <f t="shared" si="23"/>
        <v>489.39000000000004</v>
      </c>
      <c r="Q203" s="40">
        <f t="shared" si="24"/>
        <v>-0.37393489854717643</v>
      </c>
      <c r="R203" s="39">
        <f t="shared" si="25"/>
        <v>3900.48</v>
      </c>
      <c r="S203" s="41"/>
      <c r="U203" s="42">
        <f t="shared" si="26"/>
        <v>-5</v>
      </c>
      <c r="V203" s="42">
        <f t="shared" si="27"/>
        <v>-2</v>
      </c>
      <c r="W203" s="42">
        <f t="shared" si="28"/>
        <v>6</v>
      </c>
      <c r="Y203" s="28">
        <v>195</v>
      </c>
    </row>
    <row r="204" spans="1:25" s="28" customFormat="1" ht="73.5" customHeight="1" x14ac:dyDescent="0.2">
      <c r="A204" s="30">
        <v>200</v>
      </c>
      <c r="B204" s="31" t="s">
        <v>299</v>
      </c>
      <c r="C204" s="32" t="s">
        <v>25</v>
      </c>
      <c r="D204" s="33">
        <v>10</v>
      </c>
      <c r="E204" s="34">
        <v>607.75</v>
      </c>
      <c r="F204" s="35">
        <v>578.79999999999995</v>
      </c>
      <c r="G204" s="32" t="s">
        <v>294</v>
      </c>
      <c r="H204" s="37">
        <v>557.80999999999995</v>
      </c>
      <c r="I204" s="38">
        <f t="shared" si="30"/>
        <v>5578.0999999999995</v>
      </c>
      <c r="J204" s="32" t="s">
        <v>295</v>
      </c>
      <c r="K204" s="37">
        <v>560</v>
      </c>
      <c r="L204" s="38">
        <f t="shared" ref="L204:L267" si="31">D204*K204</f>
        <v>5600</v>
      </c>
      <c r="M204" s="38" t="s">
        <v>41</v>
      </c>
      <c r="N204" s="37">
        <v>620.64</v>
      </c>
      <c r="O204" s="38">
        <f t="shared" ref="O204:O267" si="32">D204*N204</f>
        <v>6206.4</v>
      </c>
      <c r="P204" s="39">
        <f t="shared" ref="P204:P267" si="33">AVERAGE(H204,K204,N204)</f>
        <v>579.48333333333323</v>
      </c>
      <c r="Q204" s="40">
        <f t="shared" ref="Q204:Q267" si="34">F204*100/P204-100</f>
        <v>-0.1179211366447106</v>
      </c>
      <c r="R204" s="39">
        <f t="shared" ref="R204:R267" si="35">D204*F204</f>
        <v>5788</v>
      </c>
      <c r="S204" s="41"/>
      <c r="U204" s="42">
        <f t="shared" ref="U204:U267" si="36">ROUND(H204*100/P204-100,0)</f>
        <v>-4</v>
      </c>
      <c r="V204" s="42">
        <f t="shared" ref="V204:V267" si="37">ROUND(K204*100/P204-100,0)</f>
        <v>-3</v>
      </c>
      <c r="W204" s="42">
        <f t="shared" ref="W204:W267" si="38">ROUND(N204*100/P204-100,0)</f>
        <v>7</v>
      </c>
      <c r="Y204" s="28">
        <v>196</v>
      </c>
    </row>
    <row r="205" spans="1:25" s="28" customFormat="1" ht="73.5" customHeight="1" x14ac:dyDescent="0.2">
      <c r="A205" s="30">
        <v>201</v>
      </c>
      <c r="B205" s="31" t="s">
        <v>300</v>
      </c>
      <c r="C205" s="32" t="s">
        <v>25</v>
      </c>
      <c r="D205" s="33">
        <v>46</v>
      </c>
      <c r="E205" s="34">
        <v>767.13</v>
      </c>
      <c r="F205" s="35">
        <v>841.2</v>
      </c>
      <c r="G205" s="32" t="s">
        <v>294</v>
      </c>
      <c r="H205" s="37">
        <v>766.01</v>
      </c>
      <c r="I205" s="38">
        <f t="shared" si="30"/>
        <v>35236.46</v>
      </c>
      <c r="J205" s="32" t="s">
        <v>295</v>
      </c>
      <c r="K205" s="37">
        <v>840</v>
      </c>
      <c r="L205" s="38">
        <f t="shared" si="31"/>
        <v>38640</v>
      </c>
      <c r="M205" s="38" t="s">
        <v>41</v>
      </c>
      <c r="N205" s="37">
        <v>921.5</v>
      </c>
      <c r="O205" s="38">
        <f t="shared" si="32"/>
        <v>42389</v>
      </c>
      <c r="P205" s="39">
        <f t="shared" si="33"/>
        <v>842.50333333333344</v>
      </c>
      <c r="Q205" s="40">
        <f t="shared" si="34"/>
        <v>-0.15469770643836966</v>
      </c>
      <c r="R205" s="39">
        <f t="shared" si="35"/>
        <v>38695.200000000004</v>
      </c>
      <c r="S205" s="41"/>
      <c r="U205" s="42">
        <f t="shared" si="36"/>
        <v>-9</v>
      </c>
      <c r="V205" s="42">
        <f t="shared" si="37"/>
        <v>0</v>
      </c>
      <c r="W205" s="42">
        <f t="shared" si="38"/>
        <v>9</v>
      </c>
      <c r="Y205" s="28">
        <v>197</v>
      </c>
    </row>
    <row r="206" spans="1:25" s="28" customFormat="1" ht="73.5" customHeight="1" x14ac:dyDescent="0.2">
      <c r="A206" s="30">
        <v>202</v>
      </c>
      <c r="B206" s="31" t="s">
        <v>301</v>
      </c>
      <c r="C206" s="32" t="s">
        <v>25</v>
      </c>
      <c r="D206" s="33">
        <v>24</v>
      </c>
      <c r="E206" s="34">
        <v>1027.79</v>
      </c>
      <c r="F206" s="35">
        <v>1017.48</v>
      </c>
      <c r="G206" s="32" t="s">
        <v>294</v>
      </c>
      <c r="H206" s="37">
        <v>995.81</v>
      </c>
      <c r="I206" s="38">
        <f t="shared" si="30"/>
        <v>23899.439999999999</v>
      </c>
      <c r="J206" s="32" t="s">
        <v>295</v>
      </c>
      <c r="K206" s="37">
        <v>960</v>
      </c>
      <c r="L206" s="38">
        <f t="shared" si="31"/>
        <v>23040</v>
      </c>
      <c r="M206" s="38" t="s">
        <v>41</v>
      </c>
      <c r="N206" s="37">
        <v>1102.7</v>
      </c>
      <c r="O206" s="38">
        <f t="shared" si="32"/>
        <v>26464.800000000003</v>
      </c>
      <c r="P206" s="39">
        <f t="shared" si="33"/>
        <v>1019.5033333333334</v>
      </c>
      <c r="Q206" s="40">
        <f t="shared" si="34"/>
        <v>-0.19846265011395303</v>
      </c>
      <c r="R206" s="39">
        <f t="shared" si="35"/>
        <v>24419.52</v>
      </c>
      <c r="S206" s="41"/>
      <c r="U206" s="42">
        <f t="shared" si="36"/>
        <v>-2</v>
      </c>
      <c r="V206" s="42">
        <f t="shared" si="37"/>
        <v>-6</v>
      </c>
      <c r="W206" s="42">
        <f t="shared" si="38"/>
        <v>8</v>
      </c>
      <c r="Y206" s="28">
        <v>198</v>
      </c>
    </row>
    <row r="207" spans="1:25" s="28" customFormat="1" ht="73.5" customHeight="1" x14ac:dyDescent="0.2">
      <c r="A207" s="30">
        <v>203</v>
      </c>
      <c r="B207" s="31" t="s">
        <v>302</v>
      </c>
      <c r="C207" s="32" t="s">
        <v>25</v>
      </c>
      <c r="D207" s="33">
        <v>2</v>
      </c>
      <c r="E207" s="34">
        <v>1904.71</v>
      </c>
      <c r="F207" s="35">
        <v>1897.42</v>
      </c>
      <c r="G207" s="32" t="s">
        <v>294</v>
      </c>
      <c r="H207" s="37">
        <v>1850.62</v>
      </c>
      <c r="I207" s="38">
        <f t="shared" si="30"/>
        <v>3701.24</v>
      </c>
      <c r="J207" s="32" t="s">
        <v>295</v>
      </c>
      <c r="K207" s="37">
        <v>1890</v>
      </c>
      <c r="L207" s="38">
        <f t="shared" si="31"/>
        <v>3780</v>
      </c>
      <c r="M207" s="38" t="s">
        <v>41</v>
      </c>
      <c r="N207" s="37">
        <v>1954.93</v>
      </c>
      <c r="O207" s="38">
        <f t="shared" si="32"/>
        <v>3909.86</v>
      </c>
      <c r="P207" s="39">
        <f t="shared" si="33"/>
        <v>1898.5166666666667</v>
      </c>
      <c r="Q207" s="40">
        <f t="shared" si="34"/>
        <v>-5.7764395010138969E-2</v>
      </c>
      <c r="R207" s="39">
        <f t="shared" si="35"/>
        <v>3794.84</v>
      </c>
      <c r="S207" s="41"/>
      <c r="U207" s="42">
        <f t="shared" si="36"/>
        <v>-3</v>
      </c>
      <c r="V207" s="42">
        <f t="shared" si="37"/>
        <v>0</v>
      </c>
      <c r="W207" s="42">
        <f t="shared" si="38"/>
        <v>3</v>
      </c>
      <c r="Y207" s="28">
        <v>199</v>
      </c>
    </row>
    <row r="208" spans="1:25" s="28" customFormat="1" ht="73.5" customHeight="1" x14ac:dyDescent="0.2">
      <c r="A208" s="30">
        <v>204</v>
      </c>
      <c r="B208" s="31" t="s">
        <v>303</v>
      </c>
      <c r="C208" s="32" t="s">
        <v>25</v>
      </c>
      <c r="D208" s="33">
        <v>26</v>
      </c>
      <c r="E208" s="34">
        <v>2401.25</v>
      </c>
      <c r="F208" s="35">
        <v>2441.2399999999998</v>
      </c>
      <c r="G208" s="32" t="s">
        <v>294</v>
      </c>
      <c r="H208" s="37">
        <v>2411.34</v>
      </c>
      <c r="I208" s="38">
        <f t="shared" si="30"/>
        <v>62694.840000000004</v>
      </c>
      <c r="J208" s="32" t="s">
        <v>295</v>
      </c>
      <c r="K208" s="37">
        <v>2400</v>
      </c>
      <c r="L208" s="38">
        <f t="shared" si="31"/>
        <v>62400</v>
      </c>
      <c r="M208" s="38" t="s">
        <v>41</v>
      </c>
      <c r="N208" s="37">
        <v>2515.5</v>
      </c>
      <c r="O208" s="38">
        <f t="shared" si="32"/>
        <v>65403</v>
      </c>
      <c r="P208" s="39">
        <f t="shared" si="33"/>
        <v>2442.2800000000002</v>
      </c>
      <c r="Q208" s="40">
        <f t="shared" si="34"/>
        <v>-4.2583159998059728E-2</v>
      </c>
      <c r="R208" s="39">
        <f t="shared" si="35"/>
        <v>63472.239999999991</v>
      </c>
      <c r="S208" s="41"/>
      <c r="U208" s="42">
        <f t="shared" si="36"/>
        <v>-1</v>
      </c>
      <c r="V208" s="42">
        <f t="shared" si="37"/>
        <v>-2</v>
      </c>
      <c r="W208" s="42">
        <f t="shared" si="38"/>
        <v>3</v>
      </c>
      <c r="Y208" s="28">
        <v>200</v>
      </c>
    </row>
    <row r="209" spans="1:25" s="28" customFormat="1" ht="73.5" customHeight="1" x14ac:dyDescent="0.2">
      <c r="A209" s="30">
        <v>205</v>
      </c>
      <c r="B209" s="31" t="s">
        <v>304</v>
      </c>
      <c r="C209" s="32" t="s">
        <v>25</v>
      </c>
      <c r="D209" s="33">
        <v>24</v>
      </c>
      <c r="E209" s="34">
        <v>3188.21</v>
      </c>
      <c r="F209" s="35">
        <v>3222.7</v>
      </c>
      <c r="G209" s="32" t="s">
        <v>294</v>
      </c>
      <c r="H209" s="37">
        <v>3132.1</v>
      </c>
      <c r="I209" s="38">
        <f t="shared" si="30"/>
        <v>75170.399999999994</v>
      </c>
      <c r="J209" s="32" t="s">
        <v>295</v>
      </c>
      <c r="K209" s="37">
        <v>3200</v>
      </c>
      <c r="L209" s="38">
        <f t="shared" si="31"/>
        <v>76800</v>
      </c>
      <c r="M209" s="38" t="s">
        <v>41</v>
      </c>
      <c r="N209" s="37">
        <v>3340.7</v>
      </c>
      <c r="O209" s="38">
        <f t="shared" si="32"/>
        <v>80176.799999999988</v>
      </c>
      <c r="P209" s="39">
        <f t="shared" si="33"/>
        <v>3224.2666666666664</v>
      </c>
      <c r="Q209" s="40">
        <f t="shared" si="34"/>
        <v>-4.8589860226613268E-2</v>
      </c>
      <c r="R209" s="39">
        <f t="shared" si="35"/>
        <v>77344.799999999988</v>
      </c>
      <c r="S209" s="41"/>
      <c r="U209" s="42">
        <f t="shared" si="36"/>
        <v>-3</v>
      </c>
      <c r="V209" s="42">
        <f t="shared" si="37"/>
        <v>-1</v>
      </c>
      <c r="W209" s="42">
        <f t="shared" si="38"/>
        <v>4</v>
      </c>
      <c r="Y209" s="28">
        <v>201</v>
      </c>
    </row>
    <row r="210" spans="1:25" s="28" customFormat="1" ht="73.5" customHeight="1" x14ac:dyDescent="0.2">
      <c r="A210" s="30">
        <v>206</v>
      </c>
      <c r="B210" s="31" t="s">
        <v>305</v>
      </c>
      <c r="C210" s="32" t="s">
        <v>25</v>
      </c>
      <c r="D210" s="33">
        <v>2</v>
      </c>
      <c r="E210" s="34">
        <v>5065.29</v>
      </c>
      <c r="F210" s="35">
        <v>5075.3</v>
      </c>
      <c r="G210" s="32" t="s">
        <v>294</v>
      </c>
      <c r="H210" s="37">
        <v>5058.01</v>
      </c>
      <c r="I210" s="38">
        <f t="shared" si="30"/>
        <v>10116.02</v>
      </c>
      <c r="J210" s="32" t="s">
        <v>295</v>
      </c>
      <c r="K210" s="37">
        <v>5070</v>
      </c>
      <c r="L210" s="38">
        <f t="shared" si="31"/>
        <v>10140</v>
      </c>
      <c r="M210" s="38" t="s">
        <v>41</v>
      </c>
      <c r="N210" s="37">
        <v>5108.7700000000004</v>
      </c>
      <c r="O210" s="38">
        <f t="shared" si="32"/>
        <v>10217.540000000001</v>
      </c>
      <c r="P210" s="39">
        <f t="shared" si="33"/>
        <v>5078.9266666666672</v>
      </c>
      <c r="Q210" s="40">
        <f t="shared" si="34"/>
        <v>-7.1406163244475351E-2</v>
      </c>
      <c r="R210" s="39">
        <f t="shared" si="35"/>
        <v>10150.6</v>
      </c>
      <c r="S210" s="41"/>
      <c r="U210" s="42">
        <f t="shared" si="36"/>
        <v>0</v>
      </c>
      <c r="V210" s="42">
        <f t="shared" si="37"/>
        <v>0</v>
      </c>
      <c r="W210" s="42">
        <f t="shared" si="38"/>
        <v>1</v>
      </c>
      <c r="Y210" s="28">
        <v>202</v>
      </c>
    </row>
    <row r="211" spans="1:25" s="28" customFormat="1" ht="73.5" customHeight="1" x14ac:dyDescent="0.2">
      <c r="A211" s="30">
        <v>207</v>
      </c>
      <c r="B211" s="31" t="s">
        <v>306</v>
      </c>
      <c r="C211" s="32" t="s">
        <v>25</v>
      </c>
      <c r="D211" s="33" t="s">
        <v>307</v>
      </c>
      <c r="E211" s="34">
        <v>20798.080000000002</v>
      </c>
      <c r="F211" s="35">
        <v>19950.740000000002</v>
      </c>
      <c r="G211" s="32" t="s">
        <v>294</v>
      </c>
      <c r="H211" s="37">
        <v>19822.95</v>
      </c>
      <c r="I211" s="38">
        <f t="shared" si="30"/>
        <v>892032.75</v>
      </c>
      <c r="J211" s="32" t="s">
        <v>295</v>
      </c>
      <c r="K211" s="37">
        <v>19903</v>
      </c>
      <c r="L211" s="38">
        <f t="shared" si="31"/>
        <v>895635</v>
      </c>
      <c r="M211" s="38" t="s">
        <v>41</v>
      </c>
      <c r="N211" s="37">
        <v>20154.88</v>
      </c>
      <c r="O211" s="38">
        <f t="shared" si="32"/>
        <v>906969.60000000009</v>
      </c>
      <c r="P211" s="39">
        <f t="shared" si="33"/>
        <v>19960.276666666668</v>
      </c>
      <c r="Q211" s="40">
        <f t="shared" si="34"/>
        <v>-4.7778228858888383E-2</v>
      </c>
      <c r="R211" s="39">
        <f t="shared" si="35"/>
        <v>897783.3</v>
      </c>
      <c r="S211" s="41"/>
      <c r="U211" s="42">
        <f t="shared" si="36"/>
        <v>-1</v>
      </c>
      <c r="V211" s="42">
        <f t="shared" si="37"/>
        <v>0</v>
      </c>
      <c r="W211" s="42">
        <f t="shared" si="38"/>
        <v>1</v>
      </c>
      <c r="Y211" s="28">
        <v>203</v>
      </c>
    </row>
    <row r="212" spans="1:25" s="28" customFormat="1" ht="73.5" customHeight="1" x14ac:dyDescent="0.2">
      <c r="A212" s="30">
        <v>208</v>
      </c>
      <c r="B212" s="31" t="s">
        <v>308</v>
      </c>
      <c r="C212" s="32" t="s">
        <v>25</v>
      </c>
      <c r="D212" s="33">
        <v>4</v>
      </c>
      <c r="E212" s="34" t="s">
        <v>26</v>
      </c>
      <c r="F212" s="35">
        <v>301.5</v>
      </c>
      <c r="G212" s="32" t="s">
        <v>294</v>
      </c>
      <c r="H212" s="37">
        <v>299.49</v>
      </c>
      <c r="I212" s="38">
        <f t="shared" si="30"/>
        <v>1197.96</v>
      </c>
      <c r="J212" s="32" t="s">
        <v>295</v>
      </c>
      <c r="K212" s="37">
        <v>295</v>
      </c>
      <c r="L212" s="38">
        <f t="shared" si="31"/>
        <v>1180</v>
      </c>
      <c r="M212" s="38" t="s">
        <v>41</v>
      </c>
      <c r="N212" s="37">
        <v>320.14</v>
      </c>
      <c r="O212" s="38">
        <f t="shared" si="32"/>
        <v>1280.56</v>
      </c>
      <c r="P212" s="39">
        <f t="shared" si="33"/>
        <v>304.87666666666667</v>
      </c>
      <c r="Q212" s="40">
        <f t="shared" si="34"/>
        <v>-1.1075516875676499</v>
      </c>
      <c r="R212" s="39">
        <f t="shared" si="35"/>
        <v>1206</v>
      </c>
      <c r="S212" s="41"/>
      <c r="U212" s="42">
        <f t="shared" si="36"/>
        <v>-2</v>
      </c>
      <c r="V212" s="42">
        <f t="shared" si="37"/>
        <v>-3</v>
      </c>
      <c r="W212" s="42">
        <f t="shared" si="38"/>
        <v>5</v>
      </c>
      <c r="Y212" s="28">
        <v>204</v>
      </c>
    </row>
    <row r="213" spans="1:25" s="28" customFormat="1" ht="73.5" customHeight="1" x14ac:dyDescent="0.2">
      <c r="A213" s="30">
        <v>209</v>
      </c>
      <c r="B213" s="31" t="s">
        <v>309</v>
      </c>
      <c r="C213" s="32" t="s">
        <v>25</v>
      </c>
      <c r="D213" s="33">
        <v>1</v>
      </c>
      <c r="E213" s="34" t="s">
        <v>26</v>
      </c>
      <c r="F213" s="35">
        <v>21351</v>
      </c>
      <c r="G213" s="32" t="s">
        <v>294</v>
      </c>
      <c r="H213" s="37">
        <v>21316.78</v>
      </c>
      <c r="I213" s="38">
        <f t="shared" si="30"/>
        <v>21316.78</v>
      </c>
      <c r="J213" s="32" t="s">
        <v>295</v>
      </c>
      <c r="K213" s="37">
        <v>21291</v>
      </c>
      <c r="L213" s="38">
        <f t="shared" si="31"/>
        <v>21291</v>
      </c>
      <c r="M213" s="38" t="s">
        <v>41</v>
      </c>
      <c r="N213" s="37">
        <v>21455</v>
      </c>
      <c r="O213" s="38">
        <f t="shared" si="32"/>
        <v>21455</v>
      </c>
      <c r="P213" s="39">
        <f t="shared" si="33"/>
        <v>21354.26</v>
      </c>
      <c r="Q213" s="40">
        <f t="shared" si="34"/>
        <v>-1.5266274738621632E-2</v>
      </c>
      <c r="R213" s="39">
        <f t="shared" si="35"/>
        <v>21351</v>
      </c>
      <c r="S213" s="41"/>
      <c r="U213" s="42">
        <f t="shared" si="36"/>
        <v>0</v>
      </c>
      <c r="V213" s="42">
        <f t="shared" si="37"/>
        <v>0</v>
      </c>
      <c r="W213" s="42">
        <f t="shared" si="38"/>
        <v>0</v>
      </c>
      <c r="Y213" s="28">
        <v>205</v>
      </c>
    </row>
    <row r="214" spans="1:25" s="28" customFormat="1" ht="73.5" customHeight="1" x14ac:dyDescent="0.2">
      <c r="A214" s="30">
        <v>210</v>
      </c>
      <c r="B214" s="31" t="s">
        <v>310</v>
      </c>
      <c r="C214" s="32" t="s">
        <v>81</v>
      </c>
      <c r="D214" s="33">
        <v>4724</v>
      </c>
      <c r="E214" s="34">
        <v>67.959999999999994</v>
      </c>
      <c r="F214" s="35">
        <v>83.4</v>
      </c>
      <c r="G214" s="36" t="s">
        <v>90</v>
      </c>
      <c r="H214" s="37">
        <f>102.29/1.2</f>
        <v>85.241666666666674</v>
      </c>
      <c r="I214" s="38">
        <f t="shared" si="30"/>
        <v>402681.63333333336</v>
      </c>
      <c r="J214" s="36" t="s">
        <v>46</v>
      </c>
      <c r="K214" s="37">
        <v>83.77</v>
      </c>
      <c r="L214" s="38">
        <f t="shared" si="31"/>
        <v>395729.48</v>
      </c>
      <c r="M214" s="32" t="s">
        <v>58</v>
      </c>
      <c r="N214" s="37">
        <v>81.69</v>
      </c>
      <c r="O214" s="38">
        <f t="shared" si="32"/>
        <v>385903.56</v>
      </c>
      <c r="P214" s="39">
        <f t="shared" si="33"/>
        <v>83.567222222222213</v>
      </c>
      <c r="Q214" s="40">
        <f t="shared" si="34"/>
        <v>-0.20010503852519435</v>
      </c>
      <c r="R214" s="39">
        <f t="shared" si="35"/>
        <v>393981.60000000003</v>
      </c>
      <c r="S214" s="41"/>
      <c r="U214" s="42">
        <f t="shared" si="36"/>
        <v>2</v>
      </c>
      <c r="V214" s="42">
        <f t="shared" si="37"/>
        <v>0</v>
      </c>
      <c r="W214" s="42">
        <f t="shared" si="38"/>
        <v>-2</v>
      </c>
      <c r="Y214" s="28">
        <v>206</v>
      </c>
    </row>
    <row r="215" spans="1:25" s="28" customFormat="1" ht="73.5" customHeight="1" x14ac:dyDescent="0.2">
      <c r="A215" s="30">
        <v>211</v>
      </c>
      <c r="B215" s="31" t="s">
        <v>311</v>
      </c>
      <c r="C215" s="32" t="s">
        <v>25</v>
      </c>
      <c r="D215" s="33">
        <v>1</v>
      </c>
      <c r="E215" s="34">
        <v>213.22</v>
      </c>
      <c r="F215" s="35">
        <v>323.39999999999998</v>
      </c>
      <c r="G215" s="32" t="s">
        <v>27</v>
      </c>
      <c r="H215" s="37">
        <f>356.57/1.2</f>
        <v>297.14166666666665</v>
      </c>
      <c r="I215" s="38">
        <f t="shared" si="30"/>
        <v>297.14166666666665</v>
      </c>
      <c r="J215" s="38" t="s">
        <v>28</v>
      </c>
      <c r="K215" s="37">
        <v>316.27999999999997</v>
      </c>
      <c r="L215" s="38">
        <f t="shared" si="31"/>
        <v>316.27999999999997</v>
      </c>
      <c r="M215" s="33" t="s">
        <v>29</v>
      </c>
      <c r="N215" s="37">
        <v>361.87</v>
      </c>
      <c r="O215" s="38">
        <f t="shared" si="32"/>
        <v>361.87</v>
      </c>
      <c r="P215" s="39">
        <f t="shared" si="33"/>
        <v>325.09722222222223</v>
      </c>
      <c r="Q215" s="40">
        <f t="shared" si="34"/>
        <v>-0.52206604861794403</v>
      </c>
      <c r="R215" s="39">
        <f t="shared" si="35"/>
        <v>323.39999999999998</v>
      </c>
      <c r="S215" s="41"/>
      <c r="U215" s="42">
        <f t="shared" si="36"/>
        <v>-9</v>
      </c>
      <c r="V215" s="42">
        <f t="shared" si="37"/>
        <v>-3</v>
      </c>
      <c r="W215" s="42">
        <f t="shared" si="38"/>
        <v>11</v>
      </c>
      <c r="Y215" s="28">
        <v>207</v>
      </c>
    </row>
    <row r="216" spans="1:25" s="28" customFormat="1" ht="73.5" customHeight="1" x14ac:dyDescent="0.2">
      <c r="A216" s="30">
        <v>212</v>
      </c>
      <c r="B216" s="31" t="s">
        <v>312</v>
      </c>
      <c r="C216" s="32" t="s">
        <v>25</v>
      </c>
      <c r="D216" s="33">
        <v>8</v>
      </c>
      <c r="E216" s="34">
        <v>131456.09</v>
      </c>
      <c r="F216" s="35">
        <v>144835.70000000001</v>
      </c>
      <c r="G216" s="32" t="s">
        <v>27</v>
      </c>
      <c r="H216" s="37">
        <f>168045.6/1.2</f>
        <v>140038</v>
      </c>
      <c r="I216" s="38">
        <f t="shared" si="30"/>
        <v>1120304</v>
      </c>
      <c r="J216" s="38" t="s">
        <v>28</v>
      </c>
      <c r="K216" s="37">
        <v>149082</v>
      </c>
      <c r="L216" s="38">
        <f t="shared" si="31"/>
        <v>1192656</v>
      </c>
      <c r="M216" s="33" t="s">
        <v>29</v>
      </c>
      <c r="N216" s="37">
        <v>145394</v>
      </c>
      <c r="O216" s="38">
        <f t="shared" si="32"/>
        <v>1163152</v>
      </c>
      <c r="P216" s="39">
        <f t="shared" si="33"/>
        <v>144838</v>
      </c>
      <c r="Q216" s="40">
        <f t="shared" si="34"/>
        <v>-1.587981054683496E-3</v>
      </c>
      <c r="R216" s="39">
        <f t="shared" si="35"/>
        <v>1158685.6000000001</v>
      </c>
      <c r="S216" s="41"/>
      <c r="U216" s="42">
        <f t="shared" si="36"/>
        <v>-3</v>
      </c>
      <c r="V216" s="42">
        <f t="shared" si="37"/>
        <v>3</v>
      </c>
      <c r="W216" s="42">
        <f t="shared" si="38"/>
        <v>0</v>
      </c>
      <c r="Y216" s="28">
        <v>208</v>
      </c>
    </row>
    <row r="217" spans="1:25" s="28" customFormat="1" ht="73.5" customHeight="1" x14ac:dyDescent="0.2">
      <c r="A217" s="30">
        <v>213</v>
      </c>
      <c r="B217" s="31" t="s">
        <v>313</v>
      </c>
      <c r="C217" s="32" t="s">
        <v>25</v>
      </c>
      <c r="D217" s="33">
        <v>3</v>
      </c>
      <c r="E217" s="34">
        <v>3412.84</v>
      </c>
      <c r="F217" s="35">
        <v>3621.37</v>
      </c>
      <c r="G217" s="32" t="s">
        <v>27</v>
      </c>
      <c r="H217" s="37">
        <f>4262.14/1.2</f>
        <v>3551.7833333333338</v>
      </c>
      <c r="I217" s="38">
        <f t="shared" si="30"/>
        <v>10655.350000000002</v>
      </c>
      <c r="J217" s="38" t="s">
        <v>28</v>
      </c>
      <c r="K217" s="37">
        <v>3458.37</v>
      </c>
      <c r="L217" s="38">
        <f t="shared" si="31"/>
        <v>10375.11</v>
      </c>
      <c r="M217" s="33" t="s">
        <v>29</v>
      </c>
      <c r="N217" s="37">
        <v>3907.54</v>
      </c>
      <c r="O217" s="38">
        <f t="shared" si="32"/>
        <v>11722.619999999999</v>
      </c>
      <c r="P217" s="39">
        <f t="shared" si="33"/>
        <v>3639.2311111111107</v>
      </c>
      <c r="Q217" s="40">
        <f t="shared" si="34"/>
        <v>-0.49079353758484956</v>
      </c>
      <c r="R217" s="39">
        <f t="shared" si="35"/>
        <v>10864.11</v>
      </c>
      <c r="S217" s="41"/>
      <c r="U217" s="42">
        <f t="shared" si="36"/>
        <v>-2</v>
      </c>
      <c r="V217" s="42">
        <f t="shared" si="37"/>
        <v>-5</v>
      </c>
      <c r="W217" s="42">
        <f t="shared" si="38"/>
        <v>7</v>
      </c>
      <c r="Y217" s="28">
        <v>209</v>
      </c>
    </row>
    <row r="218" spans="1:25" s="28" customFormat="1" ht="73.5" customHeight="1" x14ac:dyDescent="0.2">
      <c r="A218" s="30">
        <v>215</v>
      </c>
      <c r="B218" s="31" t="s">
        <v>314</v>
      </c>
      <c r="C218" s="32" t="s">
        <v>25</v>
      </c>
      <c r="D218" s="33">
        <v>4</v>
      </c>
      <c r="E218" s="34">
        <v>5685.72</v>
      </c>
      <c r="F218" s="35">
        <v>5811.74</v>
      </c>
      <c r="G218" s="32" t="s">
        <v>27</v>
      </c>
      <c r="H218" s="37">
        <f>6938.81/1.2</f>
        <v>5782.3416666666672</v>
      </c>
      <c r="I218" s="38">
        <f t="shared" si="30"/>
        <v>23129.366666666669</v>
      </c>
      <c r="J218" s="38" t="s">
        <v>28</v>
      </c>
      <c r="K218" s="37">
        <v>5911.04</v>
      </c>
      <c r="L218" s="38">
        <f t="shared" si="31"/>
        <v>23644.16</v>
      </c>
      <c r="M218" s="33" t="s">
        <v>29</v>
      </c>
      <c r="N218" s="37">
        <v>5752.26</v>
      </c>
      <c r="O218" s="38">
        <f t="shared" si="32"/>
        <v>23009.040000000001</v>
      </c>
      <c r="P218" s="39">
        <f t="shared" si="33"/>
        <v>5815.2138888888903</v>
      </c>
      <c r="Q218" s="40">
        <f t="shared" si="34"/>
        <v>-5.9737938367632637E-2</v>
      </c>
      <c r="R218" s="39">
        <f t="shared" si="35"/>
        <v>23246.959999999999</v>
      </c>
      <c r="S218" s="41"/>
      <c r="U218" s="42">
        <f t="shared" si="36"/>
        <v>-1</v>
      </c>
      <c r="V218" s="42">
        <f t="shared" si="37"/>
        <v>2</v>
      </c>
      <c r="W218" s="42">
        <f t="shared" si="38"/>
        <v>-1</v>
      </c>
      <c r="Y218" s="28">
        <v>210</v>
      </c>
    </row>
    <row r="219" spans="1:25" s="28" customFormat="1" ht="73.5" customHeight="1" x14ac:dyDescent="0.2">
      <c r="A219" s="30">
        <v>216</v>
      </c>
      <c r="B219" s="31" t="s">
        <v>315</v>
      </c>
      <c r="C219" s="32" t="s">
        <v>25</v>
      </c>
      <c r="D219" s="33">
        <v>6</v>
      </c>
      <c r="E219" s="34">
        <v>284.36</v>
      </c>
      <c r="F219" s="35">
        <v>292.47000000000003</v>
      </c>
      <c r="G219" s="32" t="s">
        <v>27</v>
      </c>
      <c r="H219" s="37">
        <f>349.09/1.2</f>
        <v>290.9083333333333</v>
      </c>
      <c r="I219" s="38">
        <f t="shared" si="30"/>
        <v>1745.4499999999998</v>
      </c>
      <c r="J219" s="38" t="s">
        <v>28</v>
      </c>
      <c r="K219" s="37">
        <v>286.52</v>
      </c>
      <c r="L219" s="38">
        <f t="shared" si="31"/>
        <v>1719.12</v>
      </c>
      <c r="M219" s="33" t="s">
        <v>29</v>
      </c>
      <c r="N219" s="37">
        <v>309.87</v>
      </c>
      <c r="O219" s="38">
        <f t="shared" si="32"/>
        <v>1859.22</v>
      </c>
      <c r="P219" s="39">
        <f t="shared" si="33"/>
        <v>295.76611111111112</v>
      </c>
      <c r="Q219" s="40">
        <f t="shared" si="34"/>
        <v>-1.1144316361088471</v>
      </c>
      <c r="R219" s="39">
        <f t="shared" si="35"/>
        <v>1754.8200000000002</v>
      </c>
      <c r="S219" s="41"/>
      <c r="U219" s="42">
        <f t="shared" si="36"/>
        <v>-2</v>
      </c>
      <c r="V219" s="42">
        <f t="shared" si="37"/>
        <v>-3</v>
      </c>
      <c r="W219" s="42">
        <f t="shared" si="38"/>
        <v>5</v>
      </c>
      <c r="Y219" s="28">
        <v>211</v>
      </c>
    </row>
    <row r="220" spans="1:25" s="28" customFormat="1" ht="73.5" customHeight="1" x14ac:dyDescent="0.2">
      <c r="A220" s="30">
        <v>217</v>
      </c>
      <c r="B220" s="31" t="s">
        <v>316</v>
      </c>
      <c r="C220" s="32" t="s">
        <v>25</v>
      </c>
      <c r="D220" s="33">
        <v>11</v>
      </c>
      <c r="E220" s="34">
        <v>530.51</v>
      </c>
      <c r="F220" s="35">
        <v>563.94000000000005</v>
      </c>
      <c r="G220" s="32" t="s">
        <v>27</v>
      </c>
      <c r="H220" s="37">
        <f>640.39/1.2</f>
        <v>533.6583333333333</v>
      </c>
      <c r="I220" s="38">
        <f t="shared" si="30"/>
        <v>5870.2416666666668</v>
      </c>
      <c r="J220" s="38" t="s">
        <v>28</v>
      </c>
      <c r="K220" s="37">
        <v>573.66</v>
      </c>
      <c r="L220" s="38">
        <f t="shared" si="31"/>
        <v>6310.2599999999993</v>
      </c>
      <c r="M220" s="33" t="s">
        <v>29</v>
      </c>
      <c r="N220" s="37">
        <v>599.20000000000005</v>
      </c>
      <c r="O220" s="38">
        <f t="shared" si="32"/>
        <v>6591.2000000000007</v>
      </c>
      <c r="P220" s="39">
        <f t="shared" si="33"/>
        <v>568.83944444444444</v>
      </c>
      <c r="Q220" s="40">
        <f t="shared" si="34"/>
        <v>-0.86130532829511708</v>
      </c>
      <c r="R220" s="39">
        <f t="shared" si="35"/>
        <v>6203.34</v>
      </c>
      <c r="S220" s="41"/>
      <c r="U220" s="42">
        <f t="shared" si="36"/>
        <v>-6</v>
      </c>
      <c r="V220" s="42">
        <f t="shared" si="37"/>
        <v>1</v>
      </c>
      <c r="W220" s="42">
        <f t="shared" si="38"/>
        <v>5</v>
      </c>
      <c r="Y220" s="28">
        <v>212</v>
      </c>
    </row>
    <row r="221" spans="1:25" s="28" customFormat="1" ht="73.5" customHeight="1" x14ac:dyDescent="0.2">
      <c r="A221" s="30">
        <v>218</v>
      </c>
      <c r="B221" s="31" t="s">
        <v>317</v>
      </c>
      <c r="C221" s="32" t="s">
        <v>25</v>
      </c>
      <c r="D221" s="33">
        <v>13</v>
      </c>
      <c r="E221" s="34">
        <v>1043.7</v>
      </c>
      <c r="F221" s="35">
        <v>1331.15</v>
      </c>
      <c r="G221" s="32" t="s">
        <v>27</v>
      </c>
      <c r="H221" s="37">
        <f>1491.91/1.2</f>
        <v>1243.2583333333334</v>
      </c>
      <c r="I221" s="38">
        <f t="shared" si="30"/>
        <v>16162.358333333335</v>
      </c>
      <c r="J221" s="38" t="s">
        <v>28</v>
      </c>
      <c r="K221" s="37">
        <v>1408.92</v>
      </c>
      <c r="L221" s="38">
        <f t="shared" si="31"/>
        <v>18315.96</v>
      </c>
      <c r="M221" s="33" t="s">
        <v>29</v>
      </c>
      <c r="N221" s="37">
        <v>1348.02</v>
      </c>
      <c r="O221" s="38">
        <f t="shared" si="32"/>
        <v>17524.259999999998</v>
      </c>
      <c r="P221" s="39">
        <f t="shared" si="33"/>
        <v>1333.3994444444445</v>
      </c>
      <c r="Q221" s="40">
        <f t="shared" si="34"/>
        <v>-0.16869996862655512</v>
      </c>
      <c r="R221" s="39">
        <f t="shared" si="35"/>
        <v>17304.95</v>
      </c>
      <c r="S221" s="41"/>
      <c r="U221" s="42">
        <f t="shared" si="36"/>
        <v>-7</v>
      </c>
      <c r="V221" s="42">
        <f t="shared" si="37"/>
        <v>6</v>
      </c>
      <c r="W221" s="42">
        <f t="shared" si="38"/>
        <v>1</v>
      </c>
      <c r="Y221" s="28">
        <v>213</v>
      </c>
    </row>
    <row r="222" spans="1:25" s="28" customFormat="1" ht="73.5" customHeight="1" x14ac:dyDescent="0.2">
      <c r="A222" s="30">
        <v>220</v>
      </c>
      <c r="B222" s="31" t="s">
        <v>318</v>
      </c>
      <c r="C222" s="32" t="s">
        <v>147</v>
      </c>
      <c r="D222" s="33" t="s">
        <v>319</v>
      </c>
      <c r="E222" s="34">
        <v>94.38</v>
      </c>
      <c r="F222" s="35">
        <v>104.48</v>
      </c>
      <c r="G222" s="36" t="s">
        <v>148</v>
      </c>
      <c r="H222" s="37">
        <f>118.23/1.2</f>
        <v>98.525000000000006</v>
      </c>
      <c r="I222" s="38">
        <f t="shared" si="30"/>
        <v>24631.25</v>
      </c>
      <c r="J222" s="36" t="s">
        <v>67</v>
      </c>
      <c r="K222" s="37">
        <f>123.29/1.2</f>
        <v>102.74166666666667</v>
      </c>
      <c r="L222" s="38">
        <f t="shared" si="31"/>
        <v>25685.416666666668</v>
      </c>
      <c r="M222" s="36" t="s">
        <v>149</v>
      </c>
      <c r="N222" s="37">
        <f>138.44/1.2</f>
        <v>115.36666666666667</v>
      </c>
      <c r="O222" s="38">
        <f t="shared" si="32"/>
        <v>28841.666666666668</v>
      </c>
      <c r="P222" s="39">
        <f t="shared" si="33"/>
        <v>105.54444444444444</v>
      </c>
      <c r="Q222" s="40">
        <f t="shared" si="34"/>
        <v>-1.0085272133908774</v>
      </c>
      <c r="R222" s="39">
        <f t="shared" si="35"/>
        <v>26120</v>
      </c>
      <c r="S222" s="41"/>
      <c r="U222" s="42">
        <f t="shared" si="36"/>
        <v>-7</v>
      </c>
      <c r="V222" s="42">
        <f t="shared" si="37"/>
        <v>-3</v>
      </c>
      <c r="W222" s="42">
        <f t="shared" si="38"/>
        <v>9</v>
      </c>
      <c r="Y222" s="28">
        <v>215</v>
      </c>
    </row>
    <row r="223" spans="1:25" s="28" customFormat="1" ht="73.5" customHeight="1" x14ac:dyDescent="0.2">
      <c r="A223" s="30">
        <v>221</v>
      </c>
      <c r="B223" s="31" t="s">
        <v>320</v>
      </c>
      <c r="C223" s="32" t="s">
        <v>25</v>
      </c>
      <c r="D223" s="33">
        <v>10</v>
      </c>
      <c r="E223" s="34" t="s">
        <v>26</v>
      </c>
      <c r="F223" s="35">
        <v>796.51</v>
      </c>
      <c r="G223" s="32" t="s">
        <v>56</v>
      </c>
      <c r="H223" s="37">
        <v>830.5</v>
      </c>
      <c r="I223" s="38">
        <f t="shared" si="30"/>
        <v>8305</v>
      </c>
      <c r="J223" s="32" t="s">
        <v>57</v>
      </c>
      <c r="K223" s="37">
        <v>755.31</v>
      </c>
      <c r="L223" s="38">
        <f t="shared" si="31"/>
        <v>7553.0999999999995</v>
      </c>
      <c r="M223" s="32" t="s">
        <v>58</v>
      </c>
      <c r="N223" s="37">
        <v>810.41</v>
      </c>
      <c r="O223" s="38">
        <f t="shared" si="32"/>
        <v>8104.0999999999995</v>
      </c>
      <c r="P223" s="39">
        <f t="shared" si="33"/>
        <v>798.7399999999999</v>
      </c>
      <c r="Q223" s="40">
        <f t="shared" si="34"/>
        <v>-0.2791897238149943</v>
      </c>
      <c r="R223" s="39">
        <f t="shared" si="35"/>
        <v>7965.1</v>
      </c>
      <c r="S223" s="41"/>
      <c r="U223" s="42">
        <f t="shared" si="36"/>
        <v>4</v>
      </c>
      <c r="V223" s="42">
        <f t="shared" si="37"/>
        <v>-5</v>
      </c>
      <c r="W223" s="42">
        <f t="shared" si="38"/>
        <v>1</v>
      </c>
      <c r="Y223" s="28">
        <v>216</v>
      </c>
    </row>
    <row r="224" spans="1:25" s="28" customFormat="1" ht="73.5" customHeight="1" x14ac:dyDescent="0.2">
      <c r="A224" s="30">
        <v>222</v>
      </c>
      <c r="B224" s="31" t="s">
        <v>321</v>
      </c>
      <c r="C224" s="32" t="s">
        <v>25</v>
      </c>
      <c r="D224" s="33">
        <v>3</v>
      </c>
      <c r="E224" s="43">
        <v>4518.3500000000004</v>
      </c>
      <c r="F224" s="55">
        <v>5485.34</v>
      </c>
      <c r="G224" s="32" t="s">
        <v>27</v>
      </c>
      <c r="H224" s="37">
        <f>6274.38/1.2</f>
        <v>5228.6500000000005</v>
      </c>
      <c r="I224" s="38">
        <f t="shared" si="30"/>
        <v>15685.95</v>
      </c>
      <c r="J224" s="38" t="s">
        <v>28</v>
      </c>
      <c r="K224" s="37">
        <v>5500.4</v>
      </c>
      <c r="L224" s="38">
        <f t="shared" si="31"/>
        <v>16501.199999999997</v>
      </c>
      <c r="M224" s="33" t="s">
        <v>29</v>
      </c>
      <c r="N224" s="37">
        <v>5740.12</v>
      </c>
      <c r="O224" s="38">
        <f t="shared" si="32"/>
        <v>17220.36</v>
      </c>
      <c r="P224" s="39">
        <f t="shared" si="33"/>
        <v>5489.7233333333324</v>
      </c>
      <c r="Q224" s="40">
        <f t="shared" si="34"/>
        <v>-7.9846161039071717E-2</v>
      </c>
      <c r="R224" s="39">
        <f t="shared" si="35"/>
        <v>16456.02</v>
      </c>
      <c r="S224" s="41"/>
      <c r="U224" s="42">
        <f t="shared" si="36"/>
        <v>-5</v>
      </c>
      <c r="V224" s="42">
        <f t="shared" si="37"/>
        <v>0</v>
      </c>
      <c r="W224" s="42">
        <f t="shared" si="38"/>
        <v>5</v>
      </c>
      <c r="Y224" s="28">
        <v>217</v>
      </c>
    </row>
    <row r="225" spans="1:25" s="28" customFormat="1" ht="73.5" customHeight="1" x14ac:dyDescent="0.2">
      <c r="A225" s="30">
        <v>223</v>
      </c>
      <c r="B225" s="31" t="s">
        <v>322</v>
      </c>
      <c r="C225" s="32" t="s">
        <v>323</v>
      </c>
      <c r="D225" s="33">
        <v>4.8000000000000001E-2</v>
      </c>
      <c r="E225" s="43">
        <v>2666670</v>
      </c>
      <c r="F225" s="56">
        <v>2698750.3</v>
      </c>
      <c r="G225" s="32" t="s">
        <v>68</v>
      </c>
      <c r="H225" s="37">
        <f>3276.5/1.2*1000</f>
        <v>2730416.666666667</v>
      </c>
      <c r="I225" s="38">
        <f>H225*D225</f>
        <v>131060.00000000001</v>
      </c>
      <c r="J225" s="36" t="s">
        <v>67</v>
      </c>
      <c r="K225" s="37">
        <f>3255/1.2*1000</f>
        <v>2712500</v>
      </c>
      <c r="L225" s="38">
        <f t="shared" si="31"/>
        <v>130200</v>
      </c>
      <c r="M225" s="32" t="s">
        <v>272</v>
      </c>
      <c r="N225" s="37">
        <f>2661.67*1000</f>
        <v>2661670</v>
      </c>
      <c r="O225" s="38">
        <f t="shared" si="32"/>
        <v>127760.16</v>
      </c>
      <c r="P225" s="39">
        <f t="shared" si="33"/>
        <v>2701528.888888889</v>
      </c>
      <c r="Q225" s="40">
        <f t="shared" si="34"/>
        <v>-0.10285245885458494</v>
      </c>
      <c r="R225" s="39">
        <f t="shared" si="35"/>
        <v>129540.0144</v>
      </c>
      <c r="S225" s="41"/>
      <c r="U225" s="42">
        <f t="shared" si="36"/>
        <v>1</v>
      </c>
      <c r="V225" s="42">
        <f t="shared" si="37"/>
        <v>0</v>
      </c>
      <c r="W225" s="42">
        <f t="shared" si="38"/>
        <v>-1</v>
      </c>
      <c r="Y225" s="28">
        <v>218</v>
      </c>
    </row>
    <row r="226" spans="1:25" s="28" customFormat="1" ht="73.5" hidden="1" customHeight="1" x14ac:dyDescent="0.2">
      <c r="A226" s="30">
        <v>224</v>
      </c>
      <c r="B226" s="31" t="s">
        <v>324</v>
      </c>
      <c r="C226" s="32" t="s">
        <v>25</v>
      </c>
      <c r="D226" s="33">
        <v>10</v>
      </c>
      <c r="E226" s="34">
        <v>4087.8</v>
      </c>
      <c r="F226" s="35">
        <v>6202.47</v>
      </c>
      <c r="G226" s="32" t="s">
        <v>56</v>
      </c>
      <c r="H226" s="37">
        <v>6050.4</v>
      </c>
      <c r="I226" s="38">
        <f t="shared" ref="I226:I257" si="39">D226*H226</f>
        <v>60504</v>
      </c>
      <c r="J226" s="32" t="s">
        <v>57</v>
      </c>
      <c r="K226" s="37">
        <v>6131.78</v>
      </c>
      <c r="L226" s="38">
        <f t="shared" si="31"/>
        <v>61317.799999999996</v>
      </c>
      <c r="M226" s="32" t="s">
        <v>58</v>
      </c>
      <c r="N226" s="37">
        <v>6541.19</v>
      </c>
      <c r="O226" s="38">
        <f t="shared" si="32"/>
        <v>65411.899999999994</v>
      </c>
      <c r="P226" s="39">
        <f t="shared" si="33"/>
        <v>6241.123333333333</v>
      </c>
      <c r="Q226" s="40">
        <f t="shared" si="34"/>
        <v>-0.61933295127960264</v>
      </c>
      <c r="R226" s="39">
        <f t="shared" si="35"/>
        <v>62024.700000000004</v>
      </c>
      <c r="S226" s="47" t="s">
        <v>116</v>
      </c>
      <c r="U226" s="42">
        <f t="shared" si="36"/>
        <v>-3</v>
      </c>
      <c r="V226" s="42">
        <f t="shared" si="37"/>
        <v>-2</v>
      </c>
      <c r="W226" s="42">
        <f t="shared" si="38"/>
        <v>5</v>
      </c>
      <c r="Y226" s="28">
        <v>219</v>
      </c>
    </row>
    <row r="227" spans="1:25" s="28" customFormat="1" ht="73.5" customHeight="1" x14ac:dyDescent="0.2">
      <c r="A227" s="30">
        <v>225</v>
      </c>
      <c r="B227" s="31" t="s">
        <v>325</v>
      </c>
      <c r="C227" s="32" t="s">
        <v>25</v>
      </c>
      <c r="D227" s="33">
        <v>4</v>
      </c>
      <c r="E227" s="34" t="s">
        <v>26</v>
      </c>
      <c r="F227" s="35">
        <v>13230.7</v>
      </c>
      <c r="G227" s="32" t="s">
        <v>27</v>
      </c>
      <c r="H227" s="37">
        <f>15633.38/1.2</f>
        <v>13027.816666666666</v>
      </c>
      <c r="I227" s="38">
        <f t="shared" si="39"/>
        <v>52111.266666666663</v>
      </c>
      <c r="J227" s="38" t="s">
        <v>28</v>
      </c>
      <c r="K227" s="37">
        <v>13344.3</v>
      </c>
      <c r="L227" s="38">
        <f t="shared" si="31"/>
        <v>53377.2</v>
      </c>
      <c r="M227" s="33" t="s">
        <v>29</v>
      </c>
      <c r="N227" s="37">
        <v>13500.58</v>
      </c>
      <c r="O227" s="38">
        <f t="shared" si="32"/>
        <v>54002.32</v>
      </c>
      <c r="P227" s="39">
        <f t="shared" si="33"/>
        <v>13290.898888888887</v>
      </c>
      <c r="Q227" s="40">
        <f t="shared" si="34"/>
        <v>-0.45293316420617202</v>
      </c>
      <c r="R227" s="39">
        <f t="shared" si="35"/>
        <v>52922.8</v>
      </c>
      <c r="S227" s="41"/>
      <c r="U227" s="42">
        <f t="shared" si="36"/>
        <v>-2</v>
      </c>
      <c r="V227" s="42">
        <f t="shared" si="37"/>
        <v>0</v>
      </c>
      <c r="W227" s="42">
        <f t="shared" si="38"/>
        <v>2</v>
      </c>
      <c r="Y227" s="28">
        <v>220</v>
      </c>
    </row>
    <row r="228" spans="1:25" s="28" customFormat="1" ht="73.5" customHeight="1" x14ac:dyDescent="0.2">
      <c r="A228" s="30">
        <v>226</v>
      </c>
      <c r="B228" s="31" t="s">
        <v>326</v>
      </c>
      <c r="C228" s="32" t="s">
        <v>25</v>
      </c>
      <c r="D228" s="33">
        <v>7</v>
      </c>
      <c r="E228" s="34">
        <v>672.95</v>
      </c>
      <c r="F228" s="35">
        <v>895.64</v>
      </c>
      <c r="G228" s="32" t="s">
        <v>27</v>
      </c>
      <c r="H228" s="37">
        <f>1005.59/1.2</f>
        <v>837.99166666666667</v>
      </c>
      <c r="I228" s="38">
        <f t="shared" si="39"/>
        <v>5865.9416666666666</v>
      </c>
      <c r="J228" s="38" t="s">
        <v>28</v>
      </c>
      <c r="K228" s="37">
        <v>921.8</v>
      </c>
      <c r="L228" s="38">
        <f t="shared" si="31"/>
        <v>6452.5999999999995</v>
      </c>
      <c r="M228" s="33" t="s">
        <v>29</v>
      </c>
      <c r="N228" s="37">
        <v>944.36</v>
      </c>
      <c r="O228" s="38">
        <f t="shared" si="32"/>
        <v>6610.52</v>
      </c>
      <c r="P228" s="39">
        <f t="shared" si="33"/>
        <v>901.38388888888892</v>
      </c>
      <c r="Q228" s="40">
        <f t="shared" si="34"/>
        <v>-0.63723003702331482</v>
      </c>
      <c r="R228" s="39">
        <f t="shared" si="35"/>
        <v>6269.48</v>
      </c>
      <c r="S228" s="41"/>
      <c r="U228" s="42">
        <f t="shared" si="36"/>
        <v>-7</v>
      </c>
      <c r="V228" s="42">
        <f t="shared" si="37"/>
        <v>2</v>
      </c>
      <c r="W228" s="42">
        <f t="shared" si="38"/>
        <v>5</v>
      </c>
      <c r="Y228" s="28">
        <v>221</v>
      </c>
    </row>
    <row r="229" spans="1:25" s="28" customFormat="1" ht="73.5" customHeight="1" x14ac:dyDescent="0.2">
      <c r="A229" s="30">
        <v>227</v>
      </c>
      <c r="B229" s="31" t="s">
        <v>327</v>
      </c>
      <c r="C229" s="32" t="s">
        <v>25</v>
      </c>
      <c r="D229" s="33">
        <v>4</v>
      </c>
      <c r="E229" s="34">
        <v>762.43</v>
      </c>
      <c r="F229" s="35">
        <v>976.87</v>
      </c>
      <c r="G229" s="32" t="s">
        <v>27</v>
      </c>
      <c r="H229" s="37">
        <f>1138.77/1.2</f>
        <v>948.97500000000002</v>
      </c>
      <c r="I229" s="38">
        <f t="shared" si="39"/>
        <v>3795.9</v>
      </c>
      <c r="J229" s="38" t="s">
        <v>28</v>
      </c>
      <c r="K229" s="37">
        <v>1010.4</v>
      </c>
      <c r="L229" s="38">
        <f t="shared" si="31"/>
        <v>4041.6</v>
      </c>
      <c r="M229" s="33" t="s">
        <v>29</v>
      </c>
      <c r="N229" s="37">
        <v>995.11</v>
      </c>
      <c r="O229" s="38">
        <f t="shared" si="32"/>
        <v>3980.44</v>
      </c>
      <c r="P229" s="39">
        <f t="shared" si="33"/>
        <v>984.82833333333338</v>
      </c>
      <c r="Q229" s="40">
        <f t="shared" si="34"/>
        <v>-0.80809345791229248</v>
      </c>
      <c r="R229" s="39">
        <f t="shared" si="35"/>
        <v>3907.48</v>
      </c>
      <c r="S229" s="41"/>
      <c r="U229" s="42">
        <f t="shared" si="36"/>
        <v>-4</v>
      </c>
      <c r="V229" s="42">
        <f t="shared" si="37"/>
        <v>3</v>
      </c>
      <c r="W229" s="42">
        <f t="shared" si="38"/>
        <v>1</v>
      </c>
      <c r="Y229" s="28">
        <v>222</v>
      </c>
    </row>
    <row r="230" spans="1:25" s="28" customFormat="1" ht="73.5" customHeight="1" x14ac:dyDescent="0.2">
      <c r="A230" s="30">
        <v>228</v>
      </c>
      <c r="B230" s="31" t="s">
        <v>328</v>
      </c>
      <c r="C230" s="32" t="s">
        <v>25</v>
      </c>
      <c r="D230" s="33">
        <v>1</v>
      </c>
      <c r="E230" s="34">
        <v>1460.08</v>
      </c>
      <c r="F230" s="35">
        <v>1842.92</v>
      </c>
      <c r="G230" s="32" t="s">
        <v>27</v>
      </c>
      <c r="H230" s="37">
        <f>2152.46/1.2</f>
        <v>1793.7166666666667</v>
      </c>
      <c r="I230" s="38">
        <f t="shared" si="39"/>
        <v>1793.7166666666667</v>
      </c>
      <c r="J230" s="38" t="s">
        <v>28</v>
      </c>
      <c r="K230" s="37">
        <v>1928.6</v>
      </c>
      <c r="L230" s="38">
        <f t="shared" si="31"/>
        <v>1928.6</v>
      </c>
      <c r="M230" s="33" t="s">
        <v>29</v>
      </c>
      <c r="N230" s="37">
        <v>1850.46</v>
      </c>
      <c r="O230" s="38">
        <f t="shared" si="32"/>
        <v>1850.46</v>
      </c>
      <c r="P230" s="39">
        <f t="shared" si="33"/>
        <v>1857.5922222222223</v>
      </c>
      <c r="Q230" s="40">
        <f t="shared" si="34"/>
        <v>-0.78985161795466752</v>
      </c>
      <c r="R230" s="39">
        <f t="shared" si="35"/>
        <v>1842.92</v>
      </c>
      <c r="S230" s="41"/>
      <c r="U230" s="42">
        <f t="shared" si="36"/>
        <v>-3</v>
      </c>
      <c r="V230" s="42">
        <f t="shared" si="37"/>
        <v>4</v>
      </c>
      <c r="W230" s="42">
        <f t="shared" si="38"/>
        <v>0</v>
      </c>
      <c r="Y230" s="28">
        <v>223</v>
      </c>
    </row>
    <row r="231" spans="1:25" s="28" customFormat="1" ht="73.5" customHeight="1" x14ac:dyDescent="0.2">
      <c r="A231" s="30">
        <v>229</v>
      </c>
      <c r="B231" s="31" t="s">
        <v>329</v>
      </c>
      <c r="C231" s="32" t="s">
        <v>25</v>
      </c>
      <c r="D231" s="33">
        <v>24</v>
      </c>
      <c r="E231" s="34">
        <v>244.97</v>
      </c>
      <c r="F231" s="35">
        <v>312.8</v>
      </c>
      <c r="G231" s="32" t="s">
        <v>27</v>
      </c>
      <c r="H231" s="37">
        <f>362.57/1.2</f>
        <v>302.14166666666665</v>
      </c>
      <c r="I231" s="38">
        <f t="shared" si="39"/>
        <v>7251.4</v>
      </c>
      <c r="J231" s="38" t="s">
        <v>28</v>
      </c>
      <c r="K231" s="37">
        <v>312.77</v>
      </c>
      <c r="L231" s="38">
        <f t="shared" si="31"/>
        <v>7506.48</v>
      </c>
      <c r="M231" s="33" t="s">
        <v>29</v>
      </c>
      <c r="N231" s="37">
        <v>344.29</v>
      </c>
      <c r="O231" s="38">
        <f t="shared" si="32"/>
        <v>8262.9600000000009</v>
      </c>
      <c r="P231" s="39">
        <f t="shared" si="33"/>
        <v>319.73388888888888</v>
      </c>
      <c r="Q231" s="40">
        <f t="shared" si="34"/>
        <v>-2.1686437158678871</v>
      </c>
      <c r="R231" s="39">
        <f t="shared" si="35"/>
        <v>7507.2000000000007</v>
      </c>
      <c r="S231" s="41"/>
      <c r="U231" s="42">
        <f t="shared" si="36"/>
        <v>-6</v>
      </c>
      <c r="V231" s="42">
        <f t="shared" si="37"/>
        <v>-2</v>
      </c>
      <c r="W231" s="42">
        <f t="shared" si="38"/>
        <v>8</v>
      </c>
      <c r="Y231" s="28">
        <v>224</v>
      </c>
    </row>
    <row r="232" spans="1:25" s="28" customFormat="1" ht="73.5" customHeight="1" x14ac:dyDescent="0.2">
      <c r="A232" s="30">
        <v>230</v>
      </c>
      <c r="B232" s="31" t="s">
        <v>330</v>
      </c>
      <c r="C232" s="32" t="s">
        <v>25</v>
      </c>
      <c r="D232" s="33">
        <v>18</v>
      </c>
      <c r="E232" s="34">
        <v>277.45</v>
      </c>
      <c r="F232" s="35">
        <v>343.64</v>
      </c>
      <c r="G232" s="32" t="s">
        <v>27</v>
      </c>
      <c r="H232" s="37">
        <f>398.85/1.2</f>
        <v>332.37500000000006</v>
      </c>
      <c r="I232" s="38">
        <f t="shared" si="39"/>
        <v>5982.7500000000009</v>
      </c>
      <c r="J232" s="38" t="s">
        <v>28</v>
      </c>
      <c r="K232" s="37">
        <v>364.5</v>
      </c>
      <c r="L232" s="38">
        <f t="shared" si="31"/>
        <v>6561</v>
      </c>
      <c r="M232" s="33" t="s">
        <v>29</v>
      </c>
      <c r="N232" s="37">
        <v>350.15</v>
      </c>
      <c r="O232" s="38">
        <f t="shared" si="32"/>
        <v>6302.7</v>
      </c>
      <c r="P232" s="39">
        <f t="shared" si="33"/>
        <v>349.00833333333338</v>
      </c>
      <c r="Q232" s="40">
        <f t="shared" si="34"/>
        <v>-1.5381676655285332</v>
      </c>
      <c r="R232" s="39">
        <f t="shared" si="35"/>
        <v>6185.5199999999995</v>
      </c>
      <c r="S232" s="41"/>
      <c r="U232" s="42">
        <f t="shared" si="36"/>
        <v>-5</v>
      </c>
      <c r="V232" s="42">
        <f t="shared" si="37"/>
        <v>4</v>
      </c>
      <c r="W232" s="42">
        <f t="shared" si="38"/>
        <v>0</v>
      </c>
      <c r="Y232" s="28">
        <v>225</v>
      </c>
    </row>
    <row r="233" spans="1:25" s="28" customFormat="1" ht="73.5" customHeight="1" x14ac:dyDescent="0.2">
      <c r="A233" s="30">
        <v>231</v>
      </c>
      <c r="B233" s="31" t="s">
        <v>331</v>
      </c>
      <c r="C233" s="32" t="s">
        <v>25</v>
      </c>
      <c r="D233" s="33">
        <v>90</v>
      </c>
      <c r="E233" s="34">
        <v>187.63</v>
      </c>
      <c r="F233" s="35">
        <v>233.82</v>
      </c>
      <c r="G233" s="32" t="s">
        <v>27</v>
      </c>
      <c r="H233" s="37">
        <f>283.52/1.2</f>
        <v>236.26666666666665</v>
      </c>
      <c r="I233" s="38">
        <f t="shared" si="39"/>
        <v>21264</v>
      </c>
      <c r="J233" s="38" t="s">
        <v>28</v>
      </c>
      <c r="K233" s="37">
        <v>232.43</v>
      </c>
      <c r="L233" s="38">
        <f t="shared" si="31"/>
        <v>20918.7</v>
      </c>
      <c r="M233" s="33" t="s">
        <v>29</v>
      </c>
      <c r="N233" s="37">
        <v>251.2</v>
      </c>
      <c r="O233" s="38">
        <f t="shared" si="32"/>
        <v>22608</v>
      </c>
      <c r="P233" s="39">
        <f t="shared" si="33"/>
        <v>239.96555555555554</v>
      </c>
      <c r="Q233" s="40">
        <f t="shared" si="34"/>
        <v>-2.5610157013275057</v>
      </c>
      <c r="R233" s="39">
        <f t="shared" si="35"/>
        <v>21043.8</v>
      </c>
      <c r="S233" s="41"/>
      <c r="U233" s="42">
        <f t="shared" si="36"/>
        <v>-2</v>
      </c>
      <c r="V233" s="42">
        <f t="shared" si="37"/>
        <v>-3</v>
      </c>
      <c r="W233" s="42">
        <f t="shared" si="38"/>
        <v>5</v>
      </c>
      <c r="Y233" s="28">
        <v>226</v>
      </c>
    </row>
    <row r="234" spans="1:25" s="28" customFormat="1" ht="73.5" customHeight="1" x14ac:dyDescent="0.2">
      <c r="A234" s="30">
        <v>232</v>
      </c>
      <c r="B234" s="31" t="s">
        <v>332</v>
      </c>
      <c r="C234" s="32" t="s">
        <v>25</v>
      </c>
      <c r="D234" s="33" t="s">
        <v>333</v>
      </c>
      <c r="E234" s="34">
        <v>149.81</v>
      </c>
      <c r="F234" s="35">
        <v>178.37</v>
      </c>
      <c r="G234" s="32" t="s">
        <v>27</v>
      </c>
      <c r="H234" s="37">
        <f>210.11/1.2</f>
        <v>175.0916666666667</v>
      </c>
      <c r="I234" s="38">
        <f t="shared" si="39"/>
        <v>8054.2166666666681</v>
      </c>
      <c r="J234" s="38" t="s">
        <v>28</v>
      </c>
      <c r="K234" s="37">
        <v>186.22</v>
      </c>
      <c r="L234" s="38">
        <f t="shared" si="31"/>
        <v>8566.1200000000008</v>
      </c>
      <c r="M234" s="33" t="s">
        <v>29</v>
      </c>
      <c r="N234" s="37">
        <v>179.55</v>
      </c>
      <c r="O234" s="38">
        <f t="shared" si="32"/>
        <v>8259.3000000000011</v>
      </c>
      <c r="P234" s="39">
        <f t="shared" si="33"/>
        <v>180.28722222222223</v>
      </c>
      <c r="Q234" s="40">
        <f t="shared" si="34"/>
        <v>-1.0634265693322646</v>
      </c>
      <c r="R234" s="39">
        <f t="shared" si="35"/>
        <v>8205.02</v>
      </c>
      <c r="S234" s="41"/>
      <c r="U234" s="42">
        <f t="shared" si="36"/>
        <v>-3</v>
      </c>
      <c r="V234" s="42">
        <f t="shared" si="37"/>
        <v>3</v>
      </c>
      <c r="W234" s="42">
        <f t="shared" si="38"/>
        <v>0</v>
      </c>
      <c r="Y234" s="28">
        <v>227</v>
      </c>
    </row>
    <row r="235" spans="1:25" s="28" customFormat="1" ht="73.5" customHeight="1" x14ac:dyDescent="0.2">
      <c r="A235" s="30">
        <v>233</v>
      </c>
      <c r="B235" s="31" t="s">
        <v>334</v>
      </c>
      <c r="C235" s="32" t="s">
        <v>25</v>
      </c>
      <c r="D235" s="33" t="s">
        <v>335</v>
      </c>
      <c r="E235" s="34">
        <v>150.19</v>
      </c>
      <c r="F235" s="35">
        <v>191.64</v>
      </c>
      <c r="G235" s="32" t="s">
        <v>27</v>
      </c>
      <c r="H235" s="37">
        <f>224.62/1.2</f>
        <v>187.18333333333334</v>
      </c>
      <c r="I235" s="38">
        <f t="shared" si="39"/>
        <v>1123.0999999999999</v>
      </c>
      <c r="J235" s="38" t="s">
        <v>28</v>
      </c>
      <c r="K235" s="37">
        <v>196.75</v>
      </c>
      <c r="L235" s="38">
        <f t="shared" si="31"/>
        <v>1180.5</v>
      </c>
      <c r="M235" s="33" t="s">
        <v>29</v>
      </c>
      <c r="N235" s="37">
        <v>199.8</v>
      </c>
      <c r="O235" s="38">
        <f t="shared" si="32"/>
        <v>1198.8000000000002</v>
      </c>
      <c r="P235" s="39">
        <f t="shared" si="33"/>
        <v>194.57777777777778</v>
      </c>
      <c r="Q235" s="40">
        <f t="shared" si="34"/>
        <v>-1.5098218364550036</v>
      </c>
      <c r="R235" s="39">
        <f t="shared" si="35"/>
        <v>1149.8399999999999</v>
      </c>
      <c r="S235" s="41"/>
      <c r="U235" s="42">
        <f t="shared" si="36"/>
        <v>-4</v>
      </c>
      <c r="V235" s="42">
        <f t="shared" si="37"/>
        <v>1</v>
      </c>
      <c r="W235" s="42">
        <f t="shared" si="38"/>
        <v>3</v>
      </c>
      <c r="Y235" s="28">
        <v>228</v>
      </c>
    </row>
    <row r="236" spans="1:25" s="28" customFormat="1" ht="73.5" customHeight="1" x14ac:dyDescent="0.2">
      <c r="A236" s="30">
        <v>234</v>
      </c>
      <c r="B236" s="31" t="s">
        <v>336</v>
      </c>
      <c r="C236" s="32" t="s">
        <v>25</v>
      </c>
      <c r="D236" s="33">
        <v>6</v>
      </c>
      <c r="E236" s="34">
        <v>13427.24</v>
      </c>
      <c r="F236" s="35">
        <v>15489.62</v>
      </c>
      <c r="G236" s="32" t="s">
        <v>27</v>
      </c>
      <c r="H236" s="37">
        <f>18284.58/1.2</f>
        <v>15237.150000000001</v>
      </c>
      <c r="I236" s="38">
        <f t="shared" si="39"/>
        <v>91422.900000000009</v>
      </c>
      <c r="J236" s="38" t="s">
        <v>28</v>
      </c>
      <c r="K236" s="37">
        <v>15870.63</v>
      </c>
      <c r="L236" s="38">
        <f t="shared" si="31"/>
        <v>95223.78</v>
      </c>
      <c r="M236" s="33" t="s">
        <v>29</v>
      </c>
      <c r="N236" s="37">
        <v>16020.61</v>
      </c>
      <c r="O236" s="38">
        <f t="shared" si="32"/>
        <v>96123.66</v>
      </c>
      <c r="P236" s="39">
        <f t="shared" si="33"/>
        <v>15709.463333333333</v>
      </c>
      <c r="Q236" s="40">
        <f t="shared" si="34"/>
        <v>-1.3994324864481911</v>
      </c>
      <c r="R236" s="39">
        <f t="shared" si="35"/>
        <v>92937.72</v>
      </c>
      <c r="S236" s="41"/>
      <c r="U236" s="42">
        <f t="shared" si="36"/>
        <v>-3</v>
      </c>
      <c r="V236" s="42">
        <f t="shared" si="37"/>
        <v>1</v>
      </c>
      <c r="W236" s="42">
        <f t="shared" si="38"/>
        <v>2</v>
      </c>
      <c r="Y236" s="28">
        <v>229</v>
      </c>
    </row>
    <row r="237" spans="1:25" s="28" customFormat="1" ht="73.5" customHeight="1" x14ac:dyDescent="0.2">
      <c r="A237" s="30">
        <v>235</v>
      </c>
      <c r="B237" s="31" t="s">
        <v>337</v>
      </c>
      <c r="C237" s="32" t="s">
        <v>45</v>
      </c>
      <c r="D237" s="33">
        <v>40</v>
      </c>
      <c r="E237" s="34">
        <v>2327.59</v>
      </c>
      <c r="F237" s="35">
        <v>3124.7</v>
      </c>
      <c r="G237" s="36" t="s">
        <v>90</v>
      </c>
      <c r="H237" s="37">
        <v>3607.24</v>
      </c>
      <c r="I237" s="38">
        <f t="shared" si="39"/>
        <v>144289.59999999998</v>
      </c>
      <c r="J237" s="32" t="s">
        <v>338</v>
      </c>
      <c r="K237" s="37">
        <v>2575.6999999999998</v>
      </c>
      <c r="L237" s="38">
        <f t="shared" si="31"/>
        <v>103028</v>
      </c>
      <c r="M237" s="36" t="s">
        <v>339</v>
      </c>
      <c r="N237" s="37">
        <v>3370</v>
      </c>
      <c r="O237" s="38">
        <f t="shared" si="32"/>
        <v>134800</v>
      </c>
      <c r="P237" s="39">
        <f t="shared" si="33"/>
        <v>3184.313333333333</v>
      </c>
      <c r="Q237" s="40">
        <f t="shared" si="34"/>
        <v>-1.8720938266125273</v>
      </c>
      <c r="R237" s="39">
        <f t="shared" si="35"/>
        <v>124988</v>
      </c>
      <c r="S237" s="41"/>
      <c r="U237" s="42">
        <f t="shared" si="36"/>
        <v>13</v>
      </c>
      <c r="V237" s="42">
        <f t="shared" si="37"/>
        <v>-19</v>
      </c>
      <c r="W237" s="42">
        <f t="shared" si="38"/>
        <v>6</v>
      </c>
      <c r="Y237" s="28">
        <v>230</v>
      </c>
    </row>
    <row r="238" spans="1:25" s="28" customFormat="1" ht="73.5" customHeight="1" x14ac:dyDescent="0.2">
      <c r="A238" s="30">
        <v>236</v>
      </c>
      <c r="B238" s="31" t="s">
        <v>340</v>
      </c>
      <c r="C238" s="32" t="s">
        <v>25</v>
      </c>
      <c r="D238" s="33">
        <v>10</v>
      </c>
      <c r="E238" s="34">
        <v>1273.05</v>
      </c>
      <c r="F238" s="35">
        <v>2334.6799999999998</v>
      </c>
      <c r="G238" s="32" t="s">
        <v>27</v>
      </c>
      <c r="H238" s="37">
        <f>2872.8/1.2</f>
        <v>2394.0000000000005</v>
      </c>
      <c r="I238" s="38">
        <f t="shared" si="39"/>
        <v>23940.000000000004</v>
      </c>
      <c r="J238" s="38" t="s">
        <v>28</v>
      </c>
      <c r="K238" s="37">
        <v>2254.9</v>
      </c>
      <c r="L238" s="38">
        <f t="shared" si="31"/>
        <v>22549</v>
      </c>
      <c r="M238" s="33" t="s">
        <v>29</v>
      </c>
      <c r="N238" s="37">
        <v>2467.66</v>
      </c>
      <c r="O238" s="38">
        <f t="shared" si="32"/>
        <v>24676.6</v>
      </c>
      <c r="P238" s="39">
        <f t="shared" si="33"/>
        <v>2372.186666666667</v>
      </c>
      <c r="Q238" s="40">
        <f t="shared" si="34"/>
        <v>-1.5811009813730408</v>
      </c>
      <c r="R238" s="39">
        <f t="shared" si="35"/>
        <v>23346.799999999999</v>
      </c>
      <c r="S238" s="41"/>
      <c r="U238" s="42">
        <f t="shared" si="36"/>
        <v>1</v>
      </c>
      <c r="V238" s="42">
        <f t="shared" si="37"/>
        <v>-5</v>
      </c>
      <c r="W238" s="42">
        <f t="shared" si="38"/>
        <v>4</v>
      </c>
      <c r="Y238" s="28">
        <v>231</v>
      </c>
    </row>
    <row r="239" spans="1:25" s="28" customFormat="1" ht="73.5" customHeight="1" x14ac:dyDescent="0.2">
      <c r="A239" s="30">
        <v>237</v>
      </c>
      <c r="B239" s="31" t="s">
        <v>341</v>
      </c>
      <c r="C239" s="32" t="s">
        <v>25</v>
      </c>
      <c r="D239" s="33" t="s">
        <v>342</v>
      </c>
      <c r="E239" s="34" t="s">
        <v>26</v>
      </c>
      <c r="F239" s="35">
        <v>21782.44</v>
      </c>
      <c r="G239" s="32" t="s">
        <v>27</v>
      </c>
      <c r="H239" s="37">
        <f>25573/1.2</f>
        <v>21310.833333333336</v>
      </c>
      <c r="I239" s="38">
        <f t="shared" si="39"/>
        <v>1704866.666666667</v>
      </c>
      <c r="J239" s="38" t="s">
        <v>28</v>
      </c>
      <c r="K239" s="37">
        <v>21971.58</v>
      </c>
      <c r="L239" s="38">
        <f t="shared" si="31"/>
        <v>1757726.4000000001</v>
      </c>
      <c r="M239" s="33" t="s">
        <v>29</v>
      </c>
      <c r="N239" s="37">
        <v>22150.400000000001</v>
      </c>
      <c r="O239" s="38">
        <f t="shared" si="32"/>
        <v>1772032</v>
      </c>
      <c r="P239" s="39">
        <f t="shared" si="33"/>
        <v>21810.937777777781</v>
      </c>
      <c r="Q239" s="40">
        <f t="shared" si="34"/>
        <v>-0.13065819575541582</v>
      </c>
      <c r="R239" s="39">
        <f t="shared" si="35"/>
        <v>1742595.2</v>
      </c>
      <c r="S239" s="41"/>
      <c r="U239" s="42">
        <f t="shared" si="36"/>
        <v>-2</v>
      </c>
      <c r="V239" s="42">
        <f t="shared" si="37"/>
        <v>1</v>
      </c>
      <c r="W239" s="42">
        <f t="shared" si="38"/>
        <v>2</v>
      </c>
      <c r="Y239" s="28">
        <v>232</v>
      </c>
    </row>
    <row r="240" spans="1:25" s="28" customFormat="1" ht="73.5" customHeight="1" x14ac:dyDescent="0.2">
      <c r="A240" s="30">
        <v>238</v>
      </c>
      <c r="B240" s="31" t="s">
        <v>343</v>
      </c>
      <c r="C240" s="32" t="s">
        <v>25</v>
      </c>
      <c r="D240" s="33">
        <v>10</v>
      </c>
      <c r="E240" s="34" t="s">
        <v>26</v>
      </c>
      <c r="F240" s="35">
        <v>1394.8</v>
      </c>
      <c r="G240" s="32" t="s">
        <v>27</v>
      </c>
      <c r="H240" s="37">
        <f>1586.38/1.2</f>
        <v>1321.9833333333336</v>
      </c>
      <c r="I240" s="38">
        <f t="shared" si="39"/>
        <v>13219.833333333336</v>
      </c>
      <c r="J240" s="38" t="s">
        <v>28</v>
      </c>
      <c r="K240" s="37">
        <v>1501.2</v>
      </c>
      <c r="L240" s="38">
        <f t="shared" si="31"/>
        <v>15012</v>
      </c>
      <c r="M240" s="33" t="s">
        <v>29</v>
      </c>
      <c r="N240" s="37">
        <v>1452.7</v>
      </c>
      <c r="O240" s="38">
        <f t="shared" si="32"/>
        <v>14527</v>
      </c>
      <c r="P240" s="39">
        <f t="shared" si="33"/>
        <v>1425.2944444444445</v>
      </c>
      <c r="Q240" s="40">
        <f t="shared" si="34"/>
        <v>-2.1395189298117714</v>
      </c>
      <c r="R240" s="39">
        <f t="shared" si="35"/>
        <v>13948</v>
      </c>
      <c r="S240" s="41"/>
      <c r="U240" s="42">
        <f t="shared" si="36"/>
        <v>-7</v>
      </c>
      <c r="V240" s="42">
        <f t="shared" si="37"/>
        <v>5</v>
      </c>
      <c r="W240" s="42">
        <f t="shared" si="38"/>
        <v>2</v>
      </c>
      <c r="Y240" s="28">
        <v>233</v>
      </c>
    </row>
    <row r="241" spans="1:25" s="28" customFormat="1" ht="73.5" customHeight="1" x14ac:dyDescent="0.2">
      <c r="A241" s="30">
        <v>239</v>
      </c>
      <c r="B241" s="31" t="s">
        <v>344</v>
      </c>
      <c r="C241" s="32" t="s">
        <v>25</v>
      </c>
      <c r="D241" s="33">
        <v>2</v>
      </c>
      <c r="E241" s="34">
        <v>9167.1200000000008</v>
      </c>
      <c r="F241" s="35">
        <v>10840.24</v>
      </c>
      <c r="G241" s="32" t="s">
        <v>27</v>
      </c>
      <c r="H241" s="37">
        <f>12749.04/1.2</f>
        <v>10624.2</v>
      </c>
      <c r="I241" s="38">
        <f t="shared" si="39"/>
        <v>21248.400000000001</v>
      </c>
      <c r="J241" s="38" t="s">
        <v>28</v>
      </c>
      <c r="K241" s="37">
        <v>11205.5</v>
      </c>
      <c r="L241" s="38">
        <f t="shared" si="31"/>
        <v>22411</v>
      </c>
      <c r="M241" s="33" t="s">
        <v>29</v>
      </c>
      <c r="N241" s="37">
        <v>10800.9</v>
      </c>
      <c r="O241" s="38">
        <f t="shared" si="32"/>
        <v>21601.8</v>
      </c>
      <c r="P241" s="39">
        <f t="shared" si="33"/>
        <v>10876.866666666667</v>
      </c>
      <c r="Q241" s="40">
        <f t="shared" si="34"/>
        <v>-0.33673913443209358</v>
      </c>
      <c r="R241" s="39">
        <f t="shared" si="35"/>
        <v>21680.48</v>
      </c>
      <c r="S241" s="41"/>
      <c r="U241" s="42">
        <f t="shared" si="36"/>
        <v>-2</v>
      </c>
      <c r="V241" s="42">
        <f t="shared" si="37"/>
        <v>3</v>
      </c>
      <c r="W241" s="42">
        <f t="shared" si="38"/>
        <v>-1</v>
      </c>
      <c r="Y241" s="28">
        <v>234</v>
      </c>
    </row>
    <row r="242" spans="1:25" s="28" customFormat="1" ht="73.5" customHeight="1" x14ac:dyDescent="0.2">
      <c r="A242" s="30">
        <v>240</v>
      </c>
      <c r="B242" s="31" t="s">
        <v>345</v>
      </c>
      <c r="C242" s="32" t="s">
        <v>25</v>
      </c>
      <c r="D242" s="33">
        <v>3</v>
      </c>
      <c r="E242" s="34" t="s">
        <v>26</v>
      </c>
      <c r="F242" s="35">
        <v>6897.64</v>
      </c>
      <c r="G242" s="32" t="s">
        <v>27</v>
      </c>
      <c r="H242" s="37">
        <f>8062.43/1.2</f>
        <v>6718.6916666666675</v>
      </c>
      <c r="I242" s="38">
        <f t="shared" si="39"/>
        <v>20156.075000000004</v>
      </c>
      <c r="J242" s="38" t="s">
        <v>28</v>
      </c>
      <c r="K242" s="37">
        <v>7211.8</v>
      </c>
      <c r="L242" s="38">
        <f t="shared" si="31"/>
        <v>21635.4</v>
      </c>
      <c r="M242" s="33" t="s">
        <v>29</v>
      </c>
      <c r="N242" s="37">
        <v>6897.87</v>
      </c>
      <c r="O242" s="38">
        <f t="shared" si="32"/>
        <v>20693.61</v>
      </c>
      <c r="P242" s="39">
        <f t="shared" si="33"/>
        <v>6942.7872222222222</v>
      </c>
      <c r="Q242" s="40">
        <f t="shared" si="34"/>
        <v>-0.65027518166935749</v>
      </c>
      <c r="R242" s="39">
        <f t="shared" si="35"/>
        <v>20692.920000000002</v>
      </c>
      <c r="S242" s="41"/>
      <c r="U242" s="42">
        <f t="shared" si="36"/>
        <v>-3</v>
      </c>
      <c r="V242" s="42">
        <f t="shared" si="37"/>
        <v>4</v>
      </c>
      <c r="W242" s="42">
        <f t="shared" si="38"/>
        <v>-1</v>
      </c>
      <c r="Y242" s="28">
        <v>235</v>
      </c>
    </row>
    <row r="243" spans="1:25" s="28" customFormat="1" ht="73.5" customHeight="1" x14ac:dyDescent="0.2">
      <c r="A243" s="30">
        <v>241</v>
      </c>
      <c r="B243" s="31" t="s">
        <v>346</v>
      </c>
      <c r="C243" s="32" t="s">
        <v>25</v>
      </c>
      <c r="D243" s="33">
        <v>20</v>
      </c>
      <c r="E243" s="34">
        <v>5743.19</v>
      </c>
      <c r="F243" s="35">
        <v>5997.3</v>
      </c>
      <c r="G243" s="32" t="s">
        <v>27</v>
      </c>
      <c r="H243" s="37">
        <f>6964.01/1.2</f>
        <v>5803.3416666666672</v>
      </c>
      <c r="I243" s="38">
        <f t="shared" si="39"/>
        <v>116066.83333333334</v>
      </c>
      <c r="J243" s="38" t="s">
        <v>28</v>
      </c>
      <c r="K243" s="37">
        <v>6025.6</v>
      </c>
      <c r="L243" s="38">
        <f t="shared" si="31"/>
        <v>120512</v>
      </c>
      <c r="M243" s="33" t="s">
        <v>29</v>
      </c>
      <c r="N243" s="37">
        <v>6300.1</v>
      </c>
      <c r="O243" s="38">
        <f t="shared" si="32"/>
        <v>126002</v>
      </c>
      <c r="P243" s="39">
        <f t="shared" si="33"/>
        <v>6043.0138888888896</v>
      </c>
      <c r="Q243" s="40">
        <f t="shared" si="34"/>
        <v>-0.75647499293262399</v>
      </c>
      <c r="R243" s="39">
        <f t="shared" si="35"/>
        <v>119946</v>
      </c>
      <c r="S243" s="41"/>
      <c r="U243" s="42">
        <f t="shared" si="36"/>
        <v>-4</v>
      </c>
      <c r="V243" s="42">
        <f t="shared" si="37"/>
        <v>0</v>
      </c>
      <c r="W243" s="42">
        <f t="shared" si="38"/>
        <v>4</v>
      </c>
      <c r="Y243" s="28">
        <v>236</v>
      </c>
    </row>
    <row r="244" spans="1:25" s="28" customFormat="1" ht="73.5" customHeight="1" x14ac:dyDescent="0.2">
      <c r="A244" s="30">
        <v>242</v>
      </c>
      <c r="B244" s="31" t="s">
        <v>347</v>
      </c>
      <c r="C244" s="32" t="s">
        <v>25</v>
      </c>
      <c r="D244" s="33">
        <v>2</v>
      </c>
      <c r="E244" s="34">
        <v>14620.92</v>
      </c>
      <c r="F244" s="35">
        <v>23347.599999999999</v>
      </c>
      <c r="G244" s="32" t="s">
        <v>27</v>
      </c>
      <c r="H244" s="37">
        <f>27973.25/1.2</f>
        <v>23311.041666666668</v>
      </c>
      <c r="I244" s="38">
        <f t="shared" si="39"/>
        <v>46622.083333333336</v>
      </c>
      <c r="J244" s="38" t="s">
        <v>28</v>
      </c>
      <c r="K244" s="37">
        <v>24500.6</v>
      </c>
      <c r="L244" s="38">
        <f t="shared" si="31"/>
        <v>49001.2</v>
      </c>
      <c r="M244" s="33" t="s">
        <v>29</v>
      </c>
      <c r="N244" s="37">
        <v>22940.3</v>
      </c>
      <c r="O244" s="38">
        <f t="shared" si="32"/>
        <v>45880.6</v>
      </c>
      <c r="P244" s="39">
        <f t="shared" si="33"/>
        <v>23583.980555555554</v>
      </c>
      <c r="Q244" s="40">
        <f t="shared" si="34"/>
        <v>-1.0022928699365394</v>
      </c>
      <c r="R244" s="39">
        <f t="shared" si="35"/>
        <v>46695.199999999997</v>
      </c>
      <c r="S244" s="41"/>
      <c r="U244" s="42">
        <f t="shared" si="36"/>
        <v>-1</v>
      </c>
      <c r="V244" s="42">
        <f t="shared" si="37"/>
        <v>4</v>
      </c>
      <c r="W244" s="42">
        <f t="shared" si="38"/>
        <v>-3</v>
      </c>
      <c r="Y244" s="28">
        <v>237</v>
      </c>
    </row>
    <row r="245" spans="1:25" s="28" customFormat="1" ht="73.5" customHeight="1" x14ac:dyDescent="0.2">
      <c r="A245" s="30">
        <v>243</v>
      </c>
      <c r="B245" s="31" t="s">
        <v>348</v>
      </c>
      <c r="C245" s="32" t="s">
        <v>25</v>
      </c>
      <c r="D245" s="33">
        <v>2</v>
      </c>
      <c r="E245" s="34">
        <v>5492.67</v>
      </c>
      <c r="F245" s="35">
        <v>6190.72</v>
      </c>
      <c r="G245" s="32" t="s">
        <v>27</v>
      </c>
      <c r="H245" s="37">
        <f>7415.29/1.2</f>
        <v>6179.4083333333338</v>
      </c>
      <c r="I245" s="38">
        <f t="shared" si="39"/>
        <v>12358.816666666668</v>
      </c>
      <c r="J245" s="38" t="s">
        <v>28</v>
      </c>
      <c r="K245" s="37">
        <v>6487.33</v>
      </c>
      <c r="L245" s="38">
        <f t="shared" si="31"/>
        <v>12974.66</v>
      </c>
      <c r="M245" s="33" t="s">
        <v>29</v>
      </c>
      <c r="N245" s="37">
        <v>6150.7</v>
      </c>
      <c r="O245" s="38">
        <f t="shared" si="32"/>
        <v>12301.4</v>
      </c>
      <c r="P245" s="39">
        <f t="shared" si="33"/>
        <v>6272.4794444444451</v>
      </c>
      <c r="Q245" s="40">
        <f t="shared" si="34"/>
        <v>-1.3034629315024659</v>
      </c>
      <c r="R245" s="39">
        <f t="shared" si="35"/>
        <v>12381.44</v>
      </c>
      <c r="S245" s="41"/>
      <c r="U245" s="42">
        <f t="shared" si="36"/>
        <v>-1</v>
      </c>
      <c r="V245" s="42">
        <f t="shared" si="37"/>
        <v>3</v>
      </c>
      <c r="W245" s="42">
        <f t="shared" si="38"/>
        <v>-2</v>
      </c>
      <c r="Y245" s="28">
        <v>238</v>
      </c>
    </row>
    <row r="246" spans="1:25" s="28" customFormat="1" ht="73.5" customHeight="1" x14ac:dyDescent="0.2">
      <c r="A246" s="30">
        <v>244</v>
      </c>
      <c r="B246" s="31" t="s">
        <v>349</v>
      </c>
      <c r="C246" s="32" t="s">
        <v>25</v>
      </c>
      <c r="D246" s="33">
        <v>4</v>
      </c>
      <c r="E246" s="34">
        <v>14242.03</v>
      </c>
      <c r="F246" s="35">
        <v>17148.68</v>
      </c>
      <c r="G246" s="32" t="s">
        <v>27</v>
      </c>
      <c r="H246" s="37">
        <f>20589.76/1.2</f>
        <v>17158.133333333331</v>
      </c>
      <c r="I246" s="38">
        <f t="shared" si="39"/>
        <v>68632.533333333326</v>
      </c>
      <c r="J246" s="38" t="s">
        <v>28</v>
      </c>
      <c r="K246" s="37">
        <v>17011.2</v>
      </c>
      <c r="L246" s="38">
        <f t="shared" si="31"/>
        <v>68044.800000000003</v>
      </c>
      <c r="M246" s="33" t="s">
        <v>29</v>
      </c>
      <c r="N246" s="37">
        <v>17540.900000000001</v>
      </c>
      <c r="O246" s="38">
        <f t="shared" si="32"/>
        <v>70163.600000000006</v>
      </c>
      <c r="P246" s="39">
        <f t="shared" si="33"/>
        <v>17236.744444444445</v>
      </c>
      <c r="Q246" s="40">
        <f t="shared" si="34"/>
        <v>-0.51091112204096589</v>
      </c>
      <c r="R246" s="39">
        <f t="shared" si="35"/>
        <v>68594.720000000001</v>
      </c>
      <c r="S246" s="41"/>
      <c r="U246" s="42">
        <f t="shared" si="36"/>
        <v>0</v>
      </c>
      <c r="V246" s="42">
        <f t="shared" si="37"/>
        <v>-1</v>
      </c>
      <c r="W246" s="42">
        <f t="shared" si="38"/>
        <v>2</v>
      </c>
      <c r="Y246" s="28">
        <v>239</v>
      </c>
    </row>
    <row r="247" spans="1:25" s="28" customFormat="1" ht="73.5" customHeight="1" x14ac:dyDescent="0.2">
      <c r="A247" s="30">
        <v>245</v>
      </c>
      <c r="B247" s="31" t="s">
        <v>350</v>
      </c>
      <c r="C247" s="32" t="s">
        <v>25</v>
      </c>
      <c r="D247" s="33">
        <v>30</v>
      </c>
      <c r="E247" s="34">
        <v>908.32</v>
      </c>
      <c r="F247" s="35">
        <v>1243.98</v>
      </c>
      <c r="G247" s="32" t="s">
        <v>27</v>
      </c>
      <c r="H247" s="37">
        <f>1554.7/1.2</f>
        <v>1295.5833333333335</v>
      </c>
      <c r="I247" s="38">
        <f t="shared" si="39"/>
        <v>38867.500000000007</v>
      </c>
      <c r="J247" s="38" t="s">
        <v>28</v>
      </c>
      <c r="K247" s="37">
        <v>1315.14</v>
      </c>
      <c r="L247" s="38">
        <f t="shared" si="31"/>
        <v>39454.200000000004</v>
      </c>
      <c r="M247" s="33" t="s">
        <v>29</v>
      </c>
      <c r="N247" s="37">
        <v>1205.4000000000001</v>
      </c>
      <c r="O247" s="38">
        <f t="shared" si="32"/>
        <v>36162</v>
      </c>
      <c r="P247" s="39">
        <f t="shared" si="33"/>
        <v>1272.0411111111111</v>
      </c>
      <c r="Q247" s="40">
        <f t="shared" si="34"/>
        <v>-2.2059908965206461</v>
      </c>
      <c r="R247" s="39">
        <f t="shared" si="35"/>
        <v>37319.4</v>
      </c>
      <c r="S247" s="41"/>
      <c r="U247" s="42">
        <f t="shared" si="36"/>
        <v>2</v>
      </c>
      <c r="V247" s="42">
        <f t="shared" si="37"/>
        <v>3</v>
      </c>
      <c r="W247" s="42">
        <f t="shared" si="38"/>
        <v>-5</v>
      </c>
      <c r="Y247" s="28">
        <v>240</v>
      </c>
    </row>
    <row r="248" spans="1:25" s="28" customFormat="1" ht="73.5" customHeight="1" x14ac:dyDescent="0.2">
      <c r="A248" s="30">
        <v>246</v>
      </c>
      <c r="B248" s="31" t="s">
        <v>351</v>
      </c>
      <c r="C248" s="32" t="s">
        <v>25</v>
      </c>
      <c r="D248" s="33">
        <v>28</v>
      </c>
      <c r="E248" s="34">
        <v>538.14</v>
      </c>
      <c r="F248" s="35">
        <v>582.30999999999995</v>
      </c>
      <c r="G248" s="32" t="s">
        <v>27</v>
      </c>
      <c r="H248" s="37">
        <f>665.84/1.2</f>
        <v>554.86666666666667</v>
      </c>
      <c r="I248" s="38">
        <f t="shared" si="39"/>
        <v>15536.266666666666</v>
      </c>
      <c r="J248" s="38" t="s">
        <v>28</v>
      </c>
      <c r="K248" s="37">
        <v>597.45000000000005</v>
      </c>
      <c r="L248" s="38">
        <f t="shared" si="31"/>
        <v>16728.600000000002</v>
      </c>
      <c r="M248" s="33" t="s">
        <v>29</v>
      </c>
      <c r="N248" s="37">
        <v>611.65</v>
      </c>
      <c r="O248" s="38">
        <f t="shared" si="32"/>
        <v>17126.2</v>
      </c>
      <c r="P248" s="39">
        <f t="shared" si="33"/>
        <v>587.98888888888894</v>
      </c>
      <c r="Q248" s="40">
        <f t="shared" si="34"/>
        <v>-0.96581568056843992</v>
      </c>
      <c r="R248" s="39">
        <f t="shared" si="35"/>
        <v>16304.679999999998</v>
      </c>
      <c r="S248" s="41"/>
      <c r="U248" s="42">
        <f t="shared" si="36"/>
        <v>-6</v>
      </c>
      <c r="V248" s="42">
        <f t="shared" si="37"/>
        <v>2</v>
      </c>
      <c r="W248" s="42">
        <f t="shared" si="38"/>
        <v>4</v>
      </c>
      <c r="Y248" s="28">
        <v>241</v>
      </c>
    </row>
    <row r="249" spans="1:25" s="28" customFormat="1" ht="73.5" customHeight="1" x14ac:dyDescent="0.2">
      <c r="A249" s="30">
        <v>247</v>
      </c>
      <c r="B249" s="31" t="s">
        <v>352</v>
      </c>
      <c r="C249" s="32" t="s">
        <v>25</v>
      </c>
      <c r="D249" s="33" t="s">
        <v>353</v>
      </c>
      <c r="E249" s="34">
        <v>5021.6899999999996</v>
      </c>
      <c r="F249" s="35">
        <v>6401.45</v>
      </c>
      <c r="G249" s="32" t="s">
        <v>27</v>
      </c>
      <c r="H249" s="37">
        <f>7634.96/1.2</f>
        <v>6362.4666666666672</v>
      </c>
      <c r="I249" s="38">
        <f t="shared" si="39"/>
        <v>101799.46666666667</v>
      </c>
      <c r="J249" s="38" t="s">
        <v>28</v>
      </c>
      <c r="K249" s="37">
        <v>6500.77</v>
      </c>
      <c r="L249" s="38">
        <f t="shared" si="31"/>
        <v>104012.32</v>
      </c>
      <c r="M249" s="33" t="s">
        <v>29</v>
      </c>
      <c r="N249" s="37">
        <v>6412.9</v>
      </c>
      <c r="O249" s="38">
        <f t="shared" si="32"/>
        <v>102606.39999999999</v>
      </c>
      <c r="P249" s="39">
        <f t="shared" si="33"/>
        <v>6425.3788888888885</v>
      </c>
      <c r="Q249" s="40">
        <f t="shared" si="34"/>
        <v>-0.37241210678280368</v>
      </c>
      <c r="R249" s="39">
        <f t="shared" si="35"/>
        <v>102423.2</v>
      </c>
      <c r="S249" s="41"/>
      <c r="U249" s="42">
        <f t="shared" si="36"/>
        <v>-1</v>
      </c>
      <c r="V249" s="42">
        <f t="shared" si="37"/>
        <v>1</v>
      </c>
      <c r="W249" s="42">
        <f t="shared" si="38"/>
        <v>0</v>
      </c>
      <c r="Y249" s="28">
        <v>242</v>
      </c>
    </row>
    <row r="250" spans="1:25" s="28" customFormat="1" ht="73.5" customHeight="1" x14ac:dyDescent="0.2">
      <c r="A250" s="30">
        <v>248</v>
      </c>
      <c r="B250" s="31" t="s">
        <v>354</v>
      </c>
      <c r="C250" s="32" t="s">
        <v>25</v>
      </c>
      <c r="D250" s="33">
        <v>9</v>
      </c>
      <c r="E250" s="34">
        <v>5408.87</v>
      </c>
      <c r="F250" s="35">
        <v>6620.5</v>
      </c>
      <c r="G250" s="32" t="s">
        <v>27</v>
      </c>
      <c r="H250" s="37">
        <f>7723.18/1.2</f>
        <v>6435.9833333333336</v>
      </c>
      <c r="I250" s="38">
        <f t="shared" si="39"/>
        <v>57923.850000000006</v>
      </c>
      <c r="J250" s="38" t="s">
        <v>28</v>
      </c>
      <c r="K250" s="37">
        <v>6705.7</v>
      </c>
      <c r="L250" s="38">
        <f t="shared" si="31"/>
        <v>60351.299999999996</v>
      </c>
      <c r="M250" s="33" t="s">
        <v>29</v>
      </c>
      <c r="N250" s="37">
        <v>6944.66</v>
      </c>
      <c r="O250" s="38">
        <f t="shared" si="32"/>
        <v>62501.94</v>
      </c>
      <c r="P250" s="39">
        <f t="shared" si="33"/>
        <v>6695.4477777777784</v>
      </c>
      <c r="Q250" s="40">
        <f t="shared" si="34"/>
        <v>-1.1193840989475063</v>
      </c>
      <c r="R250" s="39">
        <f t="shared" si="35"/>
        <v>59584.5</v>
      </c>
      <c r="S250" s="41"/>
      <c r="U250" s="42">
        <f t="shared" si="36"/>
        <v>-4</v>
      </c>
      <c r="V250" s="42">
        <f t="shared" si="37"/>
        <v>0</v>
      </c>
      <c r="W250" s="42">
        <f t="shared" si="38"/>
        <v>4</v>
      </c>
      <c r="Y250" s="28">
        <v>243</v>
      </c>
    </row>
    <row r="251" spans="1:25" s="28" customFormat="1" ht="109.5" customHeight="1" x14ac:dyDescent="0.2">
      <c r="A251" s="30">
        <v>249</v>
      </c>
      <c r="B251" s="31" t="s">
        <v>355</v>
      </c>
      <c r="C251" s="32" t="s">
        <v>25</v>
      </c>
      <c r="D251" s="33" t="s">
        <v>356</v>
      </c>
      <c r="E251" s="34" t="s">
        <v>26</v>
      </c>
      <c r="F251" s="35">
        <v>17795.68</v>
      </c>
      <c r="G251" s="32" t="s">
        <v>27</v>
      </c>
      <c r="H251" s="37">
        <v>17031.560000000001</v>
      </c>
      <c r="I251" s="38">
        <f t="shared" si="39"/>
        <v>323599.64</v>
      </c>
      <c r="J251" s="38" t="s">
        <v>28</v>
      </c>
      <c r="K251" s="37">
        <v>17950.8</v>
      </c>
      <c r="L251" s="38">
        <f t="shared" si="31"/>
        <v>341065.2</v>
      </c>
      <c r="M251" s="33" t="s">
        <v>29</v>
      </c>
      <c r="N251" s="37">
        <v>18500.400000000001</v>
      </c>
      <c r="O251" s="38">
        <f t="shared" si="32"/>
        <v>351507.60000000003</v>
      </c>
      <c r="P251" s="39">
        <f t="shared" si="33"/>
        <v>17827.586666666666</v>
      </c>
      <c r="Q251" s="40">
        <f t="shared" si="34"/>
        <v>-0.17897356082595195</v>
      </c>
      <c r="R251" s="39">
        <f t="shared" si="35"/>
        <v>338117.92</v>
      </c>
      <c r="S251" s="41"/>
      <c r="U251" s="42">
        <f t="shared" si="36"/>
        <v>-4</v>
      </c>
      <c r="V251" s="42">
        <f t="shared" si="37"/>
        <v>1</v>
      </c>
      <c r="W251" s="42">
        <f t="shared" si="38"/>
        <v>4</v>
      </c>
      <c r="Y251" s="28">
        <v>244</v>
      </c>
    </row>
    <row r="252" spans="1:25" s="28" customFormat="1" ht="73.5" customHeight="1" x14ac:dyDescent="0.2">
      <c r="A252" s="30">
        <v>250</v>
      </c>
      <c r="B252" s="31" t="s">
        <v>357</v>
      </c>
      <c r="C252" s="32" t="s">
        <v>25</v>
      </c>
      <c r="D252" s="33">
        <v>186</v>
      </c>
      <c r="E252" s="34" t="s">
        <v>26</v>
      </c>
      <c r="F252" s="35">
        <v>6160.34</v>
      </c>
      <c r="G252" s="32" t="s">
        <v>27</v>
      </c>
      <c r="H252" s="37">
        <f>7116.72/1.2</f>
        <v>5930.6</v>
      </c>
      <c r="I252" s="38">
        <f t="shared" si="39"/>
        <v>1103091.6000000001</v>
      </c>
      <c r="J252" s="38" t="s">
        <v>28</v>
      </c>
      <c r="K252" s="37">
        <v>6254.69</v>
      </c>
      <c r="L252" s="38">
        <f t="shared" si="31"/>
        <v>1163372.3399999999</v>
      </c>
      <c r="M252" s="33" t="s">
        <v>29</v>
      </c>
      <c r="N252" s="37">
        <v>6411.33</v>
      </c>
      <c r="O252" s="38">
        <f t="shared" si="32"/>
        <v>1192507.3799999999</v>
      </c>
      <c r="P252" s="39">
        <f t="shared" si="33"/>
        <v>6198.8733333333339</v>
      </c>
      <c r="Q252" s="40">
        <f t="shared" si="34"/>
        <v>-0.62161833709566849</v>
      </c>
      <c r="R252" s="39">
        <f t="shared" si="35"/>
        <v>1145823.24</v>
      </c>
      <c r="S252" s="41"/>
      <c r="U252" s="42">
        <f t="shared" si="36"/>
        <v>-4</v>
      </c>
      <c r="V252" s="42">
        <f t="shared" si="37"/>
        <v>1</v>
      </c>
      <c r="W252" s="42">
        <f t="shared" si="38"/>
        <v>3</v>
      </c>
      <c r="Y252" s="28">
        <v>245</v>
      </c>
    </row>
    <row r="253" spans="1:25" s="28" customFormat="1" ht="73.5" customHeight="1" x14ac:dyDescent="0.2">
      <c r="A253" s="30">
        <v>251</v>
      </c>
      <c r="B253" s="31" t="s">
        <v>358</v>
      </c>
      <c r="C253" s="32" t="s">
        <v>25</v>
      </c>
      <c r="D253" s="33">
        <v>3</v>
      </c>
      <c r="E253" s="34">
        <v>579.41</v>
      </c>
      <c r="F253" s="35">
        <v>803.64</v>
      </c>
      <c r="G253" s="32" t="s">
        <v>27</v>
      </c>
      <c r="H253" s="37">
        <f>977.24/1.2</f>
        <v>814.36666666666667</v>
      </c>
      <c r="I253" s="38">
        <f t="shared" si="39"/>
        <v>2443.1</v>
      </c>
      <c r="J253" s="38" t="s">
        <v>28</v>
      </c>
      <c r="K253" s="37">
        <v>847.5</v>
      </c>
      <c r="L253" s="38">
        <f t="shared" si="31"/>
        <v>2542.5</v>
      </c>
      <c r="M253" s="33" t="s">
        <v>29</v>
      </c>
      <c r="N253" s="37">
        <v>802.4</v>
      </c>
      <c r="O253" s="38">
        <f t="shared" si="32"/>
        <v>2407.1999999999998</v>
      </c>
      <c r="P253" s="39">
        <f t="shared" si="33"/>
        <v>821.42222222222233</v>
      </c>
      <c r="Q253" s="40">
        <f t="shared" si="34"/>
        <v>-2.1648090033546339</v>
      </c>
      <c r="R253" s="39">
        <f t="shared" si="35"/>
        <v>2410.92</v>
      </c>
      <c r="S253" s="41"/>
      <c r="U253" s="42">
        <f t="shared" si="36"/>
        <v>-1</v>
      </c>
      <c r="V253" s="42">
        <f t="shared" si="37"/>
        <v>3</v>
      </c>
      <c r="W253" s="42">
        <f t="shared" si="38"/>
        <v>-2</v>
      </c>
      <c r="Y253" s="28">
        <v>246</v>
      </c>
    </row>
    <row r="254" spans="1:25" s="28" customFormat="1" ht="73.5" customHeight="1" x14ac:dyDescent="0.2">
      <c r="A254" s="30">
        <v>252</v>
      </c>
      <c r="B254" s="31" t="s">
        <v>359</v>
      </c>
      <c r="C254" s="32" t="s">
        <v>25</v>
      </c>
      <c r="D254" s="33">
        <v>5</v>
      </c>
      <c r="E254" s="34">
        <v>5309.58</v>
      </c>
      <c r="F254" s="35">
        <v>6504.74</v>
      </c>
      <c r="G254" s="32" t="s">
        <v>27</v>
      </c>
      <c r="H254" s="37">
        <f>7779.68/1.2</f>
        <v>6483.0666666666675</v>
      </c>
      <c r="I254" s="38">
        <f t="shared" si="39"/>
        <v>32415.333333333336</v>
      </c>
      <c r="J254" s="38" t="s">
        <v>28</v>
      </c>
      <c r="K254" s="37">
        <v>6402.14</v>
      </c>
      <c r="L254" s="38">
        <f t="shared" si="31"/>
        <v>32010.7</v>
      </c>
      <c r="M254" s="33" t="s">
        <v>29</v>
      </c>
      <c r="N254" s="37">
        <v>6755.82</v>
      </c>
      <c r="O254" s="38">
        <f t="shared" si="32"/>
        <v>33779.1</v>
      </c>
      <c r="P254" s="39">
        <f t="shared" si="33"/>
        <v>6547.0088888888895</v>
      </c>
      <c r="Q254" s="40">
        <f t="shared" si="34"/>
        <v>-0.64562137620777094</v>
      </c>
      <c r="R254" s="39">
        <f t="shared" si="35"/>
        <v>32523.699999999997</v>
      </c>
      <c r="S254" s="41"/>
      <c r="U254" s="42">
        <f t="shared" si="36"/>
        <v>-1</v>
      </c>
      <c r="V254" s="42">
        <f t="shared" si="37"/>
        <v>-2</v>
      </c>
      <c r="W254" s="42">
        <f t="shared" si="38"/>
        <v>3</v>
      </c>
      <c r="Y254" s="28">
        <v>247</v>
      </c>
    </row>
    <row r="255" spans="1:25" s="28" customFormat="1" ht="73.5" customHeight="1" x14ac:dyDescent="0.2">
      <c r="A255" s="30">
        <v>253</v>
      </c>
      <c r="B255" s="31" t="s">
        <v>360</v>
      </c>
      <c r="C255" s="32" t="s">
        <v>25</v>
      </c>
      <c r="D255" s="33">
        <v>26</v>
      </c>
      <c r="E255" s="34">
        <v>9120.17</v>
      </c>
      <c r="F255" s="35">
        <v>11227.31</v>
      </c>
      <c r="G255" s="32" t="s">
        <v>27</v>
      </c>
      <c r="H255" s="37">
        <f>13531.04/1.2</f>
        <v>11275.866666666669</v>
      </c>
      <c r="I255" s="38">
        <f t="shared" si="39"/>
        <v>293172.53333333338</v>
      </c>
      <c r="J255" s="38" t="s">
        <v>28</v>
      </c>
      <c r="K255" s="37">
        <v>11489.66</v>
      </c>
      <c r="L255" s="38">
        <f t="shared" si="31"/>
        <v>298731.15999999997</v>
      </c>
      <c r="M255" s="33" t="s">
        <v>29</v>
      </c>
      <c r="N255" s="37">
        <v>11020.45</v>
      </c>
      <c r="O255" s="38">
        <f t="shared" si="32"/>
        <v>286531.7</v>
      </c>
      <c r="P255" s="39">
        <f t="shared" si="33"/>
        <v>11261.992222222223</v>
      </c>
      <c r="Q255" s="40">
        <f t="shared" si="34"/>
        <v>-0.3079581439755259</v>
      </c>
      <c r="R255" s="39">
        <f t="shared" si="35"/>
        <v>291910.06</v>
      </c>
      <c r="S255" s="41"/>
      <c r="U255" s="42">
        <f t="shared" si="36"/>
        <v>0</v>
      </c>
      <c r="V255" s="42">
        <f t="shared" si="37"/>
        <v>2</v>
      </c>
      <c r="W255" s="42">
        <f t="shared" si="38"/>
        <v>-2</v>
      </c>
      <c r="Y255" s="28">
        <v>248</v>
      </c>
    </row>
    <row r="256" spans="1:25" s="28" customFormat="1" ht="73.5" customHeight="1" x14ac:dyDescent="0.2">
      <c r="A256" s="30">
        <v>254</v>
      </c>
      <c r="B256" s="31" t="s">
        <v>361</v>
      </c>
      <c r="C256" s="32" t="s">
        <v>25</v>
      </c>
      <c r="D256" s="33">
        <v>20</v>
      </c>
      <c r="E256" s="34">
        <v>11632.86</v>
      </c>
      <c r="F256" s="35">
        <v>13102.47</v>
      </c>
      <c r="G256" s="32" t="s">
        <v>27</v>
      </c>
      <c r="H256" s="37">
        <f>15620.43/1.2</f>
        <v>13017.025000000001</v>
      </c>
      <c r="I256" s="38">
        <f t="shared" si="39"/>
        <v>260340.50000000003</v>
      </c>
      <c r="J256" s="38" t="s">
        <v>28</v>
      </c>
      <c r="K256" s="37">
        <v>12950.42</v>
      </c>
      <c r="L256" s="38">
        <f t="shared" si="31"/>
        <v>259008.4</v>
      </c>
      <c r="M256" s="33" t="s">
        <v>29</v>
      </c>
      <c r="N256" s="37">
        <v>13451.61</v>
      </c>
      <c r="O256" s="38">
        <f t="shared" si="32"/>
        <v>269032.2</v>
      </c>
      <c r="P256" s="39">
        <f t="shared" si="33"/>
        <v>13139.684999999999</v>
      </c>
      <c r="Q256" s="40">
        <f t="shared" si="34"/>
        <v>-0.28322596774579267</v>
      </c>
      <c r="R256" s="39">
        <f t="shared" si="35"/>
        <v>262049.4</v>
      </c>
      <c r="S256" s="41"/>
      <c r="U256" s="42">
        <f t="shared" si="36"/>
        <v>-1</v>
      </c>
      <c r="V256" s="42">
        <f t="shared" si="37"/>
        <v>-1</v>
      </c>
      <c r="W256" s="42">
        <f t="shared" si="38"/>
        <v>2</v>
      </c>
      <c r="Y256" s="28">
        <v>249</v>
      </c>
    </row>
    <row r="257" spans="1:25" s="28" customFormat="1" ht="73.5" customHeight="1" x14ac:dyDescent="0.2">
      <c r="A257" s="30">
        <v>255</v>
      </c>
      <c r="B257" s="31" t="s">
        <v>362</v>
      </c>
      <c r="C257" s="32" t="s">
        <v>25</v>
      </c>
      <c r="D257" s="33">
        <v>6</v>
      </c>
      <c r="E257" s="34">
        <v>8036.34</v>
      </c>
      <c r="F257" s="35">
        <v>9723.4</v>
      </c>
      <c r="G257" s="32" t="s">
        <v>27</v>
      </c>
      <c r="H257" s="37">
        <f>11643.9/1.2</f>
        <v>9703.25</v>
      </c>
      <c r="I257" s="38">
        <f t="shared" si="39"/>
        <v>58219.5</v>
      </c>
      <c r="J257" s="38" t="s">
        <v>28</v>
      </c>
      <c r="K257" s="37">
        <v>9670.9</v>
      </c>
      <c r="L257" s="38">
        <f t="shared" si="31"/>
        <v>58025.399999999994</v>
      </c>
      <c r="M257" s="33" t="s">
        <v>29</v>
      </c>
      <c r="N257" s="37">
        <v>9977.4699999999993</v>
      </c>
      <c r="O257" s="38">
        <f t="shared" si="32"/>
        <v>59864.819999999992</v>
      </c>
      <c r="P257" s="39">
        <f t="shared" si="33"/>
        <v>9783.8733333333348</v>
      </c>
      <c r="Q257" s="40">
        <f t="shared" si="34"/>
        <v>-0.61809194858751937</v>
      </c>
      <c r="R257" s="39">
        <f t="shared" si="35"/>
        <v>58340.399999999994</v>
      </c>
      <c r="S257" s="41"/>
      <c r="U257" s="42">
        <f t="shared" si="36"/>
        <v>-1</v>
      </c>
      <c r="V257" s="42">
        <f t="shared" si="37"/>
        <v>-1</v>
      </c>
      <c r="W257" s="42">
        <f t="shared" si="38"/>
        <v>2</v>
      </c>
      <c r="Y257" s="28">
        <v>250</v>
      </c>
    </row>
    <row r="258" spans="1:25" s="28" customFormat="1" ht="73.5" customHeight="1" x14ac:dyDescent="0.2">
      <c r="A258" s="30">
        <v>256</v>
      </c>
      <c r="B258" s="31" t="s">
        <v>363</v>
      </c>
      <c r="C258" s="32" t="s">
        <v>25</v>
      </c>
      <c r="D258" s="33">
        <v>7</v>
      </c>
      <c r="E258" s="34">
        <v>31232.91</v>
      </c>
      <c r="F258" s="35">
        <v>37685.879999999997</v>
      </c>
      <c r="G258" s="32" t="s">
        <v>27</v>
      </c>
      <c r="H258" s="37">
        <f>45140.87/1.2</f>
        <v>37617.39166666667</v>
      </c>
      <c r="I258" s="38">
        <f t="shared" ref="I258:I289" si="40">D258*H258</f>
        <v>263321.7416666667</v>
      </c>
      <c r="J258" s="38" t="s">
        <v>28</v>
      </c>
      <c r="K258" s="37">
        <v>36970.31</v>
      </c>
      <c r="L258" s="38">
        <f t="shared" si="31"/>
        <v>258792.16999999998</v>
      </c>
      <c r="M258" s="33" t="s">
        <v>29</v>
      </c>
      <c r="N258" s="37">
        <v>38780.300000000003</v>
      </c>
      <c r="O258" s="38">
        <f t="shared" si="32"/>
        <v>271462.10000000003</v>
      </c>
      <c r="P258" s="39">
        <f t="shared" si="33"/>
        <v>37789.33388888889</v>
      </c>
      <c r="Q258" s="40">
        <f t="shared" si="34"/>
        <v>-0.27376478556907102</v>
      </c>
      <c r="R258" s="39">
        <f t="shared" si="35"/>
        <v>263801.15999999997</v>
      </c>
      <c r="S258" s="41"/>
      <c r="U258" s="42">
        <f t="shared" si="36"/>
        <v>0</v>
      </c>
      <c r="V258" s="42">
        <f t="shared" si="37"/>
        <v>-2</v>
      </c>
      <c r="W258" s="42">
        <f t="shared" si="38"/>
        <v>3</v>
      </c>
      <c r="Y258" s="28">
        <v>251</v>
      </c>
    </row>
    <row r="259" spans="1:25" s="28" customFormat="1" ht="73.5" customHeight="1" x14ac:dyDescent="0.2">
      <c r="A259" s="30">
        <v>257</v>
      </c>
      <c r="B259" s="31" t="s">
        <v>364</v>
      </c>
      <c r="C259" s="32" t="s">
        <v>25</v>
      </c>
      <c r="D259" s="33">
        <v>96</v>
      </c>
      <c r="E259" s="34">
        <v>11893.48</v>
      </c>
      <c r="F259" s="35">
        <v>14297.31</v>
      </c>
      <c r="G259" s="32" t="s">
        <v>27</v>
      </c>
      <c r="H259" s="37">
        <f>16365.36/1.2</f>
        <v>13637.800000000001</v>
      </c>
      <c r="I259" s="38">
        <f t="shared" si="40"/>
        <v>1309228.8</v>
      </c>
      <c r="J259" s="38" t="s">
        <v>28</v>
      </c>
      <c r="K259" s="37">
        <v>14945.88</v>
      </c>
      <c r="L259" s="38">
        <f t="shared" si="31"/>
        <v>1434804.48</v>
      </c>
      <c r="M259" s="33" t="s">
        <v>29</v>
      </c>
      <c r="N259" s="37">
        <v>14511.7</v>
      </c>
      <c r="O259" s="38">
        <f t="shared" si="32"/>
        <v>1393123.2000000002</v>
      </c>
      <c r="P259" s="39">
        <f t="shared" si="33"/>
        <v>14365.126666666669</v>
      </c>
      <c r="Q259" s="40">
        <f t="shared" si="34"/>
        <v>-0.47209236813785083</v>
      </c>
      <c r="R259" s="39">
        <f t="shared" si="35"/>
        <v>1372541.76</v>
      </c>
      <c r="S259" s="41"/>
      <c r="U259" s="42">
        <f t="shared" si="36"/>
        <v>-5</v>
      </c>
      <c r="V259" s="42">
        <f t="shared" si="37"/>
        <v>4</v>
      </c>
      <c r="W259" s="42">
        <f t="shared" si="38"/>
        <v>1</v>
      </c>
      <c r="Y259" s="28">
        <v>252</v>
      </c>
    </row>
    <row r="260" spans="1:25" s="28" customFormat="1" ht="73.5" customHeight="1" x14ac:dyDescent="0.2">
      <c r="A260" s="30">
        <v>258</v>
      </c>
      <c r="B260" s="31" t="s">
        <v>365</v>
      </c>
      <c r="C260" s="32" t="s">
        <v>25</v>
      </c>
      <c r="D260" s="33">
        <v>20</v>
      </c>
      <c r="E260" s="34">
        <v>8750.09</v>
      </c>
      <c r="F260" s="35">
        <v>10989.9</v>
      </c>
      <c r="G260" s="32" t="s">
        <v>27</v>
      </c>
      <c r="H260" s="37">
        <f>12703.22/1.2</f>
        <v>10586.016666666666</v>
      </c>
      <c r="I260" s="38">
        <f t="shared" si="40"/>
        <v>211720.33333333331</v>
      </c>
      <c r="J260" s="38" t="s">
        <v>28</v>
      </c>
      <c r="K260" s="37">
        <v>11600.4</v>
      </c>
      <c r="L260" s="38">
        <f t="shared" si="31"/>
        <v>232008</v>
      </c>
      <c r="M260" s="33" t="s">
        <v>29</v>
      </c>
      <c r="N260" s="37">
        <v>10945.3</v>
      </c>
      <c r="O260" s="38">
        <f t="shared" si="32"/>
        <v>218906</v>
      </c>
      <c r="P260" s="39">
        <f t="shared" si="33"/>
        <v>11043.905555555553</v>
      </c>
      <c r="Q260" s="40">
        <f t="shared" si="34"/>
        <v>-0.48900776345725205</v>
      </c>
      <c r="R260" s="39">
        <f t="shared" si="35"/>
        <v>219798</v>
      </c>
      <c r="S260" s="41"/>
      <c r="U260" s="42">
        <f t="shared" si="36"/>
        <v>-4</v>
      </c>
      <c r="V260" s="42">
        <f t="shared" si="37"/>
        <v>5</v>
      </c>
      <c r="W260" s="42">
        <f t="shared" si="38"/>
        <v>-1</v>
      </c>
      <c r="Y260" s="28">
        <v>253</v>
      </c>
    </row>
    <row r="261" spans="1:25" s="28" customFormat="1" ht="73.5" customHeight="1" x14ac:dyDescent="0.2">
      <c r="A261" s="30">
        <v>261</v>
      </c>
      <c r="B261" s="31" t="s">
        <v>366</v>
      </c>
      <c r="C261" s="32" t="s">
        <v>25</v>
      </c>
      <c r="D261" s="33">
        <v>2</v>
      </c>
      <c r="E261" s="34">
        <v>13979.66</v>
      </c>
      <c r="F261" s="35">
        <v>18180.7</v>
      </c>
      <c r="G261" s="32" t="s">
        <v>27</v>
      </c>
      <c r="H261" s="37">
        <f>20730.05/1.2</f>
        <v>17275.041666666668</v>
      </c>
      <c r="I261" s="38">
        <f t="shared" si="40"/>
        <v>34550.083333333336</v>
      </c>
      <c r="J261" s="38" t="s">
        <v>28</v>
      </c>
      <c r="K261" s="37">
        <v>18056.72</v>
      </c>
      <c r="L261" s="38">
        <f t="shared" si="31"/>
        <v>36113.440000000002</v>
      </c>
      <c r="M261" s="33" t="s">
        <v>29</v>
      </c>
      <c r="N261" s="37">
        <v>19401.5</v>
      </c>
      <c r="O261" s="38">
        <f t="shared" si="32"/>
        <v>38803</v>
      </c>
      <c r="P261" s="39">
        <f t="shared" si="33"/>
        <v>18244.420555555556</v>
      </c>
      <c r="Q261" s="40">
        <f t="shared" si="34"/>
        <v>-0.34926050603537817</v>
      </c>
      <c r="R261" s="39">
        <f t="shared" si="35"/>
        <v>36361.4</v>
      </c>
      <c r="S261" s="41"/>
      <c r="U261" s="42">
        <f t="shared" si="36"/>
        <v>-5</v>
      </c>
      <c r="V261" s="42">
        <f t="shared" si="37"/>
        <v>-1</v>
      </c>
      <c r="W261" s="42">
        <f t="shared" si="38"/>
        <v>6</v>
      </c>
      <c r="Y261" s="28">
        <v>254</v>
      </c>
    </row>
    <row r="262" spans="1:25" s="28" customFormat="1" ht="73.5" customHeight="1" x14ac:dyDescent="0.2">
      <c r="A262" s="30">
        <v>262</v>
      </c>
      <c r="B262" s="31" t="s">
        <v>367</v>
      </c>
      <c r="C262" s="32" t="s">
        <v>25</v>
      </c>
      <c r="D262" s="33">
        <v>2</v>
      </c>
      <c r="E262" s="34">
        <v>12812.23</v>
      </c>
      <c r="F262" s="35">
        <v>15497.6</v>
      </c>
      <c r="G262" s="32" t="s">
        <v>27</v>
      </c>
      <c r="H262" s="37">
        <f>19032.94/1.2</f>
        <v>15860.783333333333</v>
      </c>
      <c r="I262" s="38">
        <f t="shared" si="40"/>
        <v>31721.566666666666</v>
      </c>
      <c r="J262" s="38" t="s">
        <v>28</v>
      </c>
      <c r="K262" s="37">
        <v>15002.64</v>
      </c>
      <c r="L262" s="38">
        <f t="shared" si="31"/>
        <v>30005.279999999999</v>
      </c>
      <c r="M262" s="33" t="s">
        <v>29</v>
      </c>
      <c r="N262" s="37">
        <v>16200.7</v>
      </c>
      <c r="O262" s="38">
        <f t="shared" si="32"/>
        <v>32401.4</v>
      </c>
      <c r="P262" s="39">
        <f t="shared" si="33"/>
        <v>15688.041111111112</v>
      </c>
      <c r="Q262" s="40">
        <f t="shared" si="34"/>
        <v>-1.2139253700465531</v>
      </c>
      <c r="R262" s="39">
        <f t="shared" si="35"/>
        <v>30995.200000000001</v>
      </c>
      <c r="S262" s="41"/>
      <c r="U262" s="42">
        <f t="shared" si="36"/>
        <v>1</v>
      </c>
      <c r="V262" s="42">
        <f t="shared" si="37"/>
        <v>-4</v>
      </c>
      <c r="W262" s="42">
        <f t="shared" si="38"/>
        <v>3</v>
      </c>
      <c r="Y262" s="28">
        <v>255</v>
      </c>
    </row>
    <row r="263" spans="1:25" s="28" customFormat="1" ht="73.5" customHeight="1" x14ac:dyDescent="0.2">
      <c r="A263" s="30">
        <v>263</v>
      </c>
      <c r="B263" s="31" t="s">
        <v>368</v>
      </c>
      <c r="C263" s="32" t="s">
        <v>25</v>
      </c>
      <c r="D263" s="33">
        <v>16</v>
      </c>
      <c r="E263" s="34">
        <v>13996.87</v>
      </c>
      <c r="F263" s="35">
        <v>16602.099999999999</v>
      </c>
      <c r="G263" s="32" t="s">
        <v>27</v>
      </c>
      <c r="H263" s="37">
        <f>19411.67/1.2</f>
        <v>16176.391666666666</v>
      </c>
      <c r="I263" s="38">
        <f t="shared" si="40"/>
        <v>258822.26666666666</v>
      </c>
      <c r="J263" s="38" t="s">
        <v>28</v>
      </c>
      <c r="K263" s="37">
        <v>17921.59</v>
      </c>
      <c r="L263" s="38">
        <f t="shared" si="31"/>
        <v>286745.44</v>
      </c>
      <c r="M263" s="33" t="s">
        <v>29</v>
      </c>
      <c r="N263" s="37">
        <v>15947.3</v>
      </c>
      <c r="O263" s="38">
        <f t="shared" si="32"/>
        <v>255156.8</v>
      </c>
      <c r="P263" s="39">
        <f t="shared" si="33"/>
        <v>16681.760555555553</v>
      </c>
      <c r="Q263" s="40">
        <f t="shared" si="34"/>
        <v>-0.47753086546387635</v>
      </c>
      <c r="R263" s="39">
        <f t="shared" si="35"/>
        <v>265633.59999999998</v>
      </c>
      <c r="S263" s="41"/>
      <c r="U263" s="42">
        <f t="shared" si="36"/>
        <v>-3</v>
      </c>
      <c r="V263" s="42">
        <f t="shared" si="37"/>
        <v>7</v>
      </c>
      <c r="W263" s="42">
        <f t="shared" si="38"/>
        <v>-4</v>
      </c>
      <c r="Y263" s="28">
        <v>256</v>
      </c>
    </row>
    <row r="264" spans="1:25" s="28" customFormat="1" ht="73.5" customHeight="1" x14ac:dyDescent="0.2">
      <c r="A264" s="30">
        <v>264</v>
      </c>
      <c r="B264" s="31" t="s">
        <v>369</v>
      </c>
      <c r="C264" s="32" t="s">
        <v>25</v>
      </c>
      <c r="D264" s="33">
        <v>6</v>
      </c>
      <c r="E264" s="34">
        <v>16192.14</v>
      </c>
      <c r="F264" s="35">
        <v>16354.78</v>
      </c>
      <c r="G264" s="32" t="s">
        <v>27</v>
      </c>
      <c r="H264" s="37">
        <f>19299.98/1.2</f>
        <v>16083.316666666668</v>
      </c>
      <c r="I264" s="38">
        <f t="shared" si="40"/>
        <v>96499.900000000009</v>
      </c>
      <c r="J264" s="38" t="s">
        <v>28</v>
      </c>
      <c r="K264" s="37">
        <v>16400.669999999998</v>
      </c>
      <c r="L264" s="38">
        <f t="shared" si="31"/>
        <v>98404.01999999999</v>
      </c>
      <c r="M264" s="33" t="s">
        <v>29</v>
      </c>
      <c r="N264" s="37">
        <v>17011.88</v>
      </c>
      <c r="O264" s="38">
        <f t="shared" si="32"/>
        <v>102071.28</v>
      </c>
      <c r="P264" s="39">
        <f t="shared" si="33"/>
        <v>16498.622222222224</v>
      </c>
      <c r="Q264" s="40">
        <f t="shared" si="34"/>
        <v>-0.87184384419980177</v>
      </c>
      <c r="R264" s="39">
        <f t="shared" si="35"/>
        <v>98128.680000000008</v>
      </c>
      <c r="S264" s="41"/>
      <c r="U264" s="42">
        <f t="shared" si="36"/>
        <v>-3</v>
      </c>
      <c r="V264" s="42">
        <f t="shared" si="37"/>
        <v>-1</v>
      </c>
      <c r="W264" s="42">
        <f t="shared" si="38"/>
        <v>3</v>
      </c>
      <c r="Y264" s="28">
        <v>257</v>
      </c>
    </row>
    <row r="265" spans="1:25" s="28" customFormat="1" ht="73.5" customHeight="1" x14ac:dyDescent="0.2">
      <c r="A265" s="30">
        <v>265</v>
      </c>
      <c r="B265" s="31" t="s">
        <v>370</v>
      </c>
      <c r="C265" s="32" t="s">
        <v>25</v>
      </c>
      <c r="D265" s="33">
        <v>1</v>
      </c>
      <c r="E265" s="34">
        <v>24065.29</v>
      </c>
      <c r="F265" s="35">
        <v>25020.5</v>
      </c>
      <c r="G265" s="32" t="s">
        <v>27</v>
      </c>
      <c r="H265" s="37">
        <f>28803.13/1.2</f>
        <v>24002.608333333334</v>
      </c>
      <c r="I265" s="38">
        <f t="shared" si="40"/>
        <v>24002.608333333334</v>
      </c>
      <c r="J265" s="38" t="s">
        <v>28</v>
      </c>
      <c r="K265" s="37">
        <v>26007.32</v>
      </c>
      <c r="L265" s="38">
        <f t="shared" si="31"/>
        <v>26007.32</v>
      </c>
      <c r="M265" s="33" t="s">
        <v>29</v>
      </c>
      <c r="N265" s="37">
        <v>25452.45</v>
      </c>
      <c r="O265" s="38">
        <f t="shared" si="32"/>
        <v>25452.45</v>
      </c>
      <c r="P265" s="39">
        <f t="shared" si="33"/>
        <v>25154.126111111109</v>
      </c>
      <c r="Q265" s="40">
        <f t="shared" si="34"/>
        <v>-0.53122939163480964</v>
      </c>
      <c r="R265" s="39">
        <f t="shared" si="35"/>
        <v>25020.5</v>
      </c>
      <c r="S265" s="41"/>
      <c r="U265" s="42">
        <f t="shared" si="36"/>
        <v>-5</v>
      </c>
      <c r="V265" s="42">
        <f t="shared" si="37"/>
        <v>3</v>
      </c>
      <c r="W265" s="42">
        <f t="shared" si="38"/>
        <v>1</v>
      </c>
      <c r="Y265" s="28">
        <v>258</v>
      </c>
    </row>
    <row r="266" spans="1:25" s="28" customFormat="1" ht="73.5" customHeight="1" x14ac:dyDescent="0.2">
      <c r="A266" s="30">
        <v>267</v>
      </c>
      <c r="B266" s="31" t="s">
        <v>371</v>
      </c>
      <c r="C266" s="32" t="s">
        <v>25</v>
      </c>
      <c r="D266" s="33" t="s">
        <v>372</v>
      </c>
      <c r="E266" s="34">
        <v>9032.42</v>
      </c>
      <c r="F266" s="35">
        <v>10970.42</v>
      </c>
      <c r="G266" s="32" t="s">
        <v>27</v>
      </c>
      <c r="H266" s="37">
        <f>12771.25/1.2</f>
        <v>10642.708333333334</v>
      </c>
      <c r="I266" s="38">
        <f t="shared" si="40"/>
        <v>2586178.125</v>
      </c>
      <c r="J266" s="38" t="s">
        <v>28</v>
      </c>
      <c r="K266" s="37">
        <v>11023.45</v>
      </c>
      <c r="L266" s="38">
        <f t="shared" si="31"/>
        <v>2678698.35</v>
      </c>
      <c r="M266" s="33" t="s">
        <v>29</v>
      </c>
      <c r="N266" s="37">
        <v>11452.6</v>
      </c>
      <c r="O266" s="38">
        <f t="shared" si="32"/>
        <v>2782981.8000000003</v>
      </c>
      <c r="P266" s="39">
        <f t="shared" si="33"/>
        <v>11039.58611111111</v>
      </c>
      <c r="Q266" s="40">
        <f t="shared" si="34"/>
        <v>-0.62652811812840525</v>
      </c>
      <c r="R266" s="39">
        <f t="shared" si="35"/>
        <v>2665812.06</v>
      </c>
      <c r="S266" s="41"/>
      <c r="U266" s="42">
        <f t="shared" si="36"/>
        <v>-4</v>
      </c>
      <c r="V266" s="42">
        <f t="shared" si="37"/>
        <v>0</v>
      </c>
      <c r="W266" s="42">
        <f t="shared" si="38"/>
        <v>4</v>
      </c>
      <c r="Y266" s="28">
        <v>261</v>
      </c>
    </row>
    <row r="267" spans="1:25" s="28" customFormat="1" ht="73.5" customHeight="1" x14ac:dyDescent="0.2">
      <c r="A267" s="30">
        <v>268</v>
      </c>
      <c r="B267" s="31" t="s">
        <v>373</v>
      </c>
      <c r="C267" s="32" t="s">
        <v>45</v>
      </c>
      <c r="D267" s="33" t="s">
        <v>374</v>
      </c>
      <c r="E267" s="34">
        <v>4878.63</v>
      </c>
      <c r="F267" s="35">
        <v>3441.15</v>
      </c>
      <c r="G267" s="32" t="s">
        <v>375</v>
      </c>
      <c r="H267" s="37">
        <f>3619/1.2</f>
        <v>3015.8333333333335</v>
      </c>
      <c r="I267" s="38">
        <f t="shared" si="40"/>
        <v>15682.333333333334</v>
      </c>
      <c r="J267" s="32" t="s">
        <v>376</v>
      </c>
      <c r="K267" s="37">
        <v>3316.67</v>
      </c>
      <c r="L267" s="38">
        <f t="shared" si="31"/>
        <v>17246.684000000001</v>
      </c>
      <c r="M267" s="32" t="s">
        <v>377</v>
      </c>
      <c r="N267" s="37">
        <f>4800/1.2</f>
        <v>4000</v>
      </c>
      <c r="O267" s="38">
        <f t="shared" si="32"/>
        <v>20800</v>
      </c>
      <c r="P267" s="39">
        <f t="shared" si="33"/>
        <v>3444.1677777777782</v>
      </c>
      <c r="Q267" s="40">
        <f t="shared" si="34"/>
        <v>-8.7619941085606001E-2</v>
      </c>
      <c r="R267" s="39">
        <f t="shared" si="35"/>
        <v>17893.98</v>
      </c>
      <c r="S267" s="57"/>
      <c r="U267" s="42">
        <f t="shared" si="36"/>
        <v>-12</v>
      </c>
      <c r="V267" s="42">
        <f t="shared" si="37"/>
        <v>-4</v>
      </c>
      <c r="W267" s="42">
        <f t="shared" si="38"/>
        <v>16</v>
      </c>
      <c r="Y267" s="28">
        <v>262</v>
      </c>
    </row>
    <row r="268" spans="1:25" s="28" customFormat="1" ht="73.5" customHeight="1" x14ac:dyDescent="0.2">
      <c r="A268" s="30">
        <v>269</v>
      </c>
      <c r="B268" s="31" t="s">
        <v>378</v>
      </c>
      <c r="C268" s="32" t="s">
        <v>323</v>
      </c>
      <c r="D268" s="33">
        <v>8.0000000000000002E-3</v>
      </c>
      <c r="E268" s="34">
        <v>344968.75</v>
      </c>
      <c r="F268" s="35">
        <v>411502.5</v>
      </c>
      <c r="G268" s="37" t="s">
        <v>68</v>
      </c>
      <c r="H268" s="37">
        <f>498040.45/1.2</f>
        <v>415033.70833333337</v>
      </c>
      <c r="I268" s="38">
        <f t="shared" si="40"/>
        <v>3320.269666666667</v>
      </c>
      <c r="J268" s="36" t="s">
        <v>67</v>
      </c>
      <c r="K268" s="37">
        <f>503.49/1.2*1000</f>
        <v>419575.00000000006</v>
      </c>
      <c r="L268" s="38">
        <f t="shared" ref="L268:L329" si="41">D268*K268</f>
        <v>3356.6000000000004</v>
      </c>
      <c r="M268" s="32" t="s">
        <v>272</v>
      </c>
      <c r="N268" s="37">
        <v>412432.5</v>
      </c>
      <c r="O268" s="38">
        <f t="shared" ref="O268:O329" si="42">D268*N268</f>
        <v>3299.46</v>
      </c>
      <c r="P268" s="39">
        <f t="shared" ref="P268:P329" si="43">AVERAGE(H268,K268,N268)</f>
        <v>415680.40277777781</v>
      </c>
      <c r="Q268" s="40">
        <f t="shared" ref="Q268:Q329" si="44">F268*100/P268-100</f>
        <v>-1.0050757143851428</v>
      </c>
      <c r="R268" s="39">
        <f t="shared" ref="R268:R329" si="45">D268*F268</f>
        <v>3292.02</v>
      </c>
      <c r="S268" s="41"/>
      <c r="U268" s="42">
        <f t="shared" ref="U268:U329" si="46">ROUND(H268*100/P268-100,0)</f>
        <v>0</v>
      </c>
      <c r="V268" s="42">
        <f t="shared" ref="V268:V329" si="47">ROUND(K268*100/P268-100,0)</f>
        <v>1</v>
      </c>
      <c r="W268" s="42">
        <f t="shared" ref="W268:W329" si="48">ROUND(N268*100/P268-100,0)</f>
        <v>-1</v>
      </c>
      <c r="Y268" s="28">
        <v>263</v>
      </c>
    </row>
    <row r="269" spans="1:25" s="28" customFormat="1" ht="73.5" customHeight="1" x14ac:dyDescent="0.2">
      <c r="A269" s="30">
        <v>270</v>
      </c>
      <c r="B269" s="31" t="s">
        <v>379</v>
      </c>
      <c r="C269" s="32" t="s">
        <v>25</v>
      </c>
      <c r="D269" s="33">
        <v>20</v>
      </c>
      <c r="E269" s="34">
        <v>18.489999999999998</v>
      </c>
      <c r="F269" s="35">
        <v>28.03</v>
      </c>
      <c r="G269" s="32" t="s">
        <v>27</v>
      </c>
      <c r="H269" s="37">
        <f>30.27/1.2</f>
        <v>25.225000000000001</v>
      </c>
      <c r="I269" s="38">
        <f t="shared" si="40"/>
        <v>504.5</v>
      </c>
      <c r="J269" s="38" t="s">
        <v>28</v>
      </c>
      <c r="K269" s="37">
        <v>29.45</v>
      </c>
      <c r="L269" s="38">
        <f t="shared" si="41"/>
        <v>589</v>
      </c>
      <c r="M269" s="33" t="s">
        <v>29</v>
      </c>
      <c r="N269" s="37">
        <v>31.7</v>
      </c>
      <c r="O269" s="38">
        <f t="shared" si="42"/>
        <v>634</v>
      </c>
      <c r="P269" s="39">
        <f t="shared" si="43"/>
        <v>28.791666666666668</v>
      </c>
      <c r="Q269" s="40">
        <f t="shared" si="44"/>
        <v>-2.6454413892908804</v>
      </c>
      <c r="R269" s="39">
        <f t="shared" si="45"/>
        <v>560.6</v>
      </c>
      <c r="S269" s="41"/>
      <c r="U269" s="42">
        <f t="shared" si="46"/>
        <v>-12</v>
      </c>
      <c r="V269" s="42">
        <f t="shared" si="47"/>
        <v>2</v>
      </c>
      <c r="W269" s="42">
        <f t="shared" si="48"/>
        <v>10</v>
      </c>
      <c r="Y269" s="28">
        <v>264</v>
      </c>
    </row>
    <row r="270" spans="1:25" s="28" customFormat="1" ht="73.5" customHeight="1" x14ac:dyDescent="0.2">
      <c r="A270" s="30">
        <v>271</v>
      </c>
      <c r="B270" s="31" t="s">
        <v>380</v>
      </c>
      <c r="C270" s="32" t="s">
        <v>381</v>
      </c>
      <c r="D270" s="33">
        <v>2</v>
      </c>
      <c r="E270" s="34">
        <v>34776.28</v>
      </c>
      <c r="F270" s="35">
        <v>41590.199999999997</v>
      </c>
      <c r="G270" s="36" t="s">
        <v>90</v>
      </c>
      <c r="H270" s="37">
        <f>51705.01/1.2</f>
        <v>43087.508333333339</v>
      </c>
      <c r="I270" s="38">
        <f t="shared" si="40"/>
        <v>86175.016666666677</v>
      </c>
      <c r="J270" s="32" t="s">
        <v>46</v>
      </c>
      <c r="K270" s="37">
        <v>41393.25</v>
      </c>
      <c r="L270" s="38">
        <f t="shared" si="41"/>
        <v>82786.5</v>
      </c>
      <c r="M270" s="32" t="s">
        <v>58</v>
      </c>
      <c r="N270" s="37">
        <v>40981.06</v>
      </c>
      <c r="O270" s="38">
        <f t="shared" si="42"/>
        <v>81962.12</v>
      </c>
      <c r="P270" s="39">
        <f t="shared" si="43"/>
        <v>41820.606111111112</v>
      </c>
      <c r="Q270" s="40">
        <f t="shared" si="44"/>
        <v>-0.55093919609620912</v>
      </c>
      <c r="R270" s="39">
        <f t="shared" si="45"/>
        <v>83180.399999999994</v>
      </c>
      <c r="S270" s="41"/>
      <c r="U270" s="42">
        <f t="shared" si="46"/>
        <v>3</v>
      </c>
      <c r="V270" s="42">
        <f t="shared" si="47"/>
        <v>-1</v>
      </c>
      <c r="W270" s="42">
        <f t="shared" si="48"/>
        <v>-2</v>
      </c>
      <c r="Y270" s="28">
        <v>265</v>
      </c>
    </row>
    <row r="271" spans="1:25" s="28" customFormat="1" ht="73.5" hidden="1" customHeight="1" x14ac:dyDescent="0.2">
      <c r="A271" s="30">
        <v>272</v>
      </c>
      <c r="B271" s="31" t="s">
        <v>382</v>
      </c>
      <c r="C271" s="32" t="s">
        <v>383</v>
      </c>
      <c r="D271" s="33">
        <v>20</v>
      </c>
      <c r="E271" s="34">
        <v>1749.5</v>
      </c>
      <c r="F271" s="35">
        <v>1778.52</v>
      </c>
      <c r="G271" s="32" t="s">
        <v>27</v>
      </c>
      <c r="H271" s="37">
        <f>2098.33/1.2</f>
        <v>1748.6083333333333</v>
      </c>
      <c r="I271" s="38">
        <f t="shared" si="40"/>
        <v>34972.166666666664</v>
      </c>
      <c r="J271" s="38" t="s">
        <v>28</v>
      </c>
      <c r="K271" s="37">
        <v>1845.6</v>
      </c>
      <c r="L271" s="38">
        <f t="shared" si="41"/>
        <v>36912</v>
      </c>
      <c r="M271" s="33" t="s">
        <v>29</v>
      </c>
      <c r="N271" s="37">
        <v>1795.33</v>
      </c>
      <c r="O271" s="38">
        <f t="shared" si="42"/>
        <v>35906.6</v>
      </c>
      <c r="P271" s="39">
        <f t="shared" si="43"/>
        <v>1796.5127777777777</v>
      </c>
      <c r="Q271" s="40">
        <f t="shared" si="44"/>
        <v>-1.0015390928660253</v>
      </c>
      <c r="R271" s="39">
        <f t="shared" si="45"/>
        <v>35570.400000000001</v>
      </c>
      <c r="S271" s="47" t="s">
        <v>116</v>
      </c>
      <c r="U271" s="42">
        <f t="shared" si="46"/>
        <v>-3</v>
      </c>
      <c r="V271" s="42">
        <f t="shared" si="47"/>
        <v>3</v>
      </c>
      <c r="W271" s="42">
        <f t="shared" si="48"/>
        <v>0</v>
      </c>
      <c r="Y271" s="28">
        <v>266</v>
      </c>
    </row>
    <row r="272" spans="1:25" s="28" customFormat="1" ht="73.5" customHeight="1" x14ac:dyDescent="0.2">
      <c r="A272" s="30">
        <v>273</v>
      </c>
      <c r="B272" s="31" t="s">
        <v>384</v>
      </c>
      <c r="C272" s="32" t="s">
        <v>323</v>
      </c>
      <c r="D272" s="33">
        <v>18</v>
      </c>
      <c r="E272" s="34">
        <v>176355</v>
      </c>
      <c r="F272" s="35">
        <v>181054.64</v>
      </c>
      <c r="G272" s="37" t="s">
        <v>90</v>
      </c>
      <c r="H272" s="37">
        <v>185520</v>
      </c>
      <c r="I272" s="38">
        <f t="shared" si="40"/>
        <v>3339360</v>
      </c>
      <c r="J272" s="32" t="s">
        <v>385</v>
      </c>
      <c r="K272" s="37">
        <v>179571</v>
      </c>
      <c r="L272" s="38">
        <f t="shared" si="41"/>
        <v>3232278</v>
      </c>
      <c r="M272" s="36" t="s">
        <v>386</v>
      </c>
      <c r="N272" s="37">
        <v>179000</v>
      </c>
      <c r="O272" s="38">
        <f t="shared" si="42"/>
        <v>3222000</v>
      </c>
      <c r="P272" s="39">
        <f t="shared" si="43"/>
        <v>181363.66666666666</v>
      </c>
      <c r="Q272" s="40">
        <f t="shared" si="44"/>
        <v>-0.17039061480524254</v>
      </c>
      <c r="R272" s="39">
        <f t="shared" si="45"/>
        <v>3258983.5200000005</v>
      </c>
      <c r="S272" s="41"/>
      <c r="U272" s="42">
        <f t="shared" si="46"/>
        <v>2</v>
      </c>
      <c r="V272" s="42">
        <f t="shared" si="47"/>
        <v>-1</v>
      </c>
      <c r="W272" s="42">
        <f t="shared" si="48"/>
        <v>-1</v>
      </c>
      <c r="Y272" s="28">
        <v>267</v>
      </c>
    </row>
    <row r="273" spans="1:25" s="28" customFormat="1" ht="73.5" customHeight="1" x14ac:dyDescent="0.2">
      <c r="A273" s="30">
        <v>274</v>
      </c>
      <c r="B273" s="31" t="s">
        <v>387</v>
      </c>
      <c r="C273" s="32" t="s">
        <v>25</v>
      </c>
      <c r="D273" s="33">
        <v>48</v>
      </c>
      <c r="E273" s="34">
        <v>571.41999999999996</v>
      </c>
      <c r="F273" s="35">
        <v>902.6</v>
      </c>
      <c r="G273" s="32" t="s">
        <v>56</v>
      </c>
      <c r="H273" s="37">
        <v>921.12</v>
      </c>
      <c r="I273" s="38">
        <f t="shared" si="40"/>
        <v>44213.760000000002</v>
      </c>
      <c r="J273" s="32" t="s">
        <v>57</v>
      </c>
      <c r="K273" s="37">
        <v>899.34</v>
      </c>
      <c r="L273" s="38">
        <f t="shared" si="41"/>
        <v>43168.32</v>
      </c>
      <c r="M273" s="38" t="s">
        <v>68</v>
      </c>
      <c r="N273" s="37">
        <v>925.7</v>
      </c>
      <c r="O273" s="38">
        <f t="shared" si="42"/>
        <v>44433.600000000006</v>
      </c>
      <c r="P273" s="39">
        <f t="shared" si="43"/>
        <v>915.38666666666666</v>
      </c>
      <c r="Q273" s="40">
        <f t="shared" si="44"/>
        <v>-1.3968596148804124</v>
      </c>
      <c r="R273" s="39">
        <f t="shared" si="45"/>
        <v>43324.800000000003</v>
      </c>
      <c r="S273" s="41"/>
      <c r="U273" s="42">
        <f t="shared" si="46"/>
        <v>1</v>
      </c>
      <c r="V273" s="42">
        <f t="shared" si="47"/>
        <v>-2</v>
      </c>
      <c r="W273" s="42">
        <f t="shared" si="48"/>
        <v>1</v>
      </c>
      <c r="Y273" s="28">
        <v>268</v>
      </c>
    </row>
    <row r="274" spans="1:25" s="28" customFormat="1" ht="73.5" customHeight="1" x14ac:dyDescent="0.2">
      <c r="A274" s="30">
        <v>279</v>
      </c>
      <c r="B274" s="31" t="s">
        <v>388</v>
      </c>
      <c r="C274" s="32" t="s">
        <v>25</v>
      </c>
      <c r="D274" s="33">
        <v>40</v>
      </c>
      <c r="E274" s="34" t="s">
        <v>26</v>
      </c>
      <c r="F274" s="35">
        <v>835.7</v>
      </c>
      <c r="G274" s="32" t="s">
        <v>56</v>
      </c>
      <c r="H274" s="37">
        <v>811.5</v>
      </c>
      <c r="I274" s="38">
        <f t="shared" si="40"/>
        <v>32460</v>
      </c>
      <c r="J274" s="32" t="s">
        <v>57</v>
      </c>
      <c r="K274" s="37">
        <v>889.61</v>
      </c>
      <c r="L274" s="38">
        <f t="shared" si="41"/>
        <v>35584.400000000001</v>
      </c>
      <c r="M274" s="38" t="s">
        <v>68</v>
      </c>
      <c r="N274" s="37">
        <v>825.3</v>
      </c>
      <c r="O274" s="38">
        <f t="shared" si="42"/>
        <v>33012</v>
      </c>
      <c r="P274" s="39">
        <f t="shared" si="43"/>
        <v>842.13666666666666</v>
      </c>
      <c r="Q274" s="40">
        <f t="shared" si="44"/>
        <v>-0.76432566368879407</v>
      </c>
      <c r="R274" s="39">
        <f t="shared" si="45"/>
        <v>33428</v>
      </c>
      <c r="S274" s="41"/>
      <c r="U274" s="42">
        <f t="shared" si="46"/>
        <v>-4</v>
      </c>
      <c r="V274" s="42">
        <f t="shared" si="47"/>
        <v>6</v>
      </c>
      <c r="W274" s="42">
        <f t="shared" si="48"/>
        <v>-2</v>
      </c>
      <c r="Y274" s="28">
        <v>269</v>
      </c>
    </row>
    <row r="275" spans="1:25" s="28" customFormat="1" ht="73.5" customHeight="1" x14ac:dyDescent="0.2">
      <c r="A275" s="30">
        <v>280</v>
      </c>
      <c r="B275" s="31" t="s">
        <v>389</v>
      </c>
      <c r="C275" s="32" t="s">
        <v>390</v>
      </c>
      <c r="D275" s="33">
        <v>21</v>
      </c>
      <c r="E275" s="34" t="s">
        <v>26</v>
      </c>
      <c r="F275" s="35">
        <v>856.33</v>
      </c>
      <c r="G275" s="36" t="s">
        <v>27</v>
      </c>
      <c r="H275" s="37">
        <f>988.3/1.2</f>
        <v>823.58333333333337</v>
      </c>
      <c r="I275" s="38">
        <f t="shared" si="40"/>
        <v>17295.25</v>
      </c>
      <c r="J275" s="38" t="s">
        <v>28</v>
      </c>
      <c r="K275" s="37">
        <v>897.61</v>
      </c>
      <c r="L275" s="38">
        <f t="shared" si="41"/>
        <v>18849.810000000001</v>
      </c>
      <c r="M275" s="33" t="s">
        <v>29</v>
      </c>
      <c r="N275" s="37">
        <v>854.77</v>
      </c>
      <c r="O275" s="38">
        <f t="shared" si="42"/>
        <v>17950.169999999998</v>
      </c>
      <c r="P275" s="39">
        <f t="shared" si="43"/>
        <v>858.65444444444438</v>
      </c>
      <c r="Q275" s="40">
        <f t="shared" si="44"/>
        <v>-0.27070778698971765</v>
      </c>
      <c r="R275" s="39">
        <f t="shared" si="45"/>
        <v>17982.93</v>
      </c>
      <c r="S275" s="41"/>
      <c r="U275" s="42">
        <f t="shared" si="46"/>
        <v>-4</v>
      </c>
      <c r="V275" s="42">
        <f t="shared" si="47"/>
        <v>5</v>
      </c>
      <c r="W275" s="42">
        <f t="shared" si="48"/>
        <v>0</v>
      </c>
      <c r="Y275" s="28">
        <v>270</v>
      </c>
    </row>
    <row r="276" spans="1:25" s="28" customFormat="1" ht="73.5" customHeight="1" x14ac:dyDescent="0.2">
      <c r="A276" s="30">
        <v>281</v>
      </c>
      <c r="B276" s="31" t="s">
        <v>391</v>
      </c>
      <c r="C276" s="32" t="s">
        <v>392</v>
      </c>
      <c r="D276" s="33">
        <v>80</v>
      </c>
      <c r="E276" s="34"/>
      <c r="F276" s="35">
        <v>891.4</v>
      </c>
      <c r="G276" s="32" t="s">
        <v>27</v>
      </c>
      <c r="H276" s="37">
        <f>993.74/1.2</f>
        <v>828.11666666666667</v>
      </c>
      <c r="I276" s="38">
        <f t="shared" si="40"/>
        <v>66249.333333333328</v>
      </c>
      <c r="J276" s="38" t="s">
        <v>28</v>
      </c>
      <c r="K276" s="37">
        <v>910.49</v>
      </c>
      <c r="L276" s="38">
        <f t="shared" si="41"/>
        <v>72839.199999999997</v>
      </c>
      <c r="M276" s="33" t="s">
        <v>29</v>
      </c>
      <c r="N276" s="37">
        <v>941.56</v>
      </c>
      <c r="O276" s="38">
        <f t="shared" si="42"/>
        <v>75324.799999999988</v>
      </c>
      <c r="P276" s="39">
        <f t="shared" si="43"/>
        <v>893.3888888888888</v>
      </c>
      <c r="Q276" s="40">
        <f t="shared" si="44"/>
        <v>-0.22262297120825281</v>
      </c>
      <c r="R276" s="39">
        <f t="shared" si="45"/>
        <v>71312</v>
      </c>
      <c r="S276" s="41"/>
      <c r="U276" s="42">
        <f t="shared" si="46"/>
        <v>-7</v>
      </c>
      <c r="V276" s="42">
        <f t="shared" si="47"/>
        <v>2</v>
      </c>
      <c r="W276" s="42">
        <f t="shared" si="48"/>
        <v>5</v>
      </c>
      <c r="Y276" s="28">
        <v>271</v>
      </c>
    </row>
    <row r="277" spans="1:25" s="28" customFormat="1" ht="73.5" customHeight="1" x14ac:dyDescent="0.2">
      <c r="A277" s="30">
        <v>282</v>
      </c>
      <c r="B277" s="31" t="s">
        <v>393</v>
      </c>
      <c r="C277" s="32" t="s">
        <v>25</v>
      </c>
      <c r="D277" s="33">
        <v>44</v>
      </c>
      <c r="E277" s="34">
        <v>73059.55</v>
      </c>
      <c r="F277" s="35">
        <v>85001.4</v>
      </c>
      <c r="G277" s="32" t="s">
        <v>56</v>
      </c>
      <c r="H277" s="37">
        <v>85400.4</v>
      </c>
      <c r="I277" s="38">
        <f t="shared" si="40"/>
        <v>3757617.5999999996</v>
      </c>
      <c r="J277" s="32" t="s">
        <v>57</v>
      </c>
      <c r="K277" s="37">
        <v>83700.61</v>
      </c>
      <c r="L277" s="38">
        <f t="shared" si="41"/>
        <v>3682826.84</v>
      </c>
      <c r="M277" s="32" t="s">
        <v>119</v>
      </c>
      <c r="N277" s="37">
        <v>87712.52</v>
      </c>
      <c r="O277" s="38">
        <f t="shared" si="42"/>
        <v>3859350.8800000004</v>
      </c>
      <c r="P277" s="39">
        <f t="shared" si="43"/>
        <v>85604.510000000009</v>
      </c>
      <c r="Q277" s="40">
        <f t="shared" si="44"/>
        <v>-0.70453063746292344</v>
      </c>
      <c r="R277" s="39">
        <f t="shared" si="45"/>
        <v>3740061.5999999996</v>
      </c>
      <c r="S277" s="41"/>
      <c r="U277" s="42">
        <f t="shared" si="46"/>
        <v>0</v>
      </c>
      <c r="V277" s="42">
        <f t="shared" si="47"/>
        <v>-2</v>
      </c>
      <c r="W277" s="42">
        <f t="shared" si="48"/>
        <v>2</v>
      </c>
      <c r="Y277" s="28">
        <v>272</v>
      </c>
    </row>
    <row r="278" spans="1:25" s="28" customFormat="1" ht="129.75" customHeight="1" x14ac:dyDescent="0.2">
      <c r="A278" s="30">
        <v>284</v>
      </c>
      <c r="B278" s="31" t="s">
        <v>394</v>
      </c>
      <c r="C278" s="32" t="s">
        <v>65</v>
      </c>
      <c r="D278" s="33">
        <v>9</v>
      </c>
      <c r="E278" s="34">
        <v>10087.129999999999</v>
      </c>
      <c r="F278" s="35">
        <v>13200.5</v>
      </c>
      <c r="G278" s="36" t="s">
        <v>27</v>
      </c>
      <c r="H278" s="37">
        <f>14543.24/1.2</f>
        <v>12119.366666666667</v>
      </c>
      <c r="I278" s="38">
        <f t="shared" si="40"/>
        <v>109074.3</v>
      </c>
      <c r="J278" s="38" t="s">
        <v>28</v>
      </c>
      <c r="K278" s="37">
        <v>13540.62</v>
      </c>
      <c r="L278" s="38">
        <f t="shared" si="41"/>
        <v>121865.58</v>
      </c>
      <c r="M278" s="33" t="s">
        <v>29</v>
      </c>
      <c r="N278" s="37">
        <v>13974.2</v>
      </c>
      <c r="O278" s="38">
        <f t="shared" si="42"/>
        <v>125767.8</v>
      </c>
      <c r="P278" s="39">
        <f t="shared" si="43"/>
        <v>13211.395555555557</v>
      </c>
      <c r="Q278" s="40">
        <f t="shared" si="44"/>
        <v>-8.2470890450139223E-2</v>
      </c>
      <c r="R278" s="39">
        <f t="shared" si="45"/>
        <v>118804.5</v>
      </c>
      <c r="S278" s="41"/>
      <c r="U278" s="42">
        <f t="shared" si="46"/>
        <v>-8</v>
      </c>
      <c r="V278" s="42">
        <f t="shared" si="47"/>
        <v>2</v>
      </c>
      <c r="W278" s="42">
        <f t="shared" si="48"/>
        <v>6</v>
      </c>
      <c r="Y278" s="28">
        <v>273</v>
      </c>
    </row>
    <row r="279" spans="1:25" s="28" customFormat="1" ht="152.25" customHeight="1" x14ac:dyDescent="0.2">
      <c r="A279" s="30">
        <v>285</v>
      </c>
      <c r="B279" s="31" t="s">
        <v>395</v>
      </c>
      <c r="C279" s="32" t="s">
        <v>65</v>
      </c>
      <c r="D279" s="33">
        <v>6</v>
      </c>
      <c r="E279" s="34">
        <v>10712.49</v>
      </c>
      <c r="F279" s="35">
        <v>13054.66</v>
      </c>
      <c r="G279" s="36" t="s">
        <v>27</v>
      </c>
      <c r="H279" s="37">
        <f>15425.82/1.2</f>
        <v>12854.85</v>
      </c>
      <c r="I279" s="38">
        <f t="shared" si="40"/>
        <v>77129.100000000006</v>
      </c>
      <c r="J279" s="38" t="s">
        <v>28</v>
      </c>
      <c r="K279" s="37">
        <v>13002.74</v>
      </c>
      <c r="L279" s="38">
        <f t="shared" si="41"/>
        <v>78016.44</v>
      </c>
      <c r="M279" s="33" t="s">
        <v>29</v>
      </c>
      <c r="N279" s="37">
        <v>13566.4</v>
      </c>
      <c r="O279" s="38">
        <f t="shared" si="42"/>
        <v>81398.399999999994</v>
      </c>
      <c r="P279" s="39">
        <f t="shared" si="43"/>
        <v>13141.33</v>
      </c>
      <c r="Q279" s="40">
        <f t="shared" si="44"/>
        <v>-0.65952228579602945</v>
      </c>
      <c r="R279" s="39">
        <f t="shared" si="45"/>
        <v>78327.959999999992</v>
      </c>
      <c r="S279" s="41"/>
      <c r="U279" s="42">
        <f t="shared" si="46"/>
        <v>-2</v>
      </c>
      <c r="V279" s="42">
        <f t="shared" si="47"/>
        <v>-1</v>
      </c>
      <c r="W279" s="42">
        <f t="shared" si="48"/>
        <v>3</v>
      </c>
      <c r="Y279" s="28">
        <v>274</v>
      </c>
    </row>
    <row r="280" spans="1:25" s="28" customFormat="1" ht="73.5" customHeight="1" x14ac:dyDescent="0.2">
      <c r="A280" s="30">
        <v>290</v>
      </c>
      <c r="B280" s="31" t="s">
        <v>396</v>
      </c>
      <c r="C280" s="32" t="s">
        <v>25</v>
      </c>
      <c r="D280" s="33">
        <v>1</v>
      </c>
      <c r="E280" s="34">
        <v>3933.86</v>
      </c>
      <c r="F280" s="35">
        <v>16735.5</v>
      </c>
      <c r="G280" s="36" t="s">
        <v>27</v>
      </c>
      <c r="H280" s="37">
        <f>20044.48/1.2</f>
        <v>16703.733333333334</v>
      </c>
      <c r="I280" s="38">
        <f t="shared" si="40"/>
        <v>16703.733333333334</v>
      </c>
      <c r="J280" s="38" t="s">
        <v>28</v>
      </c>
      <c r="K280" s="37">
        <v>16540.53</v>
      </c>
      <c r="L280" s="38">
        <f t="shared" si="41"/>
        <v>16540.53</v>
      </c>
      <c r="M280" s="33" t="s">
        <v>29</v>
      </c>
      <c r="N280" s="37">
        <v>17010</v>
      </c>
      <c r="O280" s="38">
        <f t="shared" si="42"/>
        <v>17010</v>
      </c>
      <c r="P280" s="39">
        <f t="shared" si="43"/>
        <v>16751.421111111111</v>
      </c>
      <c r="Q280" s="40">
        <f t="shared" si="44"/>
        <v>-9.5043345907825483E-2</v>
      </c>
      <c r="R280" s="39">
        <f t="shared" si="45"/>
        <v>16735.5</v>
      </c>
      <c r="S280" s="57"/>
      <c r="U280" s="42">
        <f t="shared" si="46"/>
        <v>0</v>
      </c>
      <c r="V280" s="42">
        <f t="shared" si="47"/>
        <v>-1</v>
      </c>
      <c r="W280" s="42">
        <f t="shared" si="48"/>
        <v>2</v>
      </c>
      <c r="Y280" s="28">
        <v>279</v>
      </c>
    </row>
    <row r="281" spans="1:25" s="28" customFormat="1" ht="73.5" customHeight="1" x14ac:dyDescent="0.2">
      <c r="A281" s="30">
        <v>291</v>
      </c>
      <c r="B281" s="31" t="s">
        <v>397</v>
      </c>
      <c r="C281" s="32" t="s">
        <v>25</v>
      </c>
      <c r="D281" s="33">
        <v>1</v>
      </c>
      <c r="E281" s="34">
        <v>1841.37</v>
      </c>
      <c r="F281" s="35">
        <v>2330.77</v>
      </c>
      <c r="G281" s="36" t="s">
        <v>27</v>
      </c>
      <c r="H281" s="37">
        <f>2628.72/1.2</f>
        <v>2190.6</v>
      </c>
      <c r="I281" s="38">
        <f t="shared" si="40"/>
        <v>2190.6</v>
      </c>
      <c r="J281" s="38" t="s">
        <v>28</v>
      </c>
      <c r="K281" s="37">
        <v>2345.6799999999998</v>
      </c>
      <c r="L281" s="38">
        <f t="shared" si="41"/>
        <v>2345.6799999999998</v>
      </c>
      <c r="M281" s="33" t="s">
        <v>29</v>
      </c>
      <c r="N281" s="37">
        <v>2487.1999999999998</v>
      </c>
      <c r="O281" s="38">
        <f t="shared" si="42"/>
        <v>2487.1999999999998</v>
      </c>
      <c r="P281" s="39">
        <f t="shared" si="43"/>
        <v>2341.16</v>
      </c>
      <c r="Q281" s="40">
        <f t="shared" si="44"/>
        <v>-0.44379709203984419</v>
      </c>
      <c r="R281" s="39">
        <f t="shared" si="45"/>
        <v>2330.77</v>
      </c>
      <c r="S281" s="41"/>
      <c r="U281" s="42">
        <f t="shared" si="46"/>
        <v>-6</v>
      </c>
      <c r="V281" s="42">
        <f t="shared" si="47"/>
        <v>0</v>
      </c>
      <c r="W281" s="42">
        <f t="shared" si="48"/>
        <v>6</v>
      </c>
      <c r="Y281" s="28">
        <v>280</v>
      </c>
    </row>
    <row r="282" spans="1:25" s="28" customFormat="1" ht="73.5" customHeight="1" x14ac:dyDescent="0.2">
      <c r="A282" s="30">
        <v>292</v>
      </c>
      <c r="B282" s="31" t="s">
        <v>398</v>
      </c>
      <c r="C282" s="32" t="s">
        <v>25</v>
      </c>
      <c r="D282" s="33">
        <v>2</v>
      </c>
      <c r="E282" s="34">
        <v>1841.37</v>
      </c>
      <c r="F282" s="35">
        <v>3600</v>
      </c>
      <c r="G282" s="36" t="s">
        <v>27</v>
      </c>
      <c r="H282" s="37">
        <f>3915.81/1.2</f>
        <v>3263.1750000000002</v>
      </c>
      <c r="I282" s="38">
        <f t="shared" si="40"/>
        <v>6526.35</v>
      </c>
      <c r="J282" s="38" t="s">
        <v>28</v>
      </c>
      <c r="K282" s="37">
        <v>3604.32</v>
      </c>
      <c r="L282" s="38">
        <f t="shared" si="41"/>
        <v>7208.64</v>
      </c>
      <c r="M282" s="33" t="s">
        <v>29</v>
      </c>
      <c r="N282" s="37">
        <v>3954.31</v>
      </c>
      <c r="O282" s="38">
        <f t="shared" si="42"/>
        <v>7908.62</v>
      </c>
      <c r="P282" s="39">
        <f t="shared" si="43"/>
        <v>3607.2683333333334</v>
      </c>
      <c r="Q282" s="40">
        <f t="shared" si="44"/>
        <v>-0.20149134086227605</v>
      </c>
      <c r="R282" s="39">
        <f t="shared" si="45"/>
        <v>7200</v>
      </c>
      <c r="S282" s="41"/>
      <c r="U282" s="42">
        <f t="shared" si="46"/>
        <v>-10</v>
      </c>
      <c r="V282" s="42">
        <f t="shared" si="47"/>
        <v>0</v>
      </c>
      <c r="W282" s="42">
        <f t="shared" si="48"/>
        <v>10</v>
      </c>
      <c r="Y282" s="28">
        <v>281</v>
      </c>
    </row>
    <row r="283" spans="1:25" s="28" customFormat="1" ht="73.5" customHeight="1" x14ac:dyDescent="0.2">
      <c r="A283" s="30">
        <v>293</v>
      </c>
      <c r="B283" s="31" t="s">
        <v>399</v>
      </c>
      <c r="C283" s="32" t="s">
        <v>25</v>
      </c>
      <c r="D283" s="33">
        <v>1</v>
      </c>
      <c r="E283" s="34">
        <v>6174.53</v>
      </c>
      <c r="F283" s="35">
        <v>6600.75</v>
      </c>
      <c r="G283" s="32" t="s">
        <v>27</v>
      </c>
      <c r="H283" s="37">
        <f>7630.45/1.2</f>
        <v>6358.708333333333</v>
      </c>
      <c r="I283" s="38">
        <f t="shared" si="40"/>
        <v>6358.708333333333</v>
      </c>
      <c r="J283" s="38" t="s">
        <v>28</v>
      </c>
      <c r="K283" s="37">
        <v>6468.15</v>
      </c>
      <c r="L283" s="38">
        <f t="shared" si="41"/>
        <v>6468.15</v>
      </c>
      <c r="M283" s="33" t="s">
        <v>29</v>
      </c>
      <c r="N283" s="37">
        <v>7020.16</v>
      </c>
      <c r="O283" s="38">
        <f t="shared" si="42"/>
        <v>7020.16</v>
      </c>
      <c r="P283" s="39">
        <f t="shared" si="43"/>
        <v>6615.6727777777778</v>
      </c>
      <c r="Q283" s="40">
        <f t="shared" si="44"/>
        <v>-0.22556704781264614</v>
      </c>
      <c r="R283" s="39">
        <f t="shared" si="45"/>
        <v>6600.75</v>
      </c>
      <c r="S283" s="41"/>
      <c r="U283" s="42">
        <f t="shared" si="46"/>
        <v>-4</v>
      </c>
      <c r="V283" s="42">
        <f t="shared" si="47"/>
        <v>-2</v>
      </c>
      <c r="W283" s="42">
        <f t="shared" si="48"/>
        <v>6</v>
      </c>
      <c r="Y283" s="28">
        <v>282</v>
      </c>
    </row>
    <row r="284" spans="1:25" s="28" customFormat="1" ht="73.5" customHeight="1" x14ac:dyDescent="0.2">
      <c r="A284" s="30">
        <v>295</v>
      </c>
      <c r="B284" s="31" t="s">
        <v>400</v>
      </c>
      <c r="C284" s="32" t="s">
        <v>25</v>
      </c>
      <c r="D284" s="33">
        <v>2</v>
      </c>
      <c r="E284" s="34" t="s">
        <v>26</v>
      </c>
      <c r="F284" s="35">
        <v>27700.560000000001</v>
      </c>
      <c r="G284" s="32" t="s">
        <v>27</v>
      </c>
      <c r="H284" s="37">
        <f>32738.89/1.2</f>
        <v>27282.408333333333</v>
      </c>
      <c r="I284" s="38">
        <f t="shared" si="40"/>
        <v>54564.816666666666</v>
      </c>
      <c r="J284" s="38" t="s">
        <v>28</v>
      </c>
      <c r="K284" s="37">
        <v>28314.240000000002</v>
      </c>
      <c r="L284" s="38">
        <f t="shared" si="41"/>
        <v>56628.480000000003</v>
      </c>
      <c r="M284" s="33" t="s">
        <v>29</v>
      </c>
      <c r="N284" s="37">
        <v>27597.599999999999</v>
      </c>
      <c r="O284" s="38">
        <f t="shared" si="42"/>
        <v>55195.199999999997</v>
      </c>
      <c r="P284" s="39">
        <f t="shared" si="43"/>
        <v>27731.416111111106</v>
      </c>
      <c r="Q284" s="40">
        <f t="shared" si="44"/>
        <v>-0.11126770803004149</v>
      </c>
      <c r="R284" s="39">
        <f t="shared" si="45"/>
        <v>55401.120000000003</v>
      </c>
      <c r="S284" s="41"/>
      <c r="U284" s="42">
        <f t="shared" si="46"/>
        <v>-2</v>
      </c>
      <c r="V284" s="42">
        <f t="shared" si="47"/>
        <v>2</v>
      </c>
      <c r="W284" s="42">
        <f t="shared" si="48"/>
        <v>0</v>
      </c>
      <c r="Y284" s="28">
        <v>284</v>
      </c>
    </row>
    <row r="285" spans="1:25" s="28" customFormat="1" ht="73.5" customHeight="1" x14ac:dyDescent="0.2">
      <c r="A285" s="30">
        <v>296</v>
      </c>
      <c r="B285" s="31" t="s">
        <v>401</v>
      </c>
      <c r="C285" s="32" t="s">
        <v>25</v>
      </c>
      <c r="D285" s="33">
        <v>1</v>
      </c>
      <c r="E285" s="34">
        <v>36961.480000000003</v>
      </c>
      <c r="F285" s="35">
        <v>46300.5</v>
      </c>
      <c r="G285" s="32" t="s">
        <v>27</v>
      </c>
      <c r="H285" s="37">
        <f>54979.55/1.2</f>
        <v>45816.291666666672</v>
      </c>
      <c r="I285" s="38">
        <f t="shared" si="40"/>
        <v>45816.291666666672</v>
      </c>
      <c r="J285" s="38" t="s">
        <v>28</v>
      </c>
      <c r="K285" s="37">
        <v>46315.48</v>
      </c>
      <c r="L285" s="38">
        <f t="shared" si="41"/>
        <v>46315.48</v>
      </c>
      <c r="M285" s="33" t="s">
        <v>29</v>
      </c>
      <c r="N285" s="37">
        <v>46780.3</v>
      </c>
      <c r="O285" s="38">
        <f t="shared" si="42"/>
        <v>46780.3</v>
      </c>
      <c r="P285" s="39">
        <f t="shared" si="43"/>
        <v>46304.023888888885</v>
      </c>
      <c r="Q285" s="40">
        <f t="shared" si="44"/>
        <v>-7.6103297141969506E-3</v>
      </c>
      <c r="R285" s="39">
        <f t="shared" si="45"/>
        <v>46300.5</v>
      </c>
      <c r="S285" s="41"/>
      <c r="U285" s="42">
        <f t="shared" si="46"/>
        <v>-1</v>
      </c>
      <c r="V285" s="42">
        <f t="shared" si="47"/>
        <v>0</v>
      </c>
      <c r="W285" s="42">
        <f t="shared" si="48"/>
        <v>1</v>
      </c>
      <c r="Y285" s="28">
        <v>285</v>
      </c>
    </row>
    <row r="286" spans="1:25" s="28" customFormat="1" ht="73.5" hidden="1" customHeight="1" x14ac:dyDescent="0.2">
      <c r="A286" s="30">
        <v>297</v>
      </c>
      <c r="B286" s="31" t="s">
        <v>402</v>
      </c>
      <c r="C286" s="32" t="s">
        <v>147</v>
      </c>
      <c r="D286" s="33">
        <v>2</v>
      </c>
      <c r="E286" s="34">
        <v>41.08</v>
      </c>
      <c r="F286" s="35">
        <v>42.3</v>
      </c>
      <c r="G286" s="32" t="s">
        <v>27</v>
      </c>
      <c r="H286" s="37">
        <f>50.03/1.2</f>
        <v>41.69166666666667</v>
      </c>
      <c r="I286" s="38">
        <f t="shared" si="40"/>
        <v>83.38333333333334</v>
      </c>
      <c r="J286" s="38" t="s">
        <v>28</v>
      </c>
      <c r="K286" s="37">
        <v>42.01</v>
      </c>
      <c r="L286" s="38">
        <f t="shared" si="41"/>
        <v>84.02</v>
      </c>
      <c r="M286" s="33" t="s">
        <v>29</v>
      </c>
      <c r="N286" s="37">
        <v>44.25</v>
      </c>
      <c r="O286" s="38">
        <f t="shared" si="42"/>
        <v>88.5</v>
      </c>
      <c r="P286" s="39">
        <f t="shared" si="43"/>
        <v>42.650555555555556</v>
      </c>
      <c r="Q286" s="40">
        <f t="shared" si="44"/>
        <v>-0.82192494561748219</v>
      </c>
      <c r="R286" s="39">
        <f t="shared" si="45"/>
        <v>84.6</v>
      </c>
      <c r="S286" s="47" t="s">
        <v>116</v>
      </c>
      <c r="U286" s="42">
        <f t="shared" si="46"/>
        <v>-2</v>
      </c>
      <c r="V286" s="42">
        <f t="shared" si="47"/>
        <v>-2</v>
      </c>
      <c r="W286" s="42">
        <f t="shared" si="48"/>
        <v>4</v>
      </c>
      <c r="Y286" s="28">
        <v>286</v>
      </c>
    </row>
    <row r="287" spans="1:25" s="28" customFormat="1" ht="73.5" hidden="1" customHeight="1" x14ac:dyDescent="0.2">
      <c r="A287" s="30">
        <v>298</v>
      </c>
      <c r="B287" s="31" t="s">
        <v>403</v>
      </c>
      <c r="C287" s="32" t="s">
        <v>147</v>
      </c>
      <c r="D287" s="33">
        <v>10</v>
      </c>
      <c r="E287" s="34">
        <v>19.62</v>
      </c>
      <c r="F287" s="35">
        <v>21.55</v>
      </c>
      <c r="G287" s="32" t="s">
        <v>27</v>
      </c>
      <c r="H287" s="37">
        <f>23.86/1.2</f>
        <v>19.883333333333333</v>
      </c>
      <c r="I287" s="38">
        <f t="shared" si="40"/>
        <v>198.83333333333331</v>
      </c>
      <c r="J287" s="38" t="s">
        <v>28</v>
      </c>
      <c r="K287" s="37">
        <v>23.66</v>
      </c>
      <c r="L287" s="38">
        <f t="shared" si="41"/>
        <v>236.6</v>
      </c>
      <c r="M287" s="33" t="s">
        <v>29</v>
      </c>
      <c r="N287" s="37">
        <v>21.7</v>
      </c>
      <c r="O287" s="38">
        <f t="shared" si="42"/>
        <v>217</v>
      </c>
      <c r="P287" s="39">
        <f t="shared" si="43"/>
        <v>21.747777777777781</v>
      </c>
      <c r="Q287" s="40">
        <f t="shared" si="44"/>
        <v>-0.90941603228939982</v>
      </c>
      <c r="R287" s="39">
        <f t="shared" si="45"/>
        <v>215.5</v>
      </c>
      <c r="S287" s="47" t="s">
        <v>116</v>
      </c>
      <c r="U287" s="42">
        <f t="shared" si="46"/>
        <v>-9</v>
      </c>
      <c r="V287" s="42">
        <f t="shared" si="47"/>
        <v>9</v>
      </c>
      <c r="W287" s="42">
        <f t="shared" si="48"/>
        <v>0</v>
      </c>
      <c r="Y287" s="28">
        <v>287</v>
      </c>
    </row>
    <row r="288" spans="1:25" s="28" customFormat="1" ht="73.5" hidden="1" customHeight="1" x14ac:dyDescent="0.2">
      <c r="A288" s="30">
        <v>299</v>
      </c>
      <c r="B288" s="31" t="s">
        <v>404</v>
      </c>
      <c r="C288" s="32" t="s">
        <v>147</v>
      </c>
      <c r="D288" s="33">
        <v>2</v>
      </c>
      <c r="E288" s="34">
        <v>15.79</v>
      </c>
      <c r="F288" s="35">
        <v>17.5</v>
      </c>
      <c r="G288" s="32" t="s">
        <v>27</v>
      </c>
      <c r="H288" s="37">
        <f>19.58/1.2</f>
        <v>16.316666666666666</v>
      </c>
      <c r="I288" s="38">
        <f t="shared" si="40"/>
        <v>32.633333333333333</v>
      </c>
      <c r="J288" s="38" t="s">
        <v>28</v>
      </c>
      <c r="K288" s="37">
        <v>17.739999999999998</v>
      </c>
      <c r="L288" s="38">
        <f t="shared" si="41"/>
        <v>35.479999999999997</v>
      </c>
      <c r="M288" s="33" t="s">
        <v>29</v>
      </c>
      <c r="N288" s="37">
        <v>19.7</v>
      </c>
      <c r="O288" s="38">
        <f t="shared" si="42"/>
        <v>39.4</v>
      </c>
      <c r="P288" s="39">
        <f t="shared" si="43"/>
        <v>17.918888888888887</v>
      </c>
      <c r="Q288" s="40">
        <f t="shared" si="44"/>
        <v>-2.3376945495132304</v>
      </c>
      <c r="R288" s="39">
        <f t="shared" si="45"/>
        <v>35</v>
      </c>
      <c r="S288" s="47" t="s">
        <v>116</v>
      </c>
      <c r="U288" s="42">
        <f t="shared" si="46"/>
        <v>-9</v>
      </c>
      <c r="V288" s="42">
        <f t="shared" si="47"/>
        <v>-1</v>
      </c>
      <c r="W288" s="42">
        <f t="shared" si="48"/>
        <v>10</v>
      </c>
      <c r="Y288" s="28">
        <v>288</v>
      </c>
    </row>
    <row r="289" spans="1:25" s="28" customFormat="1" ht="73.5" hidden="1" customHeight="1" x14ac:dyDescent="0.2">
      <c r="A289" s="30">
        <v>300</v>
      </c>
      <c r="B289" s="31" t="s">
        <v>405</v>
      </c>
      <c r="C289" s="32" t="s">
        <v>147</v>
      </c>
      <c r="D289" s="33">
        <v>10</v>
      </c>
      <c r="E289" s="34">
        <v>38.33</v>
      </c>
      <c r="F289" s="35">
        <v>48.02</v>
      </c>
      <c r="G289" s="32" t="s">
        <v>27</v>
      </c>
      <c r="H289" s="37">
        <f>55.42/1.2</f>
        <v>46.183333333333337</v>
      </c>
      <c r="I289" s="38">
        <f t="shared" si="40"/>
        <v>461.83333333333337</v>
      </c>
      <c r="J289" s="38" t="s">
        <v>28</v>
      </c>
      <c r="K289" s="37">
        <v>51.47</v>
      </c>
      <c r="L289" s="38">
        <f t="shared" si="41"/>
        <v>514.70000000000005</v>
      </c>
      <c r="M289" s="33" t="s">
        <v>29</v>
      </c>
      <c r="N289" s="37">
        <v>48.63</v>
      </c>
      <c r="O289" s="38">
        <f t="shared" si="42"/>
        <v>486.3</v>
      </c>
      <c r="P289" s="39">
        <f t="shared" si="43"/>
        <v>48.761111111111113</v>
      </c>
      <c r="Q289" s="40">
        <f t="shared" si="44"/>
        <v>-1.5198815084880977</v>
      </c>
      <c r="R289" s="39">
        <f t="shared" si="45"/>
        <v>480.20000000000005</v>
      </c>
      <c r="S289" s="47" t="s">
        <v>116</v>
      </c>
      <c r="U289" s="42">
        <f t="shared" si="46"/>
        <v>-5</v>
      </c>
      <c r="V289" s="42">
        <f t="shared" si="47"/>
        <v>6</v>
      </c>
      <c r="W289" s="42">
        <f t="shared" si="48"/>
        <v>0</v>
      </c>
      <c r="Y289" s="28">
        <v>289</v>
      </c>
    </row>
    <row r="290" spans="1:25" s="28" customFormat="1" ht="73.5" customHeight="1" x14ac:dyDescent="0.2">
      <c r="A290" s="30">
        <v>301</v>
      </c>
      <c r="B290" s="31" t="s">
        <v>406</v>
      </c>
      <c r="C290" s="32" t="s">
        <v>25</v>
      </c>
      <c r="D290" s="33">
        <v>4</v>
      </c>
      <c r="E290" s="34" t="s">
        <v>26</v>
      </c>
      <c r="F290" s="35">
        <v>869.7</v>
      </c>
      <c r="G290" s="32" t="s">
        <v>27</v>
      </c>
      <c r="H290" s="37">
        <f>998.09/1.2</f>
        <v>831.74166666666667</v>
      </c>
      <c r="I290" s="38">
        <f t="shared" ref="I290:I321" si="49">D290*H290</f>
        <v>3326.9666666666667</v>
      </c>
      <c r="J290" s="38" t="s">
        <v>28</v>
      </c>
      <c r="K290" s="37">
        <v>864.2</v>
      </c>
      <c r="L290" s="38">
        <f t="shared" si="41"/>
        <v>3456.8</v>
      </c>
      <c r="M290" s="33" t="s">
        <v>29</v>
      </c>
      <c r="N290" s="37">
        <v>921.4</v>
      </c>
      <c r="O290" s="38">
        <f t="shared" si="42"/>
        <v>3685.6</v>
      </c>
      <c r="P290" s="39">
        <f t="shared" si="43"/>
        <v>872.44722222222219</v>
      </c>
      <c r="Q290" s="40">
        <f t="shared" si="44"/>
        <v>-0.31488692407371843</v>
      </c>
      <c r="R290" s="39">
        <f t="shared" si="45"/>
        <v>3478.8</v>
      </c>
      <c r="S290" s="48"/>
      <c r="U290" s="42">
        <f t="shared" si="46"/>
        <v>-5</v>
      </c>
      <c r="V290" s="42">
        <f t="shared" si="47"/>
        <v>-1</v>
      </c>
      <c r="W290" s="42">
        <f t="shared" si="48"/>
        <v>6</v>
      </c>
      <c r="Y290" s="28">
        <v>290</v>
      </c>
    </row>
    <row r="291" spans="1:25" s="28" customFormat="1" ht="73.5" customHeight="1" x14ac:dyDescent="0.2">
      <c r="A291" s="30">
        <v>302</v>
      </c>
      <c r="B291" s="31" t="s">
        <v>407</v>
      </c>
      <c r="C291" s="32" t="s">
        <v>25</v>
      </c>
      <c r="D291" s="33">
        <v>100</v>
      </c>
      <c r="E291" s="34">
        <v>1579.17</v>
      </c>
      <c r="F291" s="35">
        <v>2075.4</v>
      </c>
      <c r="G291" s="32" t="s">
        <v>56</v>
      </c>
      <c r="H291" s="37">
        <v>2105.69</v>
      </c>
      <c r="I291" s="38">
        <f t="shared" si="49"/>
        <v>210569</v>
      </c>
      <c r="J291" s="32" t="s">
        <v>57</v>
      </c>
      <c r="K291" s="37">
        <v>1929.86</v>
      </c>
      <c r="L291" s="38">
        <f t="shared" si="41"/>
        <v>192986</v>
      </c>
      <c r="M291" s="32" t="s">
        <v>119</v>
      </c>
      <c r="N291" s="37">
        <v>2201.34</v>
      </c>
      <c r="O291" s="38">
        <f t="shared" si="42"/>
        <v>220134</v>
      </c>
      <c r="P291" s="39">
        <f t="shared" si="43"/>
        <v>2078.9633333333336</v>
      </c>
      <c r="Q291" s="40">
        <f t="shared" si="44"/>
        <v>-0.17139952764921418</v>
      </c>
      <c r="R291" s="39">
        <f t="shared" si="45"/>
        <v>207540</v>
      </c>
      <c r="S291" s="48"/>
      <c r="U291" s="42">
        <f t="shared" si="46"/>
        <v>1</v>
      </c>
      <c r="V291" s="42">
        <f t="shared" si="47"/>
        <v>-7</v>
      </c>
      <c r="W291" s="42">
        <f t="shared" si="48"/>
        <v>6</v>
      </c>
      <c r="Y291" s="28">
        <v>291</v>
      </c>
    </row>
    <row r="292" spans="1:25" s="28" customFormat="1" ht="73.5" customHeight="1" x14ac:dyDescent="0.2">
      <c r="A292" s="30">
        <v>303</v>
      </c>
      <c r="B292" s="31" t="s">
        <v>408</v>
      </c>
      <c r="C292" s="32" t="s">
        <v>25</v>
      </c>
      <c r="D292" s="33">
        <v>10</v>
      </c>
      <c r="E292" s="34">
        <v>1698.61</v>
      </c>
      <c r="F292" s="35">
        <v>1865.8</v>
      </c>
      <c r="G292" s="32" t="s">
        <v>27</v>
      </c>
      <c r="H292" s="37">
        <f>2139.16/1.2</f>
        <v>1782.6333333333332</v>
      </c>
      <c r="I292" s="38">
        <f t="shared" si="49"/>
        <v>17826.333333333332</v>
      </c>
      <c r="J292" s="38" t="s">
        <v>28</v>
      </c>
      <c r="K292" s="37">
        <v>1874.56</v>
      </c>
      <c r="L292" s="38">
        <f t="shared" si="41"/>
        <v>18745.599999999999</v>
      </c>
      <c r="M292" s="33" t="s">
        <v>29</v>
      </c>
      <c r="N292" s="37">
        <v>1947.3</v>
      </c>
      <c r="O292" s="38">
        <f t="shared" si="42"/>
        <v>19473</v>
      </c>
      <c r="P292" s="39">
        <f t="shared" si="43"/>
        <v>1868.1644444444444</v>
      </c>
      <c r="Q292" s="40">
        <f t="shared" si="44"/>
        <v>-0.12656511323056918</v>
      </c>
      <c r="R292" s="39">
        <f t="shared" si="45"/>
        <v>18658</v>
      </c>
      <c r="S292" s="48"/>
      <c r="U292" s="42">
        <f t="shared" si="46"/>
        <v>-5</v>
      </c>
      <c r="V292" s="42">
        <f t="shared" si="47"/>
        <v>0</v>
      </c>
      <c r="W292" s="42">
        <f t="shared" si="48"/>
        <v>4</v>
      </c>
      <c r="Y292" s="28">
        <v>292</v>
      </c>
    </row>
    <row r="293" spans="1:25" s="28" customFormat="1" ht="73.5" customHeight="1" x14ac:dyDescent="0.2">
      <c r="A293" s="30">
        <v>304</v>
      </c>
      <c r="B293" s="31" t="s">
        <v>409</v>
      </c>
      <c r="C293" s="32" t="s">
        <v>25</v>
      </c>
      <c r="D293" s="33">
        <v>2</v>
      </c>
      <c r="E293" s="34" t="s">
        <v>26</v>
      </c>
      <c r="F293" s="35">
        <v>31990.5</v>
      </c>
      <c r="G293" s="32" t="s">
        <v>27</v>
      </c>
      <c r="H293" s="37">
        <f>37069.36/1.2</f>
        <v>30891.133333333335</v>
      </c>
      <c r="I293" s="38">
        <f t="shared" si="49"/>
        <v>61782.26666666667</v>
      </c>
      <c r="J293" s="38" t="s">
        <v>28</v>
      </c>
      <c r="K293" s="37">
        <v>32114.720000000001</v>
      </c>
      <c r="L293" s="38">
        <f t="shared" si="41"/>
        <v>64229.440000000002</v>
      </c>
      <c r="M293" s="33" t="s">
        <v>29</v>
      </c>
      <c r="N293" s="37">
        <v>32972.6</v>
      </c>
      <c r="O293" s="38">
        <f t="shared" si="42"/>
        <v>65945.2</v>
      </c>
      <c r="P293" s="39">
        <f t="shared" si="43"/>
        <v>31992.817777777778</v>
      </c>
      <c r="Q293" s="40">
        <f t="shared" si="44"/>
        <v>-7.2446815840834233E-3</v>
      </c>
      <c r="R293" s="39">
        <f t="shared" si="45"/>
        <v>63981</v>
      </c>
      <c r="S293" s="48"/>
      <c r="U293" s="42">
        <f t="shared" si="46"/>
        <v>-3</v>
      </c>
      <c r="V293" s="42">
        <f t="shared" si="47"/>
        <v>0</v>
      </c>
      <c r="W293" s="42">
        <f t="shared" si="48"/>
        <v>3</v>
      </c>
      <c r="Y293" s="28">
        <v>293</v>
      </c>
    </row>
    <row r="294" spans="1:25" s="28" customFormat="1" ht="73.5" hidden="1" customHeight="1" x14ac:dyDescent="0.2">
      <c r="A294" s="30">
        <v>305</v>
      </c>
      <c r="B294" s="31" t="s">
        <v>410</v>
      </c>
      <c r="C294" s="32" t="s">
        <v>25</v>
      </c>
      <c r="D294" s="33">
        <v>20</v>
      </c>
      <c r="E294" s="34">
        <v>84.32</v>
      </c>
      <c r="F294" s="35">
        <v>110.4</v>
      </c>
      <c r="G294" s="32" t="s">
        <v>27</v>
      </c>
      <c r="H294" s="37">
        <f>130.26/1.2</f>
        <v>108.55</v>
      </c>
      <c r="I294" s="38">
        <f t="shared" si="49"/>
        <v>2171</v>
      </c>
      <c r="J294" s="38" t="s">
        <v>28</v>
      </c>
      <c r="K294" s="37">
        <v>110.5</v>
      </c>
      <c r="L294" s="38">
        <f t="shared" si="41"/>
        <v>2210</v>
      </c>
      <c r="M294" s="33" t="s">
        <v>29</v>
      </c>
      <c r="N294" s="37">
        <v>114.8</v>
      </c>
      <c r="O294" s="38">
        <f t="shared" si="42"/>
        <v>2296</v>
      </c>
      <c r="P294" s="39">
        <f t="shared" si="43"/>
        <v>111.28333333333335</v>
      </c>
      <c r="Q294" s="40">
        <f t="shared" si="44"/>
        <v>-0.79376965703161773</v>
      </c>
      <c r="R294" s="39">
        <f t="shared" si="45"/>
        <v>2208</v>
      </c>
      <c r="S294" s="47" t="s">
        <v>116</v>
      </c>
      <c r="U294" s="42">
        <f t="shared" si="46"/>
        <v>-2</v>
      </c>
      <c r="V294" s="42">
        <f t="shared" si="47"/>
        <v>-1</v>
      </c>
      <c r="W294" s="42">
        <f t="shared" si="48"/>
        <v>3</v>
      </c>
      <c r="Y294" s="28">
        <v>294</v>
      </c>
    </row>
    <row r="295" spans="1:25" s="28" customFormat="1" ht="73.5" customHeight="1" x14ac:dyDescent="0.2">
      <c r="A295" s="30">
        <v>306</v>
      </c>
      <c r="B295" s="31" t="s">
        <v>411</v>
      </c>
      <c r="C295" s="32" t="s">
        <v>25</v>
      </c>
      <c r="D295" s="33">
        <v>1</v>
      </c>
      <c r="E295" s="34">
        <v>2607.7399999999998</v>
      </c>
      <c r="F295" s="35">
        <v>2664.2</v>
      </c>
      <c r="G295" s="32" t="s">
        <v>27</v>
      </c>
      <c r="H295" s="37">
        <f>3124.54/1.2</f>
        <v>2603.7833333333333</v>
      </c>
      <c r="I295" s="38">
        <f t="shared" si="49"/>
        <v>2603.7833333333333</v>
      </c>
      <c r="J295" s="38" t="s">
        <v>28</v>
      </c>
      <c r="K295" s="37">
        <v>2754.12</v>
      </c>
      <c r="L295" s="38">
        <f t="shared" si="41"/>
        <v>2754.12</v>
      </c>
      <c r="M295" s="33" t="s">
        <v>29</v>
      </c>
      <c r="N295" s="37">
        <v>2697.35</v>
      </c>
      <c r="O295" s="38">
        <f t="shared" si="42"/>
        <v>2697.35</v>
      </c>
      <c r="P295" s="39">
        <f t="shared" si="43"/>
        <v>2685.0844444444447</v>
      </c>
      <c r="Q295" s="40">
        <f t="shared" si="44"/>
        <v>-0.77779469795281386</v>
      </c>
      <c r="R295" s="39">
        <f t="shared" si="45"/>
        <v>2664.2</v>
      </c>
      <c r="S295" s="48"/>
      <c r="U295" s="42">
        <f t="shared" si="46"/>
        <v>-3</v>
      </c>
      <c r="V295" s="42">
        <f t="shared" si="47"/>
        <v>3</v>
      </c>
      <c r="W295" s="42">
        <f t="shared" si="48"/>
        <v>0</v>
      </c>
      <c r="Y295" s="28">
        <v>295</v>
      </c>
    </row>
    <row r="296" spans="1:25" s="28" customFormat="1" ht="73.5" customHeight="1" x14ac:dyDescent="0.2">
      <c r="A296" s="30">
        <v>307</v>
      </c>
      <c r="B296" s="31" t="s">
        <v>412</v>
      </c>
      <c r="C296" s="32" t="s">
        <v>25</v>
      </c>
      <c r="D296" s="33">
        <v>1250</v>
      </c>
      <c r="E296" s="34" t="s">
        <v>26</v>
      </c>
      <c r="F296" s="35">
        <v>1.37</v>
      </c>
      <c r="G296" s="32" t="s">
        <v>27</v>
      </c>
      <c r="H296" s="37">
        <f>1.55/1.2</f>
        <v>1.2916666666666667</v>
      </c>
      <c r="I296" s="38">
        <f t="shared" si="49"/>
        <v>1614.5833333333335</v>
      </c>
      <c r="J296" s="38" t="s">
        <v>28</v>
      </c>
      <c r="K296" s="37">
        <v>1.36</v>
      </c>
      <c r="L296" s="38">
        <f t="shared" si="41"/>
        <v>1700.0000000000002</v>
      </c>
      <c r="M296" s="33" t="s">
        <v>29</v>
      </c>
      <c r="N296" s="37">
        <v>1.51</v>
      </c>
      <c r="O296" s="38">
        <f t="shared" si="42"/>
        <v>1887.5</v>
      </c>
      <c r="P296" s="39">
        <f t="shared" si="43"/>
        <v>1.3872222222222224</v>
      </c>
      <c r="Q296" s="40">
        <f t="shared" si="44"/>
        <v>-1.2414897877453086</v>
      </c>
      <c r="R296" s="39">
        <f t="shared" si="45"/>
        <v>1712.5000000000002</v>
      </c>
      <c r="S296" s="48"/>
      <c r="U296" s="42">
        <f t="shared" si="46"/>
        <v>-7</v>
      </c>
      <c r="V296" s="42">
        <f t="shared" si="47"/>
        <v>-2</v>
      </c>
      <c r="W296" s="42">
        <f t="shared" si="48"/>
        <v>9</v>
      </c>
      <c r="Y296" s="28">
        <v>296</v>
      </c>
    </row>
    <row r="297" spans="1:25" s="28" customFormat="1" ht="73.5" customHeight="1" x14ac:dyDescent="0.2">
      <c r="A297" s="30">
        <v>308</v>
      </c>
      <c r="B297" s="31" t="s">
        <v>413</v>
      </c>
      <c r="C297" s="32" t="s">
        <v>25</v>
      </c>
      <c r="D297" s="33">
        <v>80</v>
      </c>
      <c r="E297" s="34">
        <v>0.94</v>
      </c>
      <c r="F297" s="35">
        <v>1.18</v>
      </c>
      <c r="G297" s="32" t="s">
        <v>39</v>
      </c>
      <c r="H297" s="37">
        <v>1.1399999999999999</v>
      </c>
      <c r="I297" s="38">
        <f t="shared" si="49"/>
        <v>91.199999999999989</v>
      </c>
      <c r="J297" s="32" t="s">
        <v>54</v>
      </c>
      <c r="K297" s="37">
        <v>1.2</v>
      </c>
      <c r="L297" s="38">
        <f t="shared" si="41"/>
        <v>96</v>
      </c>
      <c r="M297" s="38" t="s">
        <v>41</v>
      </c>
      <c r="N297" s="37">
        <v>1.23</v>
      </c>
      <c r="O297" s="38">
        <f t="shared" si="42"/>
        <v>98.4</v>
      </c>
      <c r="P297" s="39">
        <f t="shared" si="43"/>
        <v>1.19</v>
      </c>
      <c r="Q297" s="40">
        <f t="shared" si="44"/>
        <v>-0.84033613445377853</v>
      </c>
      <c r="R297" s="39">
        <f t="shared" si="45"/>
        <v>94.399999999999991</v>
      </c>
      <c r="S297" s="41"/>
      <c r="U297" s="42">
        <f t="shared" si="46"/>
        <v>-4</v>
      </c>
      <c r="V297" s="42">
        <f t="shared" si="47"/>
        <v>1</v>
      </c>
      <c r="W297" s="42">
        <f t="shared" si="48"/>
        <v>3</v>
      </c>
      <c r="Y297" s="28">
        <v>297</v>
      </c>
    </row>
    <row r="298" spans="1:25" s="28" customFormat="1" ht="73.5" customHeight="1" x14ac:dyDescent="0.2">
      <c r="A298" s="30">
        <v>309</v>
      </c>
      <c r="B298" s="31" t="s">
        <v>414</v>
      </c>
      <c r="C298" s="32" t="s">
        <v>25</v>
      </c>
      <c r="D298" s="33">
        <v>40</v>
      </c>
      <c r="E298" s="34">
        <v>3.08</v>
      </c>
      <c r="F298" s="35">
        <v>3.91</v>
      </c>
      <c r="G298" s="32" t="s">
        <v>39</v>
      </c>
      <c r="H298" s="37">
        <v>3.82</v>
      </c>
      <c r="I298" s="38">
        <f t="shared" si="49"/>
        <v>152.79999999999998</v>
      </c>
      <c r="J298" s="32" t="s">
        <v>54</v>
      </c>
      <c r="K298" s="37">
        <v>4.01</v>
      </c>
      <c r="L298" s="38">
        <f t="shared" si="41"/>
        <v>160.39999999999998</v>
      </c>
      <c r="M298" s="38" t="s">
        <v>41</v>
      </c>
      <c r="N298" s="37">
        <v>4.05</v>
      </c>
      <c r="O298" s="38">
        <f t="shared" si="42"/>
        <v>162</v>
      </c>
      <c r="P298" s="39">
        <f t="shared" si="43"/>
        <v>3.9599999999999995</v>
      </c>
      <c r="Q298" s="40">
        <f t="shared" si="44"/>
        <v>-1.2626262626262559</v>
      </c>
      <c r="R298" s="39">
        <f t="shared" si="45"/>
        <v>156.4</v>
      </c>
      <c r="S298" s="41"/>
      <c r="U298" s="42">
        <f t="shared" si="46"/>
        <v>-4</v>
      </c>
      <c r="V298" s="42">
        <f t="shared" si="47"/>
        <v>1</v>
      </c>
      <c r="W298" s="42">
        <f t="shared" si="48"/>
        <v>2</v>
      </c>
      <c r="Y298" s="28">
        <v>298</v>
      </c>
    </row>
    <row r="299" spans="1:25" s="28" customFormat="1" ht="73.5" customHeight="1" x14ac:dyDescent="0.2">
      <c r="A299" s="30">
        <v>310</v>
      </c>
      <c r="B299" s="31" t="s">
        <v>415</v>
      </c>
      <c r="C299" s="32" t="s">
        <v>25</v>
      </c>
      <c r="D299" s="33">
        <v>960</v>
      </c>
      <c r="E299" s="34">
        <v>1.91</v>
      </c>
      <c r="F299" s="35">
        <v>2.4</v>
      </c>
      <c r="G299" s="32" t="s">
        <v>39</v>
      </c>
      <c r="H299" s="37">
        <v>2.36</v>
      </c>
      <c r="I299" s="38">
        <f t="shared" si="49"/>
        <v>2265.6</v>
      </c>
      <c r="J299" s="32" t="s">
        <v>54</v>
      </c>
      <c r="K299" s="37">
        <v>2.42</v>
      </c>
      <c r="L299" s="38">
        <f t="shared" si="41"/>
        <v>2323.1999999999998</v>
      </c>
      <c r="M299" s="38" t="s">
        <v>41</v>
      </c>
      <c r="N299" s="37">
        <v>2.4500000000000002</v>
      </c>
      <c r="O299" s="38">
        <f t="shared" si="42"/>
        <v>2352</v>
      </c>
      <c r="P299" s="39">
        <f t="shared" si="43"/>
        <v>2.4099999999999997</v>
      </c>
      <c r="Q299" s="40">
        <f t="shared" si="44"/>
        <v>-0.4149377593360839</v>
      </c>
      <c r="R299" s="39">
        <f t="shared" si="45"/>
        <v>2304</v>
      </c>
      <c r="S299" s="41"/>
      <c r="U299" s="42">
        <f t="shared" si="46"/>
        <v>-2</v>
      </c>
      <c r="V299" s="42">
        <f t="shared" si="47"/>
        <v>0</v>
      </c>
      <c r="W299" s="42">
        <f t="shared" si="48"/>
        <v>2</v>
      </c>
      <c r="Y299" s="28">
        <v>299</v>
      </c>
    </row>
    <row r="300" spans="1:25" s="28" customFormat="1" ht="73.5" customHeight="1" x14ac:dyDescent="0.2">
      <c r="A300" s="30">
        <v>311</v>
      </c>
      <c r="B300" s="31" t="s">
        <v>416</v>
      </c>
      <c r="C300" s="32" t="s">
        <v>25</v>
      </c>
      <c r="D300" s="33">
        <v>1200</v>
      </c>
      <c r="E300" s="34">
        <v>10.130000000000001</v>
      </c>
      <c r="F300" s="35">
        <v>12.6</v>
      </c>
      <c r="G300" s="32" t="s">
        <v>39</v>
      </c>
      <c r="H300" s="37">
        <v>12.21</v>
      </c>
      <c r="I300" s="38">
        <f t="shared" si="49"/>
        <v>14652.000000000002</v>
      </c>
      <c r="J300" s="32" t="s">
        <v>54</v>
      </c>
      <c r="K300" s="37">
        <v>12.8</v>
      </c>
      <c r="L300" s="38">
        <f t="shared" si="41"/>
        <v>15360</v>
      </c>
      <c r="M300" s="38" t="s">
        <v>41</v>
      </c>
      <c r="N300" s="37">
        <v>13.01</v>
      </c>
      <c r="O300" s="38">
        <f t="shared" si="42"/>
        <v>15612</v>
      </c>
      <c r="P300" s="39">
        <f t="shared" si="43"/>
        <v>12.673333333333334</v>
      </c>
      <c r="Q300" s="40">
        <f t="shared" si="44"/>
        <v>-0.57864281956865682</v>
      </c>
      <c r="R300" s="39">
        <f t="shared" si="45"/>
        <v>15120</v>
      </c>
      <c r="S300" s="41"/>
      <c r="U300" s="42">
        <f t="shared" si="46"/>
        <v>-4</v>
      </c>
      <c r="V300" s="42">
        <f t="shared" si="47"/>
        <v>1</v>
      </c>
      <c r="W300" s="42">
        <f t="shared" si="48"/>
        <v>3</v>
      </c>
      <c r="Y300" s="28">
        <v>300</v>
      </c>
    </row>
    <row r="301" spans="1:25" s="28" customFormat="1" ht="73.5" customHeight="1" x14ac:dyDescent="0.2">
      <c r="A301" s="30">
        <v>312</v>
      </c>
      <c r="B301" s="31" t="s">
        <v>417</v>
      </c>
      <c r="C301" s="32" t="s">
        <v>25</v>
      </c>
      <c r="D301" s="33">
        <v>80</v>
      </c>
      <c r="E301" s="34">
        <v>0.91</v>
      </c>
      <c r="F301" s="35">
        <v>1.17</v>
      </c>
      <c r="G301" s="32" t="s">
        <v>39</v>
      </c>
      <c r="H301" s="37">
        <v>1.1100000000000001</v>
      </c>
      <c r="I301" s="38">
        <f t="shared" si="49"/>
        <v>88.800000000000011</v>
      </c>
      <c r="J301" s="32" t="s">
        <v>54</v>
      </c>
      <c r="K301" s="37">
        <v>1.1599999999999999</v>
      </c>
      <c r="L301" s="38">
        <f t="shared" si="41"/>
        <v>92.8</v>
      </c>
      <c r="M301" s="38" t="s">
        <v>41</v>
      </c>
      <c r="N301" s="37">
        <v>1.31</v>
      </c>
      <c r="O301" s="38">
        <f t="shared" si="42"/>
        <v>104.80000000000001</v>
      </c>
      <c r="P301" s="39">
        <f t="shared" si="43"/>
        <v>1.1933333333333334</v>
      </c>
      <c r="Q301" s="40">
        <f t="shared" si="44"/>
        <v>-1.955307262569832</v>
      </c>
      <c r="R301" s="39">
        <f t="shared" si="45"/>
        <v>93.6</v>
      </c>
      <c r="S301" s="41"/>
      <c r="U301" s="42">
        <f t="shared" si="46"/>
        <v>-7</v>
      </c>
      <c r="V301" s="42">
        <f t="shared" si="47"/>
        <v>-3</v>
      </c>
      <c r="W301" s="42">
        <f t="shared" si="48"/>
        <v>10</v>
      </c>
      <c r="Y301" s="28">
        <v>301</v>
      </c>
    </row>
    <row r="302" spans="1:25" s="28" customFormat="1" ht="73.5" customHeight="1" x14ac:dyDescent="0.2">
      <c r="A302" s="30">
        <v>313</v>
      </c>
      <c r="B302" s="31" t="s">
        <v>418</v>
      </c>
      <c r="C302" s="32" t="s">
        <v>25</v>
      </c>
      <c r="D302" s="33">
        <v>60</v>
      </c>
      <c r="E302" s="34">
        <v>0.39</v>
      </c>
      <c r="F302" s="35">
        <v>0.51</v>
      </c>
      <c r="G302" s="32" t="s">
        <v>39</v>
      </c>
      <c r="H302" s="37">
        <v>0.49</v>
      </c>
      <c r="I302" s="38">
        <f t="shared" si="49"/>
        <v>29.4</v>
      </c>
      <c r="J302" s="32" t="s">
        <v>54</v>
      </c>
      <c r="K302" s="37">
        <v>0.51</v>
      </c>
      <c r="L302" s="38">
        <f t="shared" si="41"/>
        <v>30.6</v>
      </c>
      <c r="M302" s="38" t="s">
        <v>41</v>
      </c>
      <c r="N302" s="37">
        <v>0.55000000000000004</v>
      </c>
      <c r="O302" s="38">
        <f t="shared" si="42"/>
        <v>33</v>
      </c>
      <c r="P302" s="39">
        <f t="shared" si="43"/>
        <v>0.51666666666666672</v>
      </c>
      <c r="Q302" s="40">
        <f t="shared" si="44"/>
        <v>-1.2903225806451672</v>
      </c>
      <c r="R302" s="39">
        <f t="shared" si="45"/>
        <v>30.6</v>
      </c>
      <c r="S302" s="41"/>
      <c r="U302" s="42">
        <f t="shared" si="46"/>
        <v>-5</v>
      </c>
      <c r="V302" s="42">
        <f t="shared" si="47"/>
        <v>-1</v>
      </c>
      <c r="W302" s="42">
        <f t="shared" si="48"/>
        <v>6</v>
      </c>
      <c r="Y302" s="28">
        <v>302</v>
      </c>
    </row>
    <row r="303" spans="1:25" s="28" customFormat="1" ht="73.5" customHeight="1" x14ac:dyDescent="0.2">
      <c r="A303" s="30">
        <v>314</v>
      </c>
      <c r="B303" s="31" t="s">
        <v>419</v>
      </c>
      <c r="C303" s="32" t="s">
        <v>25</v>
      </c>
      <c r="D303" s="33">
        <v>40</v>
      </c>
      <c r="E303" s="34">
        <v>1.77</v>
      </c>
      <c r="F303" s="35">
        <v>2.35</v>
      </c>
      <c r="G303" s="32" t="s">
        <v>39</v>
      </c>
      <c r="H303" s="37">
        <v>2.14</v>
      </c>
      <c r="I303" s="38">
        <f t="shared" si="49"/>
        <v>85.600000000000009</v>
      </c>
      <c r="J303" s="32" t="s">
        <v>54</v>
      </c>
      <c r="K303" s="37">
        <v>2.64</v>
      </c>
      <c r="L303" s="38">
        <f t="shared" si="41"/>
        <v>105.60000000000001</v>
      </c>
      <c r="M303" s="38" t="s">
        <v>41</v>
      </c>
      <c r="N303" s="37">
        <v>2.33</v>
      </c>
      <c r="O303" s="38">
        <f t="shared" si="42"/>
        <v>93.2</v>
      </c>
      <c r="P303" s="39">
        <f t="shared" si="43"/>
        <v>2.37</v>
      </c>
      <c r="Q303" s="40">
        <f t="shared" si="44"/>
        <v>-0.84388185654009362</v>
      </c>
      <c r="R303" s="39">
        <f t="shared" si="45"/>
        <v>94</v>
      </c>
      <c r="S303" s="41"/>
      <c r="U303" s="42">
        <f t="shared" si="46"/>
        <v>-10</v>
      </c>
      <c r="V303" s="42">
        <f t="shared" si="47"/>
        <v>11</v>
      </c>
      <c r="W303" s="42">
        <f t="shared" si="48"/>
        <v>-2</v>
      </c>
      <c r="Y303" s="28">
        <v>303</v>
      </c>
    </row>
    <row r="304" spans="1:25" s="28" customFormat="1" ht="73.5" customHeight="1" x14ac:dyDescent="0.2">
      <c r="A304" s="30">
        <v>315</v>
      </c>
      <c r="B304" s="31" t="s">
        <v>420</v>
      </c>
      <c r="C304" s="32" t="s">
        <v>25</v>
      </c>
      <c r="D304" s="33" t="s">
        <v>421</v>
      </c>
      <c r="E304" s="34">
        <v>2.23</v>
      </c>
      <c r="F304" s="35">
        <v>2.71</v>
      </c>
      <c r="G304" s="32" t="s">
        <v>39</v>
      </c>
      <c r="H304" s="37">
        <v>2.68</v>
      </c>
      <c r="I304" s="38">
        <f t="shared" si="49"/>
        <v>6592.8</v>
      </c>
      <c r="J304" s="32" t="s">
        <v>54</v>
      </c>
      <c r="K304" s="37">
        <v>2.72</v>
      </c>
      <c r="L304" s="38">
        <f t="shared" si="41"/>
        <v>6691.2000000000007</v>
      </c>
      <c r="M304" s="38" t="s">
        <v>41</v>
      </c>
      <c r="N304" s="37">
        <v>2.75</v>
      </c>
      <c r="O304" s="38">
        <f t="shared" si="42"/>
        <v>6765</v>
      </c>
      <c r="P304" s="39">
        <f t="shared" si="43"/>
        <v>2.7166666666666668</v>
      </c>
      <c r="Q304" s="40">
        <f t="shared" si="44"/>
        <v>-0.24539877300614421</v>
      </c>
      <c r="R304" s="39">
        <f t="shared" si="45"/>
        <v>6666.6</v>
      </c>
      <c r="S304" s="41"/>
      <c r="U304" s="42">
        <f t="shared" si="46"/>
        <v>-1</v>
      </c>
      <c r="V304" s="42">
        <f t="shared" si="47"/>
        <v>0</v>
      </c>
      <c r="W304" s="42">
        <f t="shared" si="48"/>
        <v>1</v>
      </c>
      <c r="Y304" s="28">
        <v>304</v>
      </c>
    </row>
    <row r="305" spans="1:25" s="28" customFormat="1" ht="73.5" customHeight="1" x14ac:dyDescent="0.2">
      <c r="A305" s="30">
        <v>316</v>
      </c>
      <c r="B305" s="31" t="s">
        <v>422</v>
      </c>
      <c r="C305" s="32" t="s">
        <v>25</v>
      </c>
      <c r="D305" s="33">
        <v>480</v>
      </c>
      <c r="E305" s="34">
        <v>4.74</v>
      </c>
      <c r="F305" s="35">
        <v>5.82</v>
      </c>
      <c r="G305" s="32" t="s">
        <v>39</v>
      </c>
      <c r="H305" s="37">
        <v>5.76</v>
      </c>
      <c r="I305" s="38">
        <f t="shared" si="49"/>
        <v>2764.7999999999997</v>
      </c>
      <c r="J305" s="32" t="s">
        <v>54</v>
      </c>
      <c r="K305" s="37">
        <v>5.87</v>
      </c>
      <c r="L305" s="38">
        <f t="shared" si="41"/>
        <v>2817.6</v>
      </c>
      <c r="M305" s="38" t="s">
        <v>41</v>
      </c>
      <c r="N305" s="37">
        <v>6.02</v>
      </c>
      <c r="O305" s="38">
        <f t="shared" si="42"/>
        <v>2889.6</v>
      </c>
      <c r="P305" s="39">
        <f t="shared" si="43"/>
        <v>5.8833333333333329</v>
      </c>
      <c r="Q305" s="40">
        <f t="shared" si="44"/>
        <v>-1.076487252124636</v>
      </c>
      <c r="R305" s="39">
        <f t="shared" si="45"/>
        <v>2793.6000000000004</v>
      </c>
      <c r="S305" s="41"/>
      <c r="U305" s="42">
        <f t="shared" si="46"/>
        <v>-2</v>
      </c>
      <c r="V305" s="42">
        <f t="shared" si="47"/>
        <v>0</v>
      </c>
      <c r="W305" s="42">
        <f t="shared" si="48"/>
        <v>2</v>
      </c>
      <c r="Y305" s="28">
        <v>305</v>
      </c>
    </row>
    <row r="306" spans="1:25" s="28" customFormat="1" ht="73.5" customHeight="1" x14ac:dyDescent="0.2">
      <c r="A306" s="30">
        <v>317</v>
      </c>
      <c r="B306" s="31" t="s">
        <v>423</v>
      </c>
      <c r="C306" s="32" t="s">
        <v>25</v>
      </c>
      <c r="D306" s="33">
        <v>40</v>
      </c>
      <c r="E306" s="34">
        <v>0.26</v>
      </c>
      <c r="F306" s="35">
        <v>0.39</v>
      </c>
      <c r="G306" s="32" t="s">
        <v>39</v>
      </c>
      <c r="H306" s="37">
        <v>0.34</v>
      </c>
      <c r="I306" s="38">
        <f t="shared" si="49"/>
        <v>13.600000000000001</v>
      </c>
      <c r="J306" s="32" t="s">
        <v>54</v>
      </c>
      <c r="K306" s="37">
        <v>0.44</v>
      </c>
      <c r="L306" s="38">
        <f t="shared" si="41"/>
        <v>17.600000000000001</v>
      </c>
      <c r="M306" s="38" t="s">
        <v>41</v>
      </c>
      <c r="N306" s="37">
        <v>0.42</v>
      </c>
      <c r="O306" s="38">
        <f t="shared" si="42"/>
        <v>16.8</v>
      </c>
      <c r="P306" s="39">
        <f t="shared" si="43"/>
        <v>0.39999999999999997</v>
      </c>
      <c r="Q306" s="40">
        <f t="shared" si="44"/>
        <v>-2.4999999999999858</v>
      </c>
      <c r="R306" s="39">
        <f t="shared" si="45"/>
        <v>15.600000000000001</v>
      </c>
      <c r="S306" s="41"/>
      <c r="U306" s="42">
        <f t="shared" si="46"/>
        <v>-15</v>
      </c>
      <c r="V306" s="42">
        <f t="shared" si="47"/>
        <v>10</v>
      </c>
      <c r="W306" s="42">
        <f t="shared" si="48"/>
        <v>5</v>
      </c>
      <c r="Y306" s="28">
        <v>306</v>
      </c>
    </row>
    <row r="307" spans="1:25" s="28" customFormat="1" ht="73.5" customHeight="1" x14ac:dyDescent="0.2">
      <c r="A307" s="30">
        <v>318</v>
      </c>
      <c r="B307" s="31" t="s">
        <v>424</v>
      </c>
      <c r="C307" s="32" t="s">
        <v>25</v>
      </c>
      <c r="D307" s="33">
        <v>30</v>
      </c>
      <c r="E307" s="34">
        <v>1.0900000000000001</v>
      </c>
      <c r="F307" s="35">
        <v>1.44</v>
      </c>
      <c r="G307" s="32" t="s">
        <v>39</v>
      </c>
      <c r="H307" s="37">
        <v>1.37</v>
      </c>
      <c r="I307" s="38">
        <f t="shared" si="49"/>
        <v>41.1</v>
      </c>
      <c r="J307" s="32" t="s">
        <v>54</v>
      </c>
      <c r="K307" s="37">
        <v>1.58</v>
      </c>
      <c r="L307" s="38">
        <f t="shared" si="41"/>
        <v>47.400000000000006</v>
      </c>
      <c r="M307" s="38" t="s">
        <v>41</v>
      </c>
      <c r="N307" s="37">
        <v>1.44</v>
      </c>
      <c r="O307" s="38">
        <f t="shared" si="42"/>
        <v>43.199999999999996</v>
      </c>
      <c r="P307" s="39">
        <f t="shared" si="43"/>
        <v>1.4633333333333336</v>
      </c>
      <c r="Q307" s="40">
        <f t="shared" si="44"/>
        <v>-1.5945330296127764</v>
      </c>
      <c r="R307" s="39">
        <f t="shared" si="45"/>
        <v>43.199999999999996</v>
      </c>
      <c r="S307" s="41"/>
      <c r="U307" s="42">
        <f t="shared" si="46"/>
        <v>-6</v>
      </c>
      <c r="V307" s="42">
        <f t="shared" si="47"/>
        <v>8</v>
      </c>
      <c r="W307" s="42">
        <f t="shared" si="48"/>
        <v>-2</v>
      </c>
      <c r="Y307" s="28">
        <v>307</v>
      </c>
    </row>
    <row r="308" spans="1:25" s="28" customFormat="1" ht="66.75" customHeight="1" x14ac:dyDescent="0.2">
      <c r="A308" s="30"/>
      <c r="B308" s="31" t="s">
        <v>425</v>
      </c>
      <c r="C308" s="32" t="s">
        <v>25</v>
      </c>
      <c r="D308" s="33">
        <v>200</v>
      </c>
      <c r="E308" s="34">
        <v>31.33</v>
      </c>
      <c r="F308" s="35">
        <v>39</v>
      </c>
      <c r="G308" s="32" t="s">
        <v>39</v>
      </c>
      <c r="H308" s="37">
        <v>37.82</v>
      </c>
      <c r="I308" s="38">
        <f t="shared" si="49"/>
        <v>7564</v>
      </c>
      <c r="J308" s="32" t="s">
        <v>54</v>
      </c>
      <c r="K308" s="37">
        <v>41.02</v>
      </c>
      <c r="L308" s="38">
        <f t="shared" si="41"/>
        <v>8204</v>
      </c>
      <c r="M308" s="38" t="s">
        <v>41</v>
      </c>
      <c r="N308" s="37">
        <v>38.46</v>
      </c>
      <c r="O308" s="38">
        <f t="shared" si="42"/>
        <v>7692</v>
      </c>
      <c r="P308" s="39">
        <f t="shared" si="43"/>
        <v>39.1</v>
      </c>
      <c r="Q308" s="40">
        <f t="shared" si="44"/>
        <v>-0.25575447570332699</v>
      </c>
      <c r="R308" s="39">
        <f t="shared" si="45"/>
        <v>7800</v>
      </c>
      <c r="S308" s="41"/>
      <c r="U308" s="42">
        <f t="shared" si="46"/>
        <v>-3</v>
      </c>
      <c r="V308" s="42">
        <f t="shared" si="47"/>
        <v>5</v>
      </c>
      <c r="W308" s="42">
        <f t="shared" si="48"/>
        <v>-2</v>
      </c>
      <c r="Y308" s="28">
        <v>308</v>
      </c>
    </row>
    <row r="309" spans="1:25" s="28" customFormat="1" ht="73.5" customHeight="1" x14ac:dyDescent="0.2">
      <c r="A309" s="30">
        <v>319</v>
      </c>
      <c r="B309" s="31" t="s">
        <v>426</v>
      </c>
      <c r="C309" s="32" t="s">
        <v>147</v>
      </c>
      <c r="D309" s="33">
        <v>48</v>
      </c>
      <c r="E309" s="34">
        <v>14885.42</v>
      </c>
      <c r="F309" s="35">
        <v>17801.5</v>
      </c>
      <c r="G309" s="32" t="s">
        <v>27</v>
      </c>
      <c r="H309" s="37">
        <f>20996.75/1.2</f>
        <v>17497.291666666668</v>
      </c>
      <c r="I309" s="38">
        <f t="shared" si="49"/>
        <v>839870</v>
      </c>
      <c r="J309" s="38" t="s">
        <v>28</v>
      </c>
      <c r="K309" s="37">
        <v>17891.400000000001</v>
      </c>
      <c r="L309" s="38">
        <f t="shared" si="41"/>
        <v>858787.20000000007</v>
      </c>
      <c r="M309" s="33" t="s">
        <v>29</v>
      </c>
      <c r="N309" s="37">
        <v>18112.77</v>
      </c>
      <c r="O309" s="38">
        <f t="shared" si="42"/>
        <v>869412.96</v>
      </c>
      <c r="P309" s="39">
        <f t="shared" si="43"/>
        <v>17833.820555555558</v>
      </c>
      <c r="Q309" s="40">
        <f t="shared" si="44"/>
        <v>-0.18123180871351963</v>
      </c>
      <c r="R309" s="39">
        <f t="shared" si="45"/>
        <v>854472</v>
      </c>
      <c r="S309" s="41"/>
      <c r="U309" s="42">
        <f t="shared" si="46"/>
        <v>-2</v>
      </c>
      <c r="V309" s="42">
        <f t="shared" si="47"/>
        <v>0</v>
      </c>
      <c r="W309" s="42">
        <f t="shared" si="48"/>
        <v>2</v>
      </c>
      <c r="Y309" s="28">
        <v>309</v>
      </c>
    </row>
    <row r="310" spans="1:25" s="28" customFormat="1" ht="73.5" customHeight="1" x14ac:dyDescent="0.2">
      <c r="A310" s="30">
        <f t="shared" ref="A310:A329" si="50">A309+1</f>
        <v>320</v>
      </c>
      <c r="B310" s="31" t="s">
        <v>427</v>
      </c>
      <c r="C310" s="32" t="s">
        <v>25</v>
      </c>
      <c r="D310" s="33">
        <v>96</v>
      </c>
      <c r="E310" s="34" t="s">
        <v>26</v>
      </c>
      <c r="F310" s="35">
        <v>15087.84</v>
      </c>
      <c r="G310" s="32" t="s">
        <v>27</v>
      </c>
      <c r="H310" s="37">
        <v>15023.18</v>
      </c>
      <c r="I310" s="38">
        <f t="shared" si="49"/>
        <v>1442225.28</v>
      </c>
      <c r="J310" s="38" t="s">
        <v>28</v>
      </c>
      <c r="K310" s="37">
        <v>14681.33</v>
      </c>
      <c r="L310" s="38">
        <f t="shared" si="41"/>
        <v>1409407.68</v>
      </c>
      <c r="M310" s="33" t="s">
        <v>29</v>
      </c>
      <c r="N310" s="37">
        <v>15762.2</v>
      </c>
      <c r="O310" s="38">
        <f t="shared" si="42"/>
        <v>1513171.2000000002</v>
      </c>
      <c r="P310" s="39">
        <f t="shared" si="43"/>
        <v>15155.570000000002</v>
      </c>
      <c r="Q310" s="40">
        <f t="shared" si="44"/>
        <v>-0.44689840104992129</v>
      </c>
      <c r="R310" s="39">
        <f t="shared" si="45"/>
        <v>1448432.6400000001</v>
      </c>
      <c r="S310" s="41"/>
      <c r="U310" s="42">
        <f t="shared" si="46"/>
        <v>-1</v>
      </c>
      <c r="V310" s="42">
        <f t="shared" si="47"/>
        <v>-3</v>
      </c>
      <c r="W310" s="42">
        <f t="shared" si="48"/>
        <v>4</v>
      </c>
      <c r="Y310" s="28">
        <v>310</v>
      </c>
    </row>
    <row r="311" spans="1:25" s="28" customFormat="1" ht="73.5" customHeight="1" x14ac:dyDescent="0.2">
      <c r="A311" s="30">
        <f t="shared" si="50"/>
        <v>321</v>
      </c>
      <c r="B311" s="31" t="s">
        <v>428</v>
      </c>
      <c r="C311" s="32" t="s">
        <v>25</v>
      </c>
      <c r="D311" s="33">
        <v>48</v>
      </c>
      <c r="E311" s="34">
        <v>19410.310000000001</v>
      </c>
      <c r="F311" s="35">
        <v>24326.9</v>
      </c>
      <c r="G311" s="32" t="s">
        <v>56</v>
      </c>
      <c r="H311" s="37">
        <v>24568.84</v>
      </c>
      <c r="I311" s="38">
        <f t="shared" si="49"/>
        <v>1179304.32</v>
      </c>
      <c r="J311" s="32" t="s">
        <v>57</v>
      </c>
      <c r="K311" s="37">
        <v>25037.67</v>
      </c>
      <c r="L311" s="38">
        <f t="shared" si="41"/>
        <v>1201808.1599999999</v>
      </c>
      <c r="M311" s="32" t="s">
        <v>119</v>
      </c>
      <c r="N311" s="37">
        <v>23991.05</v>
      </c>
      <c r="O311" s="38">
        <f t="shared" si="42"/>
        <v>1151570.3999999999</v>
      </c>
      <c r="P311" s="39">
        <f t="shared" si="43"/>
        <v>24532.52</v>
      </c>
      <c r="Q311" s="40">
        <f t="shared" si="44"/>
        <v>-0.83815278658694581</v>
      </c>
      <c r="R311" s="39">
        <f t="shared" si="45"/>
        <v>1167691.2000000002</v>
      </c>
      <c r="S311" s="41"/>
      <c r="U311" s="42">
        <f t="shared" si="46"/>
        <v>0</v>
      </c>
      <c r="V311" s="42">
        <f t="shared" si="47"/>
        <v>2</v>
      </c>
      <c r="W311" s="42">
        <f t="shared" si="48"/>
        <v>-2</v>
      </c>
      <c r="Y311" s="28">
        <v>311</v>
      </c>
    </row>
    <row r="312" spans="1:25" s="28" customFormat="1" ht="73.5" customHeight="1" x14ac:dyDescent="0.2">
      <c r="A312" s="30">
        <f t="shared" si="50"/>
        <v>322</v>
      </c>
      <c r="B312" s="31" t="s">
        <v>429</v>
      </c>
      <c r="C312" s="32" t="s">
        <v>25</v>
      </c>
      <c r="D312" s="33">
        <v>400</v>
      </c>
      <c r="E312" s="34">
        <v>33.17</v>
      </c>
      <c r="F312" s="35">
        <v>37.4</v>
      </c>
      <c r="G312" s="32" t="s">
        <v>39</v>
      </c>
      <c r="H312" s="37">
        <v>39.6</v>
      </c>
      <c r="I312" s="38">
        <f t="shared" si="49"/>
        <v>15840</v>
      </c>
      <c r="J312" s="32" t="s">
        <v>430</v>
      </c>
      <c r="K312" s="37">
        <f>46.28/1.2</f>
        <v>38.56666666666667</v>
      </c>
      <c r="L312" s="38">
        <f t="shared" si="41"/>
        <v>15426.666666666668</v>
      </c>
      <c r="M312" s="32" t="s">
        <v>431</v>
      </c>
      <c r="N312" s="37">
        <f>42.67/1.2</f>
        <v>35.558333333333337</v>
      </c>
      <c r="O312" s="38">
        <f t="shared" si="42"/>
        <v>14223.333333333336</v>
      </c>
      <c r="P312" s="39">
        <f t="shared" si="43"/>
        <v>37.908333333333339</v>
      </c>
      <c r="Q312" s="40">
        <f t="shared" si="44"/>
        <v>-1.3409540558364625</v>
      </c>
      <c r="R312" s="39">
        <f t="shared" si="45"/>
        <v>14960</v>
      </c>
      <c r="S312" s="41"/>
      <c r="U312" s="42">
        <f t="shared" si="46"/>
        <v>4</v>
      </c>
      <c r="V312" s="42">
        <f t="shared" si="47"/>
        <v>2</v>
      </c>
      <c r="W312" s="42">
        <f t="shared" si="48"/>
        <v>-6</v>
      </c>
      <c r="Y312" s="28">
        <v>312</v>
      </c>
    </row>
    <row r="313" spans="1:25" s="28" customFormat="1" ht="73.5" customHeight="1" x14ac:dyDescent="0.2">
      <c r="A313" s="30">
        <f t="shared" si="50"/>
        <v>323</v>
      </c>
      <c r="B313" s="31" t="s">
        <v>432</v>
      </c>
      <c r="C313" s="32" t="s">
        <v>147</v>
      </c>
      <c r="D313" s="33" t="s">
        <v>433</v>
      </c>
      <c r="E313" s="34">
        <v>8.76</v>
      </c>
      <c r="F313" s="35">
        <v>11.03</v>
      </c>
      <c r="G313" s="36" t="s">
        <v>90</v>
      </c>
      <c r="H313" s="37">
        <f>13.24/1.2</f>
        <v>11.033333333333333</v>
      </c>
      <c r="I313" s="38">
        <f t="shared" si="49"/>
        <v>17653.333333333332</v>
      </c>
      <c r="J313" s="32" t="s">
        <v>46</v>
      </c>
      <c r="K313" s="37">
        <v>10.93</v>
      </c>
      <c r="L313" s="38">
        <f t="shared" si="41"/>
        <v>17488</v>
      </c>
      <c r="M313" s="32" t="s">
        <v>58</v>
      </c>
      <c r="N313" s="37">
        <v>11.89</v>
      </c>
      <c r="O313" s="38">
        <f t="shared" si="42"/>
        <v>19024</v>
      </c>
      <c r="P313" s="39">
        <f t="shared" si="43"/>
        <v>11.284444444444444</v>
      </c>
      <c r="Q313" s="40">
        <f t="shared" si="44"/>
        <v>-2.2548247341473058</v>
      </c>
      <c r="R313" s="39">
        <f t="shared" si="45"/>
        <v>17648</v>
      </c>
      <c r="S313" s="41"/>
      <c r="U313" s="42">
        <f t="shared" si="46"/>
        <v>-2</v>
      </c>
      <c r="V313" s="42">
        <f t="shared" si="47"/>
        <v>-3</v>
      </c>
      <c r="W313" s="42">
        <f t="shared" si="48"/>
        <v>5</v>
      </c>
      <c r="Y313" s="28">
        <v>313</v>
      </c>
    </row>
    <row r="314" spans="1:25" s="28" customFormat="1" ht="73.5" customHeight="1" x14ac:dyDescent="0.2">
      <c r="A314" s="30">
        <f t="shared" si="50"/>
        <v>324</v>
      </c>
      <c r="B314" s="31" t="s">
        <v>434</v>
      </c>
      <c r="C314" s="32" t="s">
        <v>25</v>
      </c>
      <c r="D314" s="33">
        <v>30</v>
      </c>
      <c r="E314" s="34">
        <v>872.67</v>
      </c>
      <c r="F314" s="35">
        <v>1285.6600000000001</v>
      </c>
      <c r="G314" s="32" t="s">
        <v>435</v>
      </c>
      <c r="H314" s="37">
        <v>1300</v>
      </c>
      <c r="I314" s="38">
        <f t="shared" si="49"/>
        <v>39000</v>
      </c>
      <c r="J314" s="32" t="s">
        <v>436</v>
      </c>
      <c r="K314" s="37">
        <v>1300</v>
      </c>
      <c r="L314" s="38">
        <f t="shared" si="41"/>
        <v>39000</v>
      </c>
      <c r="M314" s="32" t="s">
        <v>437</v>
      </c>
      <c r="N314" s="37">
        <v>1260</v>
      </c>
      <c r="O314" s="38">
        <f t="shared" si="42"/>
        <v>37800</v>
      </c>
      <c r="P314" s="39">
        <f t="shared" si="43"/>
        <v>1286.6666666666667</v>
      </c>
      <c r="Q314" s="40">
        <f t="shared" si="44"/>
        <v>-7.823834196891255E-2</v>
      </c>
      <c r="R314" s="39">
        <f t="shared" si="45"/>
        <v>38569.800000000003</v>
      </c>
      <c r="S314" s="41"/>
      <c r="U314" s="42">
        <f t="shared" si="46"/>
        <v>1</v>
      </c>
      <c r="V314" s="42">
        <f t="shared" si="47"/>
        <v>1</v>
      </c>
      <c r="W314" s="42">
        <f t="shared" si="48"/>
        <v>-2</v>
      </c>
      <c r="Y314" s="28">
        <v>314</v>
      </c>
    </row>
    <row r="315" spans="1:25" s="28" customFormat="1" ht="73.5" customHeight="1" x14ac:dyDescent="0.2">
      <c r="A315" s="30">
        <f t="shared" si="50"/>
        <v>325</v>
      </c>
      <c r="B315" s="31" t="s">
        <v>438</v>
      </c>
      <c r="C315" s="32" t="s">
        <v>25</v>
      </c>
      <c r="D315" s="33">
        <v>1</v>
      </c>
      <c r="E315" s="34">
        <v>20102.93</v>
      </c>
      <c r="F315" s="35">
        <v>26054.6</v>
      </c>
      <c r="G315" s="32" t="s">
        <v>27</v>
      </c>
      <c r="H315" s="37">
        <f>30302.49/1.2</f>
        <v>25252.075000000001</v>
      </c>
      <c r="I315" s="38">
        <f t="shared" si="49"/>
        <v>25252.075000000001</v>
      </c>
      <c r="J315" s="38" t="s">
        <v>28</v>
      </c>
      <c r="K315" s="37">
        <v>26315.4</v>
      </c>
      <c r="L315" s="38">
        <f t="shared" si="41"/>
        <v>26315.4</v>
      </c>
      <c r="M315" s="33" t="s">
        <v>29</v>
      </c>
      <c r="N315" s="37">
        <v>26678.22</v>
      </c>
      <c r="O315" s="38">
        <f t="shared" si="42"/>
        <v>26678.22</v>
      </c>
      <c r="P315" s="39">
        <f t="shared" si="43"/>
        <v>26081.898333333334</v>
      </c>
      <c r="Q315" s="40">
        <f t="shared" si="44"/>
        <v>-0.10466390515159674</v>
      </c>
      <c r="R315" s="39">
        <f t="shared" si="45"/>
        <v>26054.6</v>
      </c>
      <c r="S315" s="41"/>
      <c r="U315" s="42">
        <f t="shared" si="46"/>
        <v>-3</v>
      </c>
      <c r="V315" s="42">
        <f t="shared" si="47"/>
        <v>1</v>
      </c>
      <c r="W315" s="42">
        <f t="shared" si="48"/>
        <v>2</v>
      </c>
      <c r="Y315" s="28">
        <v>315</v>
      </c>
    </row>
    <row r="316" spans="1:25" s="28" customFormat="1" ht="73.5" customHeight="1" x14ac:dyDescent="0.2">
      <c r="A316" s="30">
        <f t="shared" si="50"/>
        <v>326</v>
      </c>
      <c r="B316" s="31" t="s">
        <v>439</v>
      </c>
      <c r="C316" s="32" t="s">
        <v>25</v>
      </c>
      <c r="D316" s="33">
        <v>1</v>
      </c>
      <c r="E316" s="34">
        <v>8208.33</v>
      </c>
      <c r="F316" s="35">
        <v>8930.15</v>
      </c>
      <c r="G316" s="32" t="s">
        <v>56</v>
      </c>
      <c r="H316" s="37">
        <v>9150.2199999999993</v>
      </c>
      <c r="I316" s="38">
        <f t="shared" si="49"/>
        <v>9150.2199999999993</v>
      </c>
      <c r="J316" s="32" t="s">
        <v>57</v>
      </c>
      <c r="K316" s="37">
        <v>8700</v>
      </c>
      <c r="L316" s="38">
        <f t="shared" si="41"/>
        <v>8700</v>
      </c>
      <c r="M316" s="37" t="s">
        <v>67</v>
      </c>
      <c r="N316" s="37">
        <f>10766.52/1.2</f>
        <v>8972.1</v>
      </c>
      <c r="O316" s="38">
        <f t="shared" si="42"/>
        <v>8972.1</v>
      </c>
      <c r="P316" s="39">
        <f t="shared" si="43"/>
        <v>8940.7733333333326</v>
      </c>
      <c r="Q316" s="40">
        <f t="shared" si="44"/>
        <v>-0.11881895376686202</v>
      </c>
      <c r="R316" s="39">
        <f t="shared" si="45"/>
        <v>8930.15</v>
      </c>
      <c r="S316" s="41"/>
      <c r="U316" s="42">
        <f t="shared" si="46"/>
        <v>2</v>
      </c>
      <c r="V316" s="42">
        <f t="shared" si="47"/>
        <v>-3</v>
      </c>
      <c r="W316" s="42">
        <f t="shared" si="48"/>
        <v>0</v>
      </c>
      <c r="Y316" s="28">
        <v>316</v>
      </c>
    </row>
    <row r="317" spans="1:25" s="28" customFormat="1" ht="73.5" customHeight="1" x14ac:dyDescent="0.2">
      <c r="A317" s="30">
        <f t="shared" si="50"/>
        <v>327</v>
      </c>
      <c r="B317" s="31" t="s">
        <v>440</v>
      </c>
      <c r="C317" s="32" t="s">
        <v>25</v>
      </c>
      <c r="D317" s="33">
        <v>1</v>
      </c>
      <c r="E317" s="34">
        <v>9087.5</v>
      </c>
      <c r="F317" s="35">
        <v>9080.1200000000008</v>
      </c>
      <c r="G317" s="32" t="s">
        <v>56</v>
      </c>
      <c r="H317" s="37">
        <v>9205.49</v>
      </c>
      <c r="I317" s="38">
        <f t="shared" si="49"/>
        <v>9205.49</v>
      </c>
      <c r="J317" s="32" t="s">
        <v>57</v>
      </c>
      <c r="K317" s="37">
        <v>8900</v>
      </c>
      <c r="L317" s="38">
        <f t="shared" si="41"/>
        <v>8900</v>
      </c>
      <c r="M317" s="37" t="s">
        <v>67</v>
      </c>
      <c r="N317" s="37">
        <f>10969.78/1.2</f>
        <v>9141.4833333333336</v>
      </c>
      <c r="O317" s="38">
        <f t="shared" si="42"/>
        <v>9141.4833333333336</v>
      </c>
      <c r="P317" s="39">
        <f t="shared" si="43"/>
        <v>9082.3244444444445</v>
      </c>
      <c r="Q317" s="40">
        <f t="shared" si="44"/>
        <v>-2.427180902782311E-2</v>
      </c>
      <c r="R317" s="39">
        <f t="shared" si="45"/>
        <v>9080.1200000000008</v>
      </c>
      <c r="S317" s="41"/>
      <c r="U317" s="42">
        <f t="shared" si="46"/>
        <v>1</v>
      </c>
      <c r="V317" s="42">
        <f t="shared" si="47"/>
        <v>-2</v>
      </c>
      <c r="W317" s="42">
        <f t="shared" si="48"/>
        <v>1</v>
      </c>
      <c r="Y317" s="28">
        <v>317</v>
      </c>
    </row>
    <row r="318" spans="1:25" s="28" customFormat="1" ht="73.5" customHeight="1" x14ac:dyDescent="0.2">
      <c r="A318" s="30">
        <f t="shared" si="50"/>
        <v>328</v>
      </c>
      <c r="B318" s="31" t="s">
        <v>441</v>
      </c>
      <c r="C318" s="32" t="s">
        <v>25</v>
      </c>
      <c r="D318" s="33">
        <v>2</v>
      </c>
      <c r="E318" s="34">
        <v>37760.83</v>
      </c>
      <c r="F318" s="35">
        <v>33102.400000000001</v>
      </c>
      <c r="G318" s="32" t="s">
        <v>56</v>
      </c>
      <c r="H318" s="37">
        <v>33450</v>
      </c>
      <c r="I318" s="38">
        <f t="shared" si="49"/>
        <v>66900</v>
      </c>
      <c r="J318" s="32" t="s">
        <v>57</v>
      </c>
      <c r="K318" s="37">
        <v>32000</v>
      </c>
      <c r="L318" s="38">
        <f t="shared" si="41"/>
        <v>64000</v>
      </c>
      <c r="M318" s="37" t="s">
        <v>67</v>
      </c>
      <c r="N318" s="37">
        <f>40734.72/1.2</f>
        <v>33945.600000000006</v>
      </c>
      <c r="O318" s="38">
        <f t="shared" si="42"/>
        <v>67891.200000000012</v>
      </c>
      <c r="P318" s="39">
        <f t="shared" si="43"/>
        <v>33131.866666666669</v>
      </c>
      <c r="Q318" s="40">
        <f t="shared" si="44"/>
        <v>-8.8937538482596779E-2</v>
      </c>
      <c r="R318" s="39">
        <f t="shared" si="45"/>
        <v>66204.800000000003</v>
      </c>
      <c r="S318" s="41"/>
      <c r="U318" s="42">
        <f t="shared" si="46"/>
        <v>1</v>
      </c>
      <c r="V318" s="42">
        <f t="shared" si="47"/>
        <v>-3</v>
      </c>
      <c r="W318" s="42">
        <f t="shared" si="48"/>
        <v>2</v>
      </c>
      <c r="Y318" s="28">
        <v>318</v>
      </c>
    </row>
    <row r="319" spans="1:25" s="28" customFormat="1" ht="73.5" customHeight="1" x14ac:dyDescent="0.2">
      <c r="A319" s="30">
        <f t="shared" si="50"/>
        <v>329</v>
      </c>
      <c r="B319" s="31" t="s">
        <v>442</v>
      </c>
      <c r="C319" s="32" t="s">
        <v>25</v>
      </c>
      <c r="D319" s="33">
        <v>2</v>
      </c>
      <c r="E319" s="34">
        <v>67797.5</v>
      </c>
      <c r="F319" s="35">
        <v>69148.5</v>
      </c>
      <c r="G319" s="32" t="s">
        <v>56</v>
      </c>
      <c r="H319" s="37">
        <v>69725.600000000006</v>
      </c>
      <c r="I319" s="38">
        <f t="shared" si="49"/>
        <v>139451.20000000001</v>
      </c>
      <c r="J319" s="32" t="s">
        <v>57</v>
      </c>
      <c r="K319" s="37">
        <v>68000</v>
      </c>
      <c r="L319" s="38">
        <f t="shared" si="41"/>
        <v>136000</v>
      </c>
      <c r="M319" s="37" t="s">
        <v>67</v>
      </c>
      <c r="N319" s="37">
        <f>84060.86/1.2</f>
        <v>70050.716666666674</v>
      </c>
      <c r="O319" s="38">
        <f t="shared" si="42"/>
        <v>140101.43333333335</v>
      </c>
      <c r="P319" s="39">
        <f t="shared" si="43"/>
        <v>69258.772222222222</v>
      </c>
      <c r="Q319" s="40">
        <f t="shared" si="44"/>
        <v>-0.15921769717257916</v>
      </c>
      <c r="R319" s="39">
        <f t="shared" si="45"/>
        <v>138297</v>
      </c>
      <c r="S319" s="41"/>
      <c r="U319" s="42">
        <f t="shared" si="46"/>
        <v>1</v>
      </c>
      <c r="V319" s="42">
        <f t="shared" si="47"/>
        <v>-2</v>
      </c>
      <c r="W319" s="42">
        <f t="shared" si="48"/>
        <v>1</v>
      </c>
    </row>
    <row r="320" spans="1:25" s="28" customFormat="1" ht="73.5" customHeight="1" x14ac:dyDescent="0.2">
      <c r="A320" s="30">
        <f t="shared" si="50"/>
        <v>330</v>
      </c>
      <c r="B320" s="31" t="s">
        <v>443</v>
      </c>
      <c r="C320" s="32" t="s">
        <v>45</v>
      </c>
      <c r="D320" s="33">
        <v>125.8</v>
      </c>
      <c r="E320" s="34">
        <v>287.33</v>
      </c>
      <c r="F320" s="35">
        <v>395.2</v>
      </c>
      <c r="G320" s="32" t="s">
        <v>39</v>
      </c>
      <c r="H320" s="37">
        <v>388.09</v>
      </c>
      <c r="I320" s="38">
        <f t="shared" si="49"/>
        <v>48821.721999999994</v>
      </c>
      <c r="J320" s="32" t="s">
        <v>54</v>
      </c>
      <c r="K320" s="37">
        <v>410.77</v>
      </c>
      <c r="L320" s="38">
        <f t="shared" si="41"/>
        <v>51674.865999999995</v>
      </c>
      <c r="M320" s="37" t="s">
        <v>67</v>
      </c>
      <c r="N320" s="37">
        <f>488.26/1.2</f>
        <v>406.88333333333333</v>
      </c>
      <c r="O320" s="38">
        <f t="shared" si="42"/>
        <v>51185.923333333332</v>
      </c>
      <c r="P320" s="39">
        <f t="shared" si="43"/>
        <v>401.91444444444443</v>
      </c>
      <c r="Q320" s="40">
        <f t="shared" si="44"/>
        <v>-1.6706153603724374</v>
      </c>
      <c r="R320" s="39">
        <f t="shared" si="45"/>
        <v>49716.159999999996</v>
      </c>
      <c r="S320" s="41"/>
      <c r="U320" s="42">
        <f t="shared" si="46"/>
        <v>-3</v>
      </c>
      <c r="V320" s="42">
        <f t="shared" si="47"/>
        <v>2</v>
      </c>
      <c r="W320" s="42">
        <f t="shared" si="48"/>
        <v>1</v>
      </c>
      <c r="Y320" s="28">
        <v>319</v>
      </c>
    </row>
    <row r="321" spans="1:23" s="28" customFormat="1" ht="73.5" customHeight="1" x14ac:dyDescent="0.2">
      <c r="A321" s="30">
        <f t="shared" si="50"/>
        <v>331</v>
      </c>
      <c r="B321" s="31" t="s">
        <v>444</v>
      </c>
      <c r="C321" s="32" t="s">
        <v>45</v>
      </c>
      <c r="D321" s="33" t="s">
        <v>445</v>
      </c>
      <c r="E321" s="34">
        <v>277.19</v>
      </c>
      <c r="F321" s="35">
        <v>385.4</v>
      </c>
      <c r="G321" s="32" t="s">
        <v>39</v>
      </c>
      <c r="H321" s="37">
        <v>395.81</v>
      </c>
      <c r="I321" s="38">
        <f t="shared" si="49"/>
        <v>28498.32</v>
      </c>
      <c r="J321" s="32" t="s">
        <v>54</v>
      </c>
      <c r="K321" s="37">
        <v>403.69</v>
      </c>
      <c r="L321" s="38">
        <f t="shared" si="41"/>
        <v>29065.68</v>
      </c>
      <c r="M321" s="37" t="s">
        <v>67</v>
      </c>
      <c r="N321" s="37">
        <f>465/1.2</f>
        <v>387.5</v>
      </c>
      <c r="O321" s="38">
        <f t="shared" si="42"/>
        <v>27900</v>
      </c>
      <c r="P321" s="39">
        <f t="shared" si="43"/>
        <v>395.66666666666669</v>
      </c>
      <c r="Q321" s="40">
        <f t="shared" si="44"/>
        <v>-2.594776748104465</v>
      </c>
      <c r="R321" s="39">
        <f t="shared" si="45"/>
        <v>27748.799999999999</v>
      </c>
      <c r="S321" s="41"/>
      <c r="U321" s="42">
        <f t="shared" si="46"/>
        <v>0</v>
      </c>
      <c r="V321" s="42">
        <f t="shared" si="47"/>
        <v>2</v>
      </c>
      <c r="W321" s="42">
        <f t="shared" si="48"/>
        <v>-2</v>
      </c>
    </row>
    <row r="322" spans="1:23" s="28" customFormat="1" ht="73.5" customHeight="1" x14ac:dyDescent="0.2">
      <c r="A322" s="30">
        <f t="shared" si="50"/>
        <v>332</v>
      </c>
      <c r="B322" s="31" t="s">
        <v>446</v>
      </c>
      <c r="C322" s="32" t="s">
        <v>45</v>
      </c>
      <c r="D322" s="33">
        <v>24</v>
      </c>
      <c r="E322" s="34">
        <v>277.19</v>
      </c>
      <c r="F322" s="35">
        <v>383</v>
      </c>
      <c r="G322" s="32" t="s">
        <v>39</v>
      </c>
      <c r="H322" s="37">
        <v>395.81</v>
      </c>
      <c r="I322" s="38">
        <f t="shared" ref="I322:I329" si="51">D322*H322</f>
        <v>9499.44</v>
      </c>
      <c r="J322" s="32" t="s">
        <v>54</v>
      </c>
      <c r="K322" s="37">
        <v>403.69</v>
      </c>
      <c r="L322" s="38">
        <f t="shared" si="41"/>
        <v>9688.56</v>
      </c>
      <c r="M322" s="37" t="s">
        <v>67</v>
      </c>
      <c r="N322" s="37">
        <f>460.44/1.2</f>
        <v>383.7</v>
      </c>
      <c r="O322" s="38">
        <f t="shared" si="42"/>
        <v>9208.7999999999993</v>
      </c>
      <c r="P322" s="39">
        <f t="shared" si="43"/>
        <v>394.40000000000003</v>
      </c>
      <c r="Q322" s="40">
        <f t="shared" si="44"/>
        <v>-2.8904665314401683</v>
      </c>
      <c r="R322" s="39">
        <f t="shared" si="45"/>
        <v>9192</v>
      </c>
      <c r="S322" s="41"/>
      <c r="U322" s="42">
        <f t="shared" si="46"/>
        <v>0</v>
      </c>
      <c r="V322" s="42">
        <f t="shared" si="47"/>
        <v>2</v>
      </c>
      <c r="W322" s="42">
        <f t="shared" si="48"/>
        <v>-3</v>
      </c>
    </row>
    <row r="323" spans="1:23" s="28" customFormat="1" ht="73.5" customHeight="1" x14ac:dyDescent="0.2">
      <c r="A323" s="30">
        <f t="shared" si="50"/>
        <v>333</v>
      </c>
      <c r="B323" s="31" t="s">
        <v>447</v>
      </c>
      <c r="C323" s="32" t="s">
        <v>25</v>
      </c>
      <c r="D323" s="33">
        <v>4</v>
      </c>
      <c r="E323" s="34">
        <v>925.16</v>
      </c>
      <c r="F323" s="35">
        <v>1175.2</v>
      </c>
      <c r="G323" s="32" t="s">
        <v>27</v>
      </c>
      <c r="H323" s="37">
        <f>1338.34/1.2</f>
        <v>1115.2833333333333</v>
      </c>
      <c r="I323" s="38">
        <f t="shared" si="51"/>
        <v>4461.1333333333332</v>
      </c>
      <c r="J323" s="38" t="s">
        <v>28</v>
      </c>
      <c r="K323" s="37">
        <v>1170.6400000000001</v>
      </c>
      <c r="L323" s="38">
        <f t="shared" si="41"/>
        <v>4682.5600000000004</v>
      </c>
      <c r="M323" s="33" t="s">
        <v>29</v>
      </c>
      <c r="N323" s="37">
        <v>1246.5</v>
      </c>
      <c r="O323" s="38">
        <f t="shared" si="42"/>
        <v>4986</v>
      </c>
      <c r="P323" s="39">
        <f t="shared" si="43"/>
        <v>1177.4744444444443</v>
      </c>
      <c r="Q323" s="40">
        <f t="shared" si="44"/>
        <v>-0.19316295611982071</v>
      </c>
      <c r="R323" s="39">
        <f t="shared" si="45"/>
        <v>4700.8</v>
      </c>
      <c r="S323" s="41"/>
      <c r="U323" s="42">
        <f t="shared" si="46"/>
        <v>-5</v>
      </c>
      <c r="V323" s="42">
        <f t="shared" si="47"/>
        <v>-1</v>
      </c>
      <c r="W323" s="42">
        <f t="shared" si="48"/>
        <v>6</v>
      </c>
    </row>
    <row r="324" spans="1:23" s="28" customFormat="1" ht="73.5" customHeight="1" x14ac:dyDescent="0.2">
      <c r="A324" s="30">
        <f t="shared" si="50"/>
        <v>334</v>
      </c>
      <c r="B324" s="31" t="s">
        <v>448</v>
      </c>
      <c r="C324" s="32" t="s">
        <v>25</v>
      </c>
      <c r="D324" s="32">
        <v>71</v>
      </c>
      <c r="E324" s="34">
        <v>1325.04</v>
      </c>
      <c r="F324" s="35">
        <v>1974.45</v>
      </c>
      <c r="G324" s="32" t="s">
        <v>27</v>
      </c>
      <c r="H324" s="37">
        <f>2332.39/1.2</f>
        <v>1943.6583333333333</v>
      </c>
      <c r="I324" s="38">
        <f t="shared" si="51"/>
        <v>137999.74166666667</v>
      </c>
      <c r="J324" s="38" t="s">
        <v>28</v>
      </c>
      <c r="K324" s="37">
        <v>2010.42</v>
      </c>
      <c r="L324" s="38">
        <f t="shared" si="41"/>
        <v>142739.82</v>
      </c>
      <c r="M324" s="33" t="s">
        <v>29</v>
      </c>
      <c r="N324" s="37">
        <v>1972.2</v>
      </c>
      <c r="O324" s="38">
        <f t="shared" si="42"/>
        <v>140026.20000000001</v>
      </c>
      <c r="P324" s="39">
        <f t="shared" si="43"/>
        <v>1975.4261111111111</v>
      </c>
      <c r="Q324" s="40">
        <f t="shared" si="44"/>
        <v>-4.9412686489304747E-2</v>
      </c>
      <c r="R324" s="39">
        <f t="shared" si="45"/>
        <v>140185.95000000001</v>
      </c>
      <c r="S324" s="41"/>
      <c r="U324" s="42">
        <f t="shared" si="46"/>
        <v>-2</v>
      </c>
      <c r="V324" s="42">
        <f t="shared" si="47"/>
        <v>2</v>
      </c>
      <c r="W324" s="42">
        <f t="shared" si="48"/>
        <v>0</v>
      </c>
    </row>
    <row r="325" spans="1:23" s="28" customFormat="1" ht="73.5" customHeight="1" x14ac:dyDescent="0.2">
      <c r="A325" s="30">
        <f t="shared" si="50"/>
        <v>335</v>
      </c>
      <c r="B325" s="31" t="s">
        <v>449</v>
      </c>
      <c r="C325" s="32" t="s">
        <v>25</v>
      </c>
      <c r="D325" s="33">
        <v>34</v>
      </c>
      <c r="E325" s="34">
        <v>1487.95</v>
      </c>
      <c r="F325" s="35">
        <v>2651.1</v>
      </c>
      <c r="G325" s="32" t="s">
        <v>27</v>
      </c>
      <c r="H325" s="37">
        <f>2925.52/1.2</f>
        <v>2437.9333333333334</v>
      </c>
      <c r="I325" s="38">
        <f t="shared" si="51"/>
        <v>82889.733333333337</v>
      </c>
      <c r="J325" s="38" t="s">
        <v>28</v>
      </c>
      <c r="K325" s="37">
        <v>2845.3</v>
      </c>
      <c r="L325" s="38">
        <f t="shared" si="41"/>
        <v>96740.200000000012</v>
      </c>
      <c r="M325" s="33" t="s">
        <v>29</v>
      </c>
      <c r="N325" s="37">
        <v>2680.49</v>
      </c>
      <c r="O325" s="38">
        <f t="shared" si="42"/>
        <v>91136.659999999989</v>
      </c>
      <c r="P325" s="39">
        <f t="shared" si="43"/>
        <v>2654.5744444444445</v>
      </c>
      <c r="Q325" s="40">
        <f t="shared" si="44"/>
        <v>-0.13088517640618136</v>
      </c>
      <c r="R325" s="39">
        <f t="shared" si="45"/>
        <v>90137.4</v>
      </c>
      <c r="S325" s="41"/>
      <c r="U325" s="42">
        <f t="shared" si="46"/>
        <v>-8</v>
      </c>
      <c r="V325" s="42">
        <f t="shared" si="47"/>
        <v>7</v>
      </c>
      <c r="W325" s="42">
        <f t="shared" si="48"/>
        <v>1</v>
      </c>
    </row>
    <row r="326" spans="1:23" s="28" customFormat="1" ht="73.5" customHeight="1" x14ac:dyDescent="0.2">
      <c r="A326" s="30">
        <f t="shared" si="50"/>
        <v>336</v>
      </c>
      <c r="B326" s="31" t="s">
        <v>450</v>
      </c>
      <c r="C326" s="32" t="s">
        <v>25</v>
      </c>
      <c r="D326" s="33" t="s">
        <v>451</v>
      </c>
      <c r="E326" s="34">
        <v>2941.87</v>
      </c>
      <c r="F326" s="35">
        <v>3640.5</v>
      </c>
      <c r="G326" s="32" t="s">
        <v>27</v>
      </c>
      <c r="H326" s="37">
        <f>4199.67/1.2</f>
        <v>3499.7250000000004</v>
      </c>
      <c r="I326" s="38">
        <f t="shared" si="51"/>
        <v>34997.25</v>
      </c>
      <c r="J326" s="38" t="s">
        <v>28</v>
      </c>
      <c r="K326" s="37">
        <v>3754.2</v>
      </c>
      <c r="L326" s="38">
        <f t="shared" si="41"/>
        <v>37542</v>
      </c>
      <c r="M326" s="33" t="s">
        <v>29</v>
      </c>
      <c r="N326" s="37">
        <v>3674.62</v>
      </c>
      <c r="O326" s="38">
        <f t="shared" si="42"/>
        <v>36746.199999999997</v>
      </c>
      <c r="P326" s="39">
        <f t="shared" si="43"/>
        <v>3642.8483333333334</v>
      </c>
      <c r="Q326" s="40">
        <f t="shared" si="44"/>
        <v>-6.4464208181419735E-2</v>
      </c>
      <c r="R326" s="39">
        <f t="shared" si="45"/>
        <v>36405</v>
      </c>
      <c r="S326" s="41"/>
      <c r="U326" s="42">
        <f t="shared" si="46"/>
        <v>-4</v>
      </c>
      <c r="V326" s="42">
        <f t="shared" si="47"/>
        <v>3</v>
      </c>
      <c r="W326" s="42">
        <f t="shared" si="48"/>
        <v>1</v>
      </c>
    </row>
    <row r="327" spans="1:23" s="28" customFormat="1" ht="73.5" customHeight="1" x14ac:dyDescent="0.2">
      <c r="A327" s="30">
        <f t="shared" si="50"/>
        <v>337</v>
      </c>
      <c r="B327" s="31" t="s">
        <v>452</v>
      </c>
      <c r="C327" s="32" t="s">
        <v>25</v>
      </c>
      <c r="D327" s="33">
        <v>266</v>
      </c>
      <c r="E327" s="34">
        <v>480</v>
      </c>
      <c r="F327" s="35">
        <v>591.6</v>
      </c>
      <c r="G327" s="32" t="s">
        <v>56</v>
      </c>
      <c r="H327" s="37">
        <v>589.70000000000005</v>
      </c>
      <c r="I327" s="38">
        <f t="shared" si="51"/>
        <v>156860.20000000001</v>
      </c>
      <c r="J327" s="32" t="s">
        <v>57</v>
      </c>
      <c r="K327" s="37">
        <v>578.64</v>
      </c>
      <c r="L327" s="38">
        <f t="shared" si="41"/>
        <v>153918.24</v>
      </c>
      <c r="M327" s="38" t="s">
        <v>68</v>
      </c>
      <c r="N327" s="37">
        <v>610.24</v>
      </c>
      <c r="O327" s="38">
        <f t="shared" si="42"/>
        <v>162323.84</v>
      </c>
      <c r="P327" s="39">
        <f t="shared" si="43"/>
        <v>592.86</v>
      </c>
      <c r="Q327" s="40">
        <f t="shared" si="44"/>
        <v>-0.21252909624531924</v>
      </c>
      <c r="R327" s="39">
        <f t="shared" si="45"/>
        <v>157365.6</v>
      </c>
      <c r="S327" s="41"/>
      <c r="U327" s="42">
        <f t="shared" si="46"/>
        <v>-1</v>
      </c>
      <c r="V327" s="42">
        <f t="shared" si="47"/>
        <v>-2</v>
      </c>
      <c r="W327" s="42">
        <f t="shared" si="48"/>
        <v>3</v>
      </c>
    </row>
    <row r="328" spans="1:23" s="28" customFormat="1" ht="73.5" customHeight="1" x14ac:dyDescent="0.2">
      <c r="A328" s="30">
        <f t="shared" si="50"/>
        <v>338</v>
      </c>
      <c r="B328" s="31" t="s">
        <v>453</v>
      </c>
      <c r="C328" s="32" t="s">
        <v>25</v>
      </c>
      <c r="D328" s="33">
        <v>654</v>
      </c>
      <c r="E328" s="34">
        <v>450</v>
      </c>
      <c r="F328" s="35">
        <v>595.79999999999995</v>
      </c>
      <c r="G328" s="32" t="s">
        <v>56</v>
      </c>
      <c r="H328" s="37">
        <v>630.12</v>
      </c>
      <c r="I328" s="38">
        <f t="shared" si="51"/>
        <v>412098.48</v>
      </c>
      <c r="J328" s="32" t="s">
        <v>57</v>
      </c>
      <c r="K328" s="37">
        <v>562.09</v>
      </c>
      <c r="L328" s="38">
        <f t="shared" si="41"/>
        <v>367606.86000000004</v>
      </c>
      <c r="M328" s="38" t="s">
        <v>68</v>
      </c>
      <c r="N328" s="37">
        <v>599.4</v>
      </c>
      <c r="O328" s="38">
        <f t="shared" si="42"/>
        <v>392007.6</v>
      </c>
      <c r="P328" s="39">
        <f t="shared" si="43"/>
        <v>597.20333333333338</v>
      </c>
      <c r="Q328" s="40">
        <f t="shared" si="44"/>
        <v>-0.23498417624372792</v>
      </c>
      <c r="R328" s="39">
        <f t="shared" si="45"/>
        <v>389653.19999999995</v>
      </c>
      <c r="S328" s="41"/>
      <c r="U328" s="42">
        <f t="shared" si="46"/>
        <v>6</v>
      </c>
      <c r="V328" s="42">
        <f t="shared" si="47"/>
        <v>-6</v>
      </c>
      <c r="W328" s="42">
        <f t="shared" si="48"/>
        <v>0</v>
      </c>
    </row>
    <row r="329" spans="1:23" s="28" customFormat="1" ht="73.5" customHeight="1" x14ac:dyDescent="0.2">
      <c r="A329" s="30">
        <f t="shared" si="50"/>
        <v>339</v>
      </c>
      <c r="B329" s="31" t="s">
        <v>454</v>
      </c>
      <c r="C329" s="32" t="s">
        <v>25</v>
      </c>
      <c r="D329" s="33">
        <v>20</v>
      </c>
      <c r="E329" s="34">
        <v>1970.31</v>
      </c>
      <c r="F329" s="35">
        <v>2045.3</v>
      </c>
      <c r="G329" s="32" t="s">
        <v>27</v>
      </c>
      <c r="H329" s="37">
        <f>2395.66/1.2</f>
        <v>1996.3833333333332</v>
      </c>
      <c r="I329" s="38">
        <f t="shared" si="51"/>
        <v>39927.666666666664</v>
      </c>
      <c r="J329" s="38" t="s">
        <v>28</v>
      </c>
      <c r="K329" s="37">
        <v>2100.3000000000002</v>
      </c>
      <c r="L329" s="38">
        <f t="shared" si="41"/>
        <v>42006</v>
      </c>
      <c r="M329" s="33" t="s">
        <v>29</v>
      </c>
      <c r="N329" s="37">
        <v>2050.88</v>
      </c>
      <c r="O329" s="38">
        <f t="shared" si="42"/>
        <v>41017.600000000006</v>
      </c>
      <c r="P329" s="39">
        <f t="shared" si="43"/>
        <v>2049.1877777777777</v>
      </c>
      <c r="Q329" s="40">
        <f t="shared" si="44"/>
        <v>-0.18972286580753916</v>
      </c>
      <c r="R329" s="39">
        <f t="shared" si="45"/>
        <v>40906</v>
      </c>
      <c r="S329" s="41"/>
      <c r="U329" s="42">
        <f t="shared" si="46"/>
        <v>-3</v>
      </c>
      <c r="V329" s="42">
        <f t="shared" si="47"/>
        <v>2</v>
      </c>
      <c r="W329" s="42">
        <f t="shared" si="48"/>
        <v>0</v>
      </c>
    </row>
    <row r="330" spans="1:23" s="28" customFormat="1" ht="32.25" customHeight="1" x14ac:dyDescent="0.2">
      <c r="A330" s="30"/>
      <c r="B330" s="178" t="s">
        <v>455</v>
      </c>
      <c r="C330" s="178"/>
      <c r="D330" s="178"/>
      <c r="E330" s="178"/>
      <c r="F330" s="178"/>
      <c r="G330" s="178"/>
      <c r="H330" s="178"/>
      <c r="I330" s="178"/>
      <c r="J330" s="178"/>
      <c r="K330" s="178"/>
      <c r="L330" s="178"/>
      <c r="M330" s="178"/>
      <c r="N330" s="178"/>
      <c r="O330" s="178"/>
      <c r="P330" s="178"/>
      <c r="Q330" s="178"/>
      <c r="R330" s="178"/>
      <c r="S330" s="178"/>
      <c r="U330" s="42"/>
      <c r="V330" s="42"/>
      <c r="W330" s="42"/>
    </row>
    <row r="331" spans="1:23" s="28" customFormat="1" ht="73.5" customHeight="1" x14ac:dyDescent="0.2">
      <c r="A331" s="30">
        <v>319</v>
      </c>
      <c r="B331" s="31" t="s">
        <v>456</v>
      </c>
      <c r="C331" s="32" t="s">
        <v>25</v>
      </c>
      <c r="D331" s="33">
        <v>8</v>
      </c>
      <c r="E331" s="34">
        <v>84891.83</v>
      </c>
      <c r="F331" s="35">
        <v>87042.7</v>
      </c>
      <c r="G331" s="32" t="s">
        <v>56</v>
      </c>
      <c r="H331" s="37">
        <v>85925.72</v>
      </c>
      <c r="I331" s="38">
        <f>D331*H331</f>
        <v>687405.76</v>
      </c>
      <c r="J331" s="32" t="s">
        <v>57</v>
      </c>
      <c r="K331" s="37">
        <v>88479.67</v>
      </c>
      <c r="L331" s="38">
        <f>D331*K331</f>
        <v>707837.36</v>
      </c>
      <c r="M331" s="32" t="s">
        <v>457</v>
      </c>
      <c r="N331" s="37">
        <f>87011.83</f>
        <v>87011.83</v>
      </c>
      <c r="O331" s="38">
        <f>D331*N331</f>
        <v>696094.64</v>
      </c>
      <c r="P331" s="39">
        <f>AVERAGE(H331,K331,N331)</f>
        <v>87139.073333333348</v>
      </c>
      <c r="Q331" s="40">
        <f>F331*100/P331-100</f>
        <v>-0.11059715193974284</v>
      </c>
      <c r="R331" s="39">
        <f>D331*F331</f>
        <v>696341.6</v>
      </c>
      <c r="S331" s="31"/>
      <c r="U331" s="42">
        <f>ROUND(H331*100/P331-100,0)</f>
        <v>-1</v>
      </c>
      <c r="V331" s="42">
        <f>ROUND(K331*100/P331-100,0)</f>
        <v>2</v>
      </c>
      <c r="W331" s="42">
        <f>ROUND(N331*100/P331-100,0)</f>
        <v>0</v>
      </c>
    </row>
    <row r="332" spans="1:23" s="28" customFormat="1" ht="25.5" customHeight="1" x14ac:dyDescent="0.2">
      <c r="A332" s="189" t="s">
        <v>458</v>
      </c>
      <c r="B332" s="189"/>
      <c r="C332" s="189"/>
      <c r="D332" s="189"/>
      <c r="E332" s="189"/>
      <c r="F332" s="189"/>
      <c r="G332" s="189"/>
      <c r="H332" s="189"/>
      <c r="I332" s="189"/>
      <c r="J332" s="189"/>
      <c r="K332" s="189"/>
      <c r="L332" s="189"/>
      <c r="M332" s="189"/>
      <c r="N332" s="189"/>
      <c r="O332" s="189"/>
      <c r="P332" s="39">
        <f>SUM(P11:P331)</f>
        <v>6335546.3862196617</v>
      </c>
      <c r="Q332" s="40"/>
      <c r="R332" s="39">
        <f>SUM(R11:R331)</f>
        <v>44681902.207400024</v>
      </c>
      <c r="S332" s="31"/>
    </row>
    <row r="333" spans="1:23" s="10" customFormat="1" ht="33" customHeight="1" x14ac:dyDescent="0.25">
      <c r="A333" s="58"/>
      <c r="B333" s="190"/>
      <c r="C333" s="190"/>
      <c r="D333" s="190"/>
      <c r="E333" s="190"/>
      <c r="F333" s="190"/>
      <c r="G333" s="190"/>
      <c r="H333" s="190"/>
      <c r="I333" s="190"/>
      <c r="J333" s="59"/>
      <c r="K333" s="60"/>
      <c r="L333" s="58"/>
      <c r="M333" s="58"/>
      <c r="N333" s="60"/>
      <c r="O333" s="58"/>
      <c r="P333" s="58"/>
      <c r="Q333" s="58"/>
      <c r="R333" s="58"/>
      <c r="S333" s="58"/>
    </row>
    <row r="334" spans="1:23" ht="15.75" x14ac:dyDescent="0.25">
      <c r="J334" s="59"/>
    </row>
    <row r="335" spans="1:23" ht="15.75" x14ac:dyDescent="0.25">
      <c r="J335" s="59"/>
    </row>
    <row r="337" spans="2:17" ht="124.5" customHeight="1" x14ac:dyDescent="0.25">
      <c r="B337" s="191" t="s">
        <v>459</v>
      </c>
      <c r="C337" s="191"/>
      <c r="D337" s="191"/>
      <c r="E337" s="191"/>
      <c r="F337" s="191"/>
      <c r="G337" s="191"/>
      <c r="H337" s="191"/>
      <c r="I337" s="191"/>
      <c r="J337" s="191"/>
      <c r="K337" s="191"/>
      <c r="L337" s="191"/>
      <c r="M337" s="191"/>
      <c r="N337" s="191"/>
      <c r="O337" s="191"/>
      <c r="P337" s="191"/>
      <c r="Q337" s="191"/>
    </row>
    <row r="339" spans="2:17" ht="32.25" customHeight="1" x14ac:dyDescent="0.25">
      <c r="B339" s="191" t="s">
        <v>460</v>
      </c>
      <c r="C339" s="191"/>
      <c r="D339" s="191"/>
      <c r="E339" s="191"/>
      <c r="F339" s="191"/>
      <c r="G339" s="191"/>
      <c r="H339" s="191"/>
      <c r="I339" s="191"/>
      <c r="J339" s="191"/>
      <c r="K339" s="191"/>
      <c r="L339" s="191"/>
      <c r="M339" s="191"/>
      <c r="N339" s="191"/>
      <c r="O339" s="191"/>
      <c r="P339" s="191"/>
      <c r="Q339" s="191"/>
    </row>
    <row r="347" spans="2:17" x14ac:dyDescent="0.2">
      <c r="G347" s="36"/>
      <c r="H347" s="37"/>
    </row>
  </sheetData>
  <autoFilter ref="A10:S332">
    <filterColumn colId="18">
      <filters blank="1">
        <filter val="удаляем"/>
      </filters>
    </filterColumn>
  </autoFilter>
  <mergeCells count="25">
    <mergeCell ref="A332:O332"/>
    <mergeCell ref="B333:I333"/>
    <mergeCell ref="B337:Q337"/>
    <mergeCell ref="B339:Q339"/>
    <mergeCell ref="S7:S9"/>
    <mergeCell ref="M7:O8"/>
    <mergeCell ref="P7:P9"/>
    <mergeCell ref="Q7:Q9"/>
    <mergeCell ref="R7:R9"/>
    <mergeCell ref="U7:W8"/>
    <mergeCell ref="A11:S11"/>
    <mergeCell ref="E32:E33"/>
    <mergeCell ref="B330:S330"/>
    <mergeCell ref="P1:S1"/>
    <mergeCell ref="P2:S2"/>
    <mergeCell ref="A3:P3"/>
    <mergeCell ref="A5:Q5"/>
    <mergeCell ref="A7:A9"/>
    <mergeCell ref="B7:B9"/>
    <mergeCell ref="C7:C9"/>
    <mergeCell ref="D7:D9"/>
    <mergeCell ref="E7:E9"/>
    <mergeCell ref="F7:F9"/>
    <mergeCell ref="G7:I8"/>
    <mergeCell ref="J7:L8"/>
  </mergeCells>
  <conditionalFormatting sqref="Q331">
    <cfRule type="cellIs" dxfId="22" priority="2" operator="greaterThan">
      <formula>0</formula>
    </cfRule>
  </conditionalFormatting>
  <conditionalFormatting sqref="U11:W331">
    <cfRule type="expression" dxfId="21" priority="3">
      <formula>AND(U11&lt;-20,U11&lt;0)</formula>
    </cfRule>
    <cfRule type="expression" dxfId="20" priority="4">
      <formula>AND(U11&gt;20,U11&gt;0)</formula>
    </cfRule>
  </conditionalFormatting>
  <conditionalFormatting sqref="Q12:Q329">
    <cfRule type="cellIs" dxfId="19" priority="5" operator="greaterThan">
      <formula>0</formula>
    </cfRule>
  </conditionalFormatting>
  <pageMargins left="0.25" right="0.25" top="0.75" bottom="0.75" header="0.511811023622047" footer="0.511811023622047"/>
  <pageSetup paperSize="9" scale="35"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J349"/>
  <sheetViews>
    <sheetView topLeftCell="A7" zoomScale="63" zoomScaleNormal="63" workbookViewId="0">
      <pane ySplit="4" topLeftCell="A11" activePane="bottomLeft" state="frozen"/>
      <selection activeCell="A7" sqref="A7"/>
      <selection pane="bottomLeft" activeCell="D343" activeCellId="1" sqref="J50:J51 D343"/>
    </sheetView>
  </sheetViews>
  <sheetFormatPr defaultColWidth="9.140625" defaultRowHeight="14.25" outlineLevelCol="1" x14ac:dyDescent="0.2"/>
  <cols>
    <col min="1" max="1" width="6.7109375" style="1" customWidth="1"/>
    <col min="2" max="2" width="39.7109375" style="2" customWidth="1"/>
    <col min="3" max="3" width="14.28515625" style="2" customWidth="1"/>
    <col min="4" max="4" width="15.140625" style="2" customWidth="1"/>
    <col min="5" max="5" width="14.85546875" style="3" customWidth="1"/>
    <col min="6" max="6" width="16" style="1" customWidth="1"/>
    <col min="7" max="7" width="21" style="1" customWidth="1"/>
    <col min="8" max="8" width="17.5703125" style="4" customWidth="1"/>
    <col min="9" max="9" width="17.42578125" style="1" customWidth="1"/>
    <col min="10" max="10" width="19.85546875" style="1" customWidth="1"/>
    <col min="11" max="11" width="16.28515625" style="4" customWidth="1"/>
    <col min="12" max="12" width="17.85546875" style="1" customWidth="1"/>
    <col min="13" max="13" width="20.140625" style="1" customWidth="1"/>
    <col min="14" max="14" width="17.28515625" style="4" customWidth="1"/>
    <col min="15" max="15" width="19.7109375" style="1" customWidth="1"/>
    <col min="16" max="18" width="23.42578125" style="1" customWidth="1"/>
    <col min="19" max="19" width="26" style="1" customWidth="1"/>
    <col min="20" max="20" width="9.140625" style="1"/>
    <col min="21" max="23" width="13" style="1" customWidth="1" outlineLevel="1"/>
    <col min="24" max="16384" width="9.140625" style="1"/>
  </cols>
  <sheetData>
    <row r="1" spans="1:36" x14ac:dyDescent="0.2">
      <c r="P1" s="179" t="s">
        <v>0</v>
      </c>
      <c r="Q1" s="179"/>
      <c r="R1" s="179"/>
      <c r="S1" s="179"/>
    </row>
    <row r="2" spans="1:36" ht="32.25" customHeight="1" x14ac:dyDescent="0.2">
      <c r="P2" s="180" t="s">
        <v>1</v>
      </c>
      <c r="Q2" s="180"/>
      <c r="R2" s="180"/>
      <c r="S2" s="180"/>
    </row>
    <row r="3" spans="1:36" ht="25.5" customHeight="1" x14ac:dyDescent="0.2">
      <c r="A3" s="181" t="s">
        <v>2</v>
      </c>
      <c r="B3" s="181"/>
      <c r="C3" s="181"/>
      <c r="D3" s="181"/>
      <c r="E3" s="181"/>
      <c r="F3" s="181"/>
      <c r="G3" s="181"/>
      <c r="H3" s="181"/>
      <c r="I3" s="181"/>
      <c r="J3" s="181"/>
      <c r="K3" s="181"/>
      <c r="L3" s="181"/>
      <c r="M3" s="181"/>
      <c r="N3" s="181"/>
      <c r="O3" s="181"/>
      <c r="P3" s="181"/>
      <c r="Q3" s="5"/>
      <c r="R3" s="5"/>
    </row>
    <row r="4" spans="1:36" ht="17.25" customHeight="1" x14ac:dyDescent="0.2">
      <c r="A4" s="6"/>
      <c r="B4" s="7"/>
      <c r="C4" s="7"/>
      <c r="D4" s="7"/>
      <c r="E4" s="8"/>
      <c r="F4" s="6"/>
      <c r="G4" s="6"/>
      <c r="H4" s="9"/>
      <c r="I4" s="6"/>
      <c r="J4" s="6"/>
      <c r="K4" s="9"/>
      <c r="L4" s="6"/>
      <c r="M4" s="6"/>
      <c r="N4" s="9"/>
      <c r="O4" s="6"/>
    </row>
    <row r="5" spans="1:36" s="10" customFormat="1" ht="28.5" customHeight="1" x14ac:dyDescent="0.2">
      <c r="A5" s="182" t="s">
        <v>3</v>
      </c>
      <c r="B5" s="182"/>
      <c r="C5" s="182"/>
      <c r="D5" s="182"/>
      <c r="E5" s="182"/>
      <c r="F5" s="182"/>
      <c r="G5" s="182"/>
      <c r="H5" s="182"/>
      <c r="I5" s="182"/>
      <c r="J5" s="182"/>
      <c r="K5" s="182"/>
      <c r="L5" s="182"/>
      <c r="M5" s="182"/>
      <c r="N5" s="182"/>
      <c r="O5" s="182"/>
      <c r="P5" s="182"/>
      <c r="Q5" s="182"/>
    </row>
    <row r="6" spans="1:36" s="10" customFormat="1" x14ac:dyDescent="0.2">
      <c r="B6" s="11"/>
      <c r="C6" s="11"/>
      <c r="D6" s="11"/>
      <c r="E6" s="12"/>
      <c r="H6" s="13"/>
      <c r="K6" s="13"/>
      <c r="N6" s="13"/>
    </row>
    <row r="7" spans="1:36" s="10" customFormat="1" ht="27" customHeight="1" x14ac:dyDescent="0.2">
      <c r="A7" s="183" t="s">
        <v>4</v>
      </c>
      <c r="B7" s="184" t="s">
        <v>5</v>
      </c>
      <c r="C7" s="185" t="s">
        <v>6</v>
      </c>
      <c r="D7" s="185" t="s">
        <v>7</v>
      </c>
      <c r="E7" s="186" t="s">
        <v>8</v>
      </c>
      <c r="F7" s="187" t="s">
        <v>9</v>
      </c>
      <c r="G7" s="188" t="s">
        <v>10</v>
      </c>
      <c r="H7" s="188"/>
      <c r="I7" s="188"/>
      <c r="J7" s="188" t="s">
        <v>11</v>
      </c>
      <c r="K7" s="188"/>
      <c r="L7" s="188"/>
      <c r="M7" s="192" t="s">
        <v>12</v>
      </c>
      <c r="N7" s="192"/>
      <c r="O7" s="192"/>
      <c r="P7" s="193" t="s">
        <v>13</v>
      </c>
      <c r="Q7" s="194" t="s">
        <v>14</v>
      </c>
      <c r="R7" s="193" t="s">
        <v>15</v>
      </c>
      <c r="S7" s="185" t="s">
        <v>16</v>
      </c>
      <c r="U7" s="175" t="s">
        <v>17</v>
      </c>
      <c r="V7" s="175"/>
      <c r="W7" s="175"/>
    </row>
    <row r="8" spans="1:36" s="10" customFormat="1" ht="30.75" customHeight="1" x14ac:dyDescent="0.2">
      <c r="A8" s="183"/>
      <c r="B8" s="183"/>
      <c r="C8" s="183"/>
      <c r="D8" s="183"/>
      <c r="E8" s="186"/>
      <c r="F8" s="187"/>
      <c r="G8" s="188"/>
      <c r="H8" s="188"/>
      <c r="I8" s="188"/>
      <c r="J8" s="188"/>
      <c r="K8" s="188"/>
      <c r="L8" s="188"/>
      <c r="M8" s="192"/>
      <c r="N8" s="192"/>
      <c r="O8" s="192"/>
      <c r="P8" s="193"/>
      <c r="Q8" s="194"/>
      <c r="R8" s="193"/>
      <c r="S8" s="185"/>
      <c r="U8" s="175"/>
      <c r="V8" s="175"/>
      <c r="W8" s="175"/>
    </row>
    <row r="9" spans="1:36" s="18" customFormat="1" ht="132.75" customHeight="1" x14ac:dyDescent="0.2">
      <c r="A9" s="183"/>
      <c r="B9" s="183"/>
      <c r="C9" s="185"/>
      <c r="D9" s="185"/>
      <c r="E9" s="186"/>
      <c r="F9" s="187"/>
      <c r="G9" s="14" t="s">
        <v>18</v>
      </c>
      <c r="H9" s="15" t="s">
        <v>19</v>
      </c>
      <c r="I9" s="16" t="s">
        <v>20</v>
      </c>
      <c r="J9" s="14" t="s">
        <v>18</v>
      </c>
      <c r="K9" s="15" t="s">
        <v>19</v>
      </c>
      <c r="L9" s="16" t="s">
        <v>20</v>
      </c>
      <c r="M9" s="14" t="s">
        <v>18</v>
      </c>
      <c r="N9" s="15" t="s">
        <v>21</v>
      </c>
      <c r="O9" s="16" t="s">
        <v>22</v>
      </c>
      <c r="P9" s="193"/>
      <c r="Q9" s="194"/>
      <c r="R9" s="193"/>
      <c r="S9" s="185"/>
      <c r="T9" s="10"/>
      <c r="U9" s="17" t="s">
        <v>10</v>
      </c>
      <c r="V9" s="17" t="s">
        <v>11</v>
      </c>
      <c r="W9" s="17" t="s">
        <v>12</v>
      </c>
      <c r="X9" s="10"/>
      <c r="Y9" s="10"/>
      <c r="Z9" s="10"/>
      <c r="AA9" s="10"/>
      <c r="AB9" s="10"/>
      <c r="AC9" s="10"/>
      <c r="AD9" s="10"/>
      <c r="AE9" s="10"/>
      <c r="AF9" s="10"/>
      <c r="AG9" s="10"/>
      <c r="AH9" s="10"/>
      <c r="AI9" s="10"/>
      <c r="AJ9" s="10"/>
    </row>
    <row r="10" spans="1:36" s="26" customFormat="1" ht="14.25" customHeight="1" x14ac:dyDescent="0.25">
      <c r="A10" s="19">
        <v>1</v>
      </c>
      <c r="B10" s="20">
        <v>2</v>
      </c>
      <c r="C10" s="21">
        <v>3</v>
      </c>
      <c r="D10" s="21">
        <v>4</v>
      </c>
      <c r="E10" s="22"/>
      <c r="F10" s="21"/>
      <c r="G10" s="23">
        <v>5</v>
      </c>
      <c r="H10" s="24">
        <v>6</v>
      </c>
      <c r="I10" s="20">
        <v>7</v>
      </c>
      <c r="J10" s="23">
        <v>8</v>
      </c>
      <c r="K10" s="25">
        <v>9</v>
      </c>
      <c r="L10" s="20">
        <v>10</v>
      </c>
      <c r="M10" s="23">
        <v>11</v>
      </c>
      <c r="N10" s="25">
        <v>12</v>
      </c>
      <c r="O10" s="20">
        <v>12</v>
      </c>
      <c r="P10" s="23">
        <v>15</v>
      </c>
      <c r="Q10" s="23">
        <v>16</v>
      </c>
      <c r="R10" s="23">
        <v>17</v>
      </c>
      <c r="S10" s="23">
        <v>18</v>
      </c>
      <c r="U10" s="27"/>
      <c r="V10" s="27"/>
      <c r="W10" s="27"/>
    </row>
    <row r="11" spans="1:36" s="28" customFormat="1" ht="35.25" customHeight="1" x14ac:dyDescent="0.2">
      <c r="A11" s="176" t="s">
        <v>23</v>
      </c>
      <c r="B11" s="176"/>
      <c r="C11" s="176"/>
      <c r="D11" s="176"/>
      <c r="E11" s="176"/>
      <c r="F11" s="176"/>
      <c r="G11" s="176"/>
      <c r="H11" s="176"/>
      <c r="I11" s="176"/>
      <c r="J11" s="176"/>
      <c r="K11" s="176"/>
      <c r="L11" s="176"/>
      <c r="M11" s="176"/>
      <c r="N11" s="176"/>
      <c r="O11" s="176"/>
      <c r="P11" s="176"/>
      <c r="Q11" s="176"/>
      <c r="R11" s="176"/>
      <c r="S11" s="176"/>
      <c r="U11" s="29"/>
      <c r="V11" s="29"/>
      <c r="W11" s="29"/>
    </row>
    <row r="12" spans="1:36" s="28" customFormat="1" ht="73.5" customHeight="1" x14ac:dyDescent="0.2">
      <c r="A12" s="30">
        <v>1</v>
      </c>
      <c r="B12" s="31" t="s">
        <v>24</v>
      </c>
      <c r="C12" s="32" t="s">
        <v>25</v>
      </c>
      <c r="D12" s="33">
        <v>12</v>
      </c>
      <c r="E12" s="34" t="s">
        <v>26</v>
      </c>
      <c r="F12" s="45">
        <v>211.5</v>
      </c>
      <c r="G12" s="36" t="s">
        <v>27</v>
      </c>
      <c r="H12" s="37">
        <f>241.6/1.2</f>
        <v>201.33333333333334</v>
      </c>
      <c r="I12" s="38">
        <f t="shared" ref="I12:I43" si="0">D12*H12</f>
        <v>2416</v>
      </c>
      <c r="J12" s="38" t="s">
        <v>28</v>
      </c>
      <c r="K12" s="37">
        <f>264.54/1.2</f>
        <v>220.45000000000002</v>
      </c>
      <c r="L12" s="38">
        <f t="shared" ref="L12:L75" si="1">D12*K12</f>
        <v>2645.4</v>
      </c>
      <c r="M12" s="32" t="s">
        <v>29</v>
      </c>
      <c r="N12" s="37">
        <v>214.67</v>
      </c>
      <c r="O12" s="38">
        <f t="shared" ref="O12:O75" si="2">D12*N12</f>
        <v>2576.04</v>
      </c>
      <c r="P12" s="39">
        <f t="shared" ref="P12:P75" si="3">AVERAGE(H12,K12,N12)</f>
        <v>212.15111111111113</v>
      </c>
      <c r="Q12" s="40">
        <f t="shared" ref="Q12:Q75" si="4">F12*100/P12-100</f>
        <v>-0.30690912138099691</v>
      </c>
      <c r="R12" s="39">
        <f t="shared" ref="R12:R75" si="5">D12*F12</f>
        <v>2538</v>
      </c>
      <c r="S12" s="41"/>
      <c r="U12" s="42">
        <f t="shared" ref="U12:U75" si="6">ROUND(H12*100/P12-100,0)</f>
        <v>-5</v>
      </c>
      <c r="V12" s="42">
        <f t="shared" ref="V12:V75" si="7">ROUND(K12*100/P12-100,0)</f>
        <v>4</v>
      </c>
      <c r="W12" s="42">
        <f t="shared" ref="W12:W75" si="8">ROUND(N12*100/P12-100,0)</f>
        <v>1</v>
      </c>
    </row>
    <row r="13" spans="1:36" s="28" customFormat="1" ht="73.5" customHeight="1" x14ac:dyDescent="0.2">
      <c r="A13" s="30">
        <v>2</v>
      </c>
      <c r="B13" s="31" t="s">
        <v>30</v>
      </c>
      <c r="C13" s="32" t="s">
        <v>25</v>
      </c>
      <c r="D13" s="33">
        <v>1</v>
      </c>
      <c r="E13" s="34" t="s">
        <v>26</v>
      </c>
      <c r="F13" s="45">
        <v>77750.45</v>
      </c>
      <c r="G13" s="32" t="s">
        <v>31</v>
      </c>
      <c r="H13" s="37">
        <f>89307.79/1.2</f>
        <v>74423.158333333326</v>
      </c>
      <c r="I13" s="38">
        <f t="shared" si="0"/>
        <v>74423.158333333326</v>
      </c>
      <c r="J13" s="32" t="s">
        <v>32</v>
      </c>
      <c r="K13" s="37">
        <f>107832.34/1.2</f>
        <v>89860.28333333334</v>
      </c>
      <c r="L13" s="38">
        <f t="shared" si="1"/>
        <v>89860.28333333334</v>
      </c>
      <c r="M13" s="32" t="s">
        <v>33</v>
      </c>
      <c r="N13" s="37">
        <f>82801.69/1.2</f>
        <v>69001.40833333334</v>
      </c>
      <c r="O13" s="38">
        <f t="shared" si="2"/>
        <v>69001.40833333334</v>
      </c>
      <c r="P13" s="39">
        <f t="shared" si="3"/>
        <v>77761.616666666654</v>
      </c>
      <c r="Q13" s="40">
        <f t="shared" si="4"/>
        <v>-1.4360126686312924E-2</v>
      </c>
      <c r="R13" s="39">
        <f t="shared" si="5"/>
        <v>77750.45</v>
      </c>
      <c r="S13" s="41"/>
      <c r="U13" s="42">
        <f t="shared" si="6"/>
        <v>-4</v>
      </c>
      <c r="V13" s="42">
        <f t="shared" si="7"/>
        <v>16</v>
      </c>
      <c r="W13" s="42">
        <f t="shared" si="8"/>
        <v>-11</v>
      </c>
    </row>
    <row r="14" spans="1:36" s="28" customFormat="1" ht="73.5" customHeight="1" x14ac:dyDescent="0.2">
      <c r="A14" s="30">
        <v>3</v>
      </c>
      <c r="B14" s="31" t="s">
        <v>34</v>
      </c>
      <c r="C14" s="32" t="s">
        <v>25</v>
      </c>
      <c r="D14" s="33">
        <v>1</v>
      </c>
      <c r="E14" s="34" t="s">
        <v>26</v>
      </c>
      <c r="F14" s="45">
        <v>84551</v>
      </c>
      <c r="G14" s="32" t="s">
        <v>31</v>
      </c>
      <c r="H14" s="37">
        <f>99534.53/1.2</f>
        <v>82945.441666666666</v>
      </c>
      <c r="I14" s="38">
        <f t="shared" si="0"/>
        <v>82945.441666666666</v>
      </c>
      <c r="J14" s="32" t="s">
        <v>32</v>
      </c>
      <c r="K14" s="37">
        <f>115890.88/1.2</f>
        <v>96575.733333333337</v>
      </c>
      <c r="L14" s="38">
        <f t="shared" si="1"/>
        <v>96575.733333333337</v>
      </c>
      <c r="M14" s="32" t="s">
        <v>33</v>
      </c>
      <c r="N14" s="37">
        <f>88990.14/1.2</f>
        <v>74158.45</v>
      </c>
      <c r="O14" s="38">
        <f t="shared" si="2"/>
        <v>74158.45</v>
      </c>
      <c r="P14" s="39">
        <f t="shared" si="3"/>
        <v>84559.875</v>
      </c>
      <c r="Q14" s="40">
        <f t="shared" si="4"/>
        <v>-1.0495521664381613E-2</v>
      </c>
      <c r="R14" s="39">
        <f t="shared" si="5"/>
        <v>84551</v>
      </c>
      <c r="S14" s="41"/>
      <c r="U14" s="42">
        <f t="shared" si="6"/>
        <v>-2</v>
      </c>
      <c r="V14" s="42">
        <f t="shared" si="7"/>
        <v>14</v>
      </c>
      <c r="W14" s="42">
        <f t="shared" si="8"/>
        <v>-12</v>
      </c>
    </row>
    <row r="15" spans="1:36" s="28" customFormat="1" ht="73.5" customHeight="1" x14ac:dyDescent="0.2">
      <c r="A15" s="30">
        <v>4</v>
      </c>
      <c r="B15" s="31" t="s">
        <v>35</v>
      </c>
      <c r="C15" s="32" t="s">
        <v>25</v>
      </c>
      <c r="D15" s="33">
        <v>1</v>
      </c>
      <c r="E15" s="34" t="s">
        <v>26</v>
      </c>
      <c r="F15" s="45">
        <v>155.25</v>
      </c>
      <c r="G15" s="32" t="s">
        <v>27</v>
      </c>
      <c r="H15" s="37">
        <f>177.86/1.2</f>
        <v>148.2166666666667</v>
      </c>
      <c r="I15" s="38">
        <f t="shared" si="0"/>
        <v>148.2166666666667</v>
      </c>
      <c r="J15" s="38" t="s">
        <v>28</v>
      </c>
      <c r="K15" s="37">
        <v>165.48</v>
      </c>
      <c r="L15" s="38">
        <f t="shared" si="1"/>
        <v>165.48</v>
      </c>
      <c r="M15" s="32" t="s">
        <v>29</v>
      </c>
      <c r="N15" s="37">
        <v>159.71</v>
      </c>
      <c r="O15" s="38">
        <f t="shared" si="2"/>
        <v>159.71</v>
      </c>
      <c r="P15" s="39">
        <f t="shared" si="3"/>
        <v>157.80222222222224</v>
      </c>
      <c r="Q15" s="40">
        <f t="shared" si="4"/>
        <v>-1.6173550576671403</v>
      </c>
      <c r="R15" s="39">
        <f t="shared" si="5"/>
        <v>155.25</v>
      </c>
      <c r="S15" s="41"/>
      <c r="U15" s="42">
        <f t="shared" si="6"/>
        <v>-6</v>
      </c>
      <c r="V15" s="42">
        <f t="shared" si="7"/>
        <v>5</v>
      </c>
      <c r="W15" s="42">
        <f t="shared" si="8"/>
        <v>1</v>
      </c>
    </row>
    <row r="16" spans="1:36" s="28" customFormat="1" ht="73.5" customHeight="1" x14ac:dyDescent="0.2">
      <c r="A16" s="30">
        <v>5</v>
      </c>
      <c r="B16" s="31" t="s">
        <v>36</v>
      </c>
      <c r="C16" s="32" t="s">
        <v>25</v>
      </c>
      <c r="D16" s="33">
        <v>2</v>
      </c>
      <c r="E16" s="34" t="s">
        <v>26</v>
      </c>
      <c r="F16" s="45">
        <v>1088.6500000000001</v>
      </c>
      <c r="G16" s="32" t="s">
        <v>27</v>
      </c>
      <c r="H16" s="37">
        <f>1302.94/1.2</f>
        <v>1085.7833333333335</v>
      </c>
      <c r="I16" s="38">
        <f t="shared" si="0"/>
        <v>2171.5666666666671</v>
      </c>
      <c r="J16" s="38" t="s">
        <v>28</v>
      </c>
      <c r="K16" s="37">
        <v>1070.69</v>
      </c>
      <c r="L16" s="38">
        <f t="shared" si="1"/>
        <v>2141.38</v>
      </c>
      <c r="M16" s="32" t="s">
        <v>29</v>
      </c>
      <c r="N16" s="37">
        <v>1115.47</v>
      </c>
      <c r="O16" s="38">
        <f t="shared" si="2"/>
        <v>2230.94</v>
      </c>
      <c r="P16" s="39">
        <f t="shared" si="3"/>
        <v>1090.6477777777779</v>
      </c>
      <c r="Q16" s="40">
        <f t="shared" si="4"/>
        <v>-0.18317350646863417</v>
      </c>
      <c r="R16" s="39">
        <f t="shared" si="5"/>
        <v>2177.3000000000002</v>
      </c>
      <c r="S16" s="41"/>
      <c r="U16" s="42">
        <f t="shared" si="6"/>
        <v>0</v>
      </c>
      <c r="V16" s="42">
        <f t="shared" si="7"/>
        <v>-2</v>
      </c>
      <c r="W16" s="42">
        <f t="shared" si="8"/>
        <v>2</v>
      </c>
    </row>
    <row r="17" spans="1:23" s="28" customFormat="1" ht="73.5" customHeight="1" x14ac:dyDescent="0.2">
      <c r="A17" s="30">
        <v>6</v>
      </c>
      <c r="B17" s="31" t="s">
        <v>37</v>
      </c>
      <c r="C17" s="32" t="s">
        <v>25</v>
      </c>
      <c r="D17" s="33">
        <v>12</v>
      </c>
      <c r="E17" s="34" t="s">
        <v>26</v>
      </c>
      <c r="F17" s="45">
        <v>810.4</v>
      </c>
      <c r="G17" s="32" t="s">
        <v>27</v>
      </c>
      <c r="H17" s="37">
        <f>957.31/1.2</f>
        <v>797.75833333333333</v>
      </c>
      <c r="I17" s="38">
        <f t="shared" si="0"/>
        <v>9573.1</v>
      </c>
      <c r="J17" s="38" t="s">
        <v>28</v>
      </c>
      <c r="K17" s="37">
        <v>850.7</v>
      </c>
      <c r="L17" s="38">
        <f t="shared" si="1"/>
        <v>10208.400000000001</v>
      </c>
      <c r="M17" s="32" t="s">
        <v>29</v>
      </c>
      <c r="N17" s="37">
        <v>786.42</v>
      </c>
      <c r="O17" s="38">
        <f t="shared" si="2"/>
        <v>9437.0399999999991</v>
      </c>
      <c r="P17" s="39">
        <f t="shared" si="3"/>
        <v>811.62611111111119</v>
      </c>
      <c r="Q17" s="40">
        <f t="shared" si="4"/>
        <v>-0.15106846543325503</v>
      </c>
      <c r="R17" s="39">
        <f t="shared" si="5"/>
        <v>9724.7999999999993</v>
      </c>
      <c r="S17" s="41"/>
      <c r="U17" s="42">
        <f t="shared" si="6"/>
        <v>-2</v>
      </c>
      <c r="V17" s="42">
        <f t="shared" si="7"/>
        <v>5</v>
      </c>
      <c r="W17" s="42">
        <f t="shared" si="8"/>
        <v>-3</v>
      </c>
    </row>
    <row r="18" spans="1:23" s="28" customFormat="1" ht="73.5" customHeight="1" x14ac:dyDescent="0.2">
      <c r="A18" s="30">
        <v>7</v>
      </c>
      <c r="B18" s="31" t="s">
        <v>38</v>
      </c>
      <c r="C18" s="32" t="s">
        <v>25</v>
      </c>
      <c r="D18" s="33">
        <v>4</v>
      </c>
      <c r="E18" s="34">
        <v>3583.33</v>
      </c>
      <c r="F18" s="45">
        <v>4105.6000000000004</v>
      </c>
      <c r="G18" s="32" t="s">
        <v>39</v>
      </c>
      <c r="H18" s="37">
        <v>3911.74</v>
      </c>
      <c r="I18" s="38">
        <f t="shared" si="0"/>
        <v>15646.96</v>
      </c>
      <c r="J18" s="32" t="s">
        <v>40</v>
      </c>
      <c r="K18" s="37">
        <f>5150/1.2</f>
        <v>4291.666666666667</v>
      </c>
      <c r="L18" s="38">
        <f t="shared" si="1"/>
        <v>17166.666666666668</v>
      </c>
      <c r="M18" s="38" t="s">
        <v>41</v>
      </c>
      <c r="N18" s="37">
        <f>4944.77/1.2</f>
        <v>4120.6416666666673</v>
      </c>
      <c r="O18" s="38">
        <f t="shared" si="2"/>
        <v>16482.566666666669</v>
      </c>
      <c r="P18" s="39">
        <f t="shared" si="3"/>
        <v>4108.0161111111111</v>
      </c>
      <c r="Q18" s="40">
        <f t="shared" si="4"/>
        <v>-5.8814548087468665E-2</v>
      </c>
      <c r="R18" s="39">
        <f t="shared" si="5"/>
        <v>16422.400000000001</v>
      </c>
      <c r="S18" s="41"/>
      <c r="U18" s="42">
        <f t="shared" si="6"/>
        <v>-5</v>
      </c>
      <c r="V18" s="42">
        <f t="shared" si="7"/>
        <v>4</v>
      </c>
      <c r="W18" s="42">
        <f t="shared" si="8"/>
        <v>0</v>
      </c>
    </row>
    <row r="19" spans="1:23" s="28" customFormat="1" ht="73.5" customHeight="1" x14ac:dyDescent="0.2">
      <c r="A19" s="30">
        <v>8</v>
      </c>
      <c r="B19" s="31" t="s">
        <v>42</v>
      </c>
      <c r="C19" s="32" t="s">
        <v>25</v>
      </c>
      <c r="D19" s="33" t="s">
        <v>43</v>
      </c>
      <c r="E19" s="34" t="s">
        <v>26</v>
      </c>
      <c r="F19" s="45">
        <v>5173.66</v>
      </c>
      <c r="G19" s="32" t="s">
        <v>27</v>
      </c>
      <c r="H19" s="37">
        <f>6183.86/1.2</f>
        <v>5153.2166666666662</v>
      </c>
      <c r="I19" s="38">
        <f t="shared" si="0"/>
        <v>288580.1333333333</v>
      </c>
      <c r="J19" s="38" t="s">
        <v>28</v>
      </c>
      <c r="K19" s="37">
        <v>5129.75</v>
      </c>
      <c r="L19" s="38">
        <f t="shared" si="1"/>
        <v>287266</v>
      </c>
      <c r="M19" s="32" t="s">
        <v>29</v>
      </c>
      <c r="N19" s="37">
        <v>5251.46</v>
      </c>
      <c r="O19" s="38">
        <f t="shared" si="2"/>
        <v>294081.76</v>
      </c>
      <c r="P19" s="39">
        <f t="shared" si="3"/>
        <v>5178.1422222222218</v>
      </c>
      <c r="Q19" s="40">
        <f t="shared" si="4"/>
        <v>-8.6560430939613298E-2</v>
      </c>
      <c r="R19" s="39">
        <f t="shared" si="5"/>
        <v>289724.95999999996</v>
      </c>
      <c r="S19" s="41"/>
      <c r="U19" s="42">
        <f t="shared" si="6"/>
        <v>0</v>
      </c>
      <c r="V19" s="42">
        <f t="shared" si="7"/>
        <v>-1</v>
      </c>
      <c r="W19" s="42">
        <f t="shared" si="8"/>
        <v>1</v>
      </c>
    </row>
    <row r="20" spans="1:23" s="28" customFormat="1" ht="73.5" customHeight="1" x14ac:dyDescent="0.2">
      <c r="A20" s="30">
        <v>9</v>
      </c>
      <c r="B20" s="31" t="s">
        <v>44</v>
      </c>
      <c r="C20" s="32" t="s">
        <v>45</v>
      </c>
      <c r="D20" s="33">
        <v>24.9</v>
      </c>
      <c r="E20" s="34">
        <v>1431.56</v>
      </c>
      <c r="F20" s="45">
        <v>2000</v>
      </c>
      <c r="G20" s="32" t="s">
        <v>39</v>
      </c>
      <c r="H20" s="37">
        <f>123.52*1000/65</f>
        <v>1900.3076923076924</v>
      </c>
      <c r="I20" s="38">
        <f t="shared" si="0"/>
        <v>47317.661538461536</v>
      </c>
      <c r="J20" s="32" t="s">
        <v>46</v>
      </c>
      <c r="K20" s="37">
        <v>2005.78</v>
      </c>
      <c r="L20" s="38">
        <f t="shared" si="1"/>
        <v>49943.921999999999</v>
      </c>
      <c r="M20" s="38" t="s">
        <v>41</v>
      </c>
      <c r="N20" s="37">
        <f>2520.94/1.2</f>
        <v>2100.7833333333333</v>
      </c>
      <c r="O20" s="38">
        <f t="shared" si="2"/>
        <v>52309.504999999997</v>
      </c>
      <c r="P20" s="39">
        <f t="shared" si="3"/>
        <v>2002.2903418803417</v>
      </c>
      <c r="Q20" s="40">
        <f t="shared" si="4"/>
        <v>-0.11438610237668456</v>
      </c>
      <c r="R20" s="39">
        <f t="shared" si="5"/>
        <v>49800</v>
      </c>
      <c r="S20" s="41"/>
      <c r="U20" s="42">
        <f t="shared" si="6"/>
        <v>-5</v>
      </c>
      <c r="V20" s="42">
        <f t="shared" si="7"/>
        <v>0</v>
      </c>
      <c r="W20" s="42">
        <f t="shared" si="8"/>
        <v>5</v>
      </c>
    </row>
    <row r="21" spans="1:23" s="28" customFormat="1" ht="73.5" customHeight="1" x14ac:dyDescent="0.2">
      <c r="A21" s="30">
        <v>10</v>
      </c>
      <c r="B21" s="31" t="s">
        <v>47</v>
      </c>
      <c r="C21" s="32" t="s">
        <v>25</v>
      </c>
      <c r="D21" s="33">
        <v>1</v>
      </c>
      <c r="E21" s="34" t="s">
        <v>26</v>
      </c>
      <c r="F21" s="45">
        <v>227.1</v>
      </c>
      <c r="G21" s="32" t="s">
        <v>27</v>
      </c>
      <c r="H21" s="37">
        <f>272.44/1.2</f>
        <v>227.03333333333333</v>
      </c>
      <c r="I21" s="38">
        <f t="shared" si="0"/>
        <v>227.03333333333333</v>
      </c>
      <c r="J21" s="38" t="s">
        <v>28</v>
      </c>
      <c r="K21" s="37">
        <v>219.78</v>
      </c>
      <c r="L21" s="38">
        <f t="shared" si="1"/>
        <v>219.78</v>
      </c>
      <c r="M21" s="32" t="s">
        <v>29</v>
      </c>
      <c r="N21" s="37">
        <v>235.12</v>
      </c>
      <c r="O21" s="38">
        <f t="shared" si="2"/>
        <v>235.12</v>
      </c>
      <c r="P21" s="39">
        <f t="shared" si="3"/>
        <v>227.31111111111113</v>
      </c>
      <c r="Q21" s="40">
        <f t="shared" si="4"/>
        <v>-9.2873203636727908E-2</v>
      </c>
      <c r="R21" s="39">
        <f t="shared" si="5"/>
        <v>227.1</v>
      </c>
      <c r="S21" s="41"/>
      <c r="U21" s="42">
        <f t="shared" si="6"/>
        <v>0</v>
      </c>
      <c r="V21" s="42">
        <f t="shared" si="7"/>
        <v>-3</v>
      </c>
      <c r="W21" s="42">
        <f t="shared" si="8"/>
        <v>3</v>
      </c>
    </row>
    <row r="22" spans="1:23" s="28" customFormat="1" ht="73.5" customHeight="1" x14ac:dyDescent="0.2">
      <c r="A22" s="30">
        <v>11</v>
      </c>
      <c r="B22" s="31" t="s">
        <v>48</v>
      </c>
      <c r="C22" s="32" t="s">
        <v>25</v>
      </c>
      <c r="D22" s="33">
        <v>1</v>
      </c>
      <c r="E22" s="34" t="s">
        <v>26</v>
      </c>
      <c r="F22" s="45">
        <v>261.5</v>
      </c>
      <c r="G22" s="32" t="s">
        <v>27</v>
      </c>
      <c r="H22" s="37">
        <f>311.2/1.2</f>
        <v>259.33333333333331</v>
      </c>
      <c r="I22" s="38">
        <f t="shared" si="0"/>
        <v>259.33333333333331</v>
      </c>
      <c r="J22" s="38" t="s">
        <v>28</v>
      </c>
      <c r="K22" s="37">
        <v>255.13</v>
      </c>
      <c r="L22" s="38">
        <f t="shared" si="1"/>
        <v>255.13</v>
      </c>
      <c r="M22" s="32" t="s">
        <v>29</v>
      </c>
      <c r="N22" s="37">
        <v>272.39999999999998</v>
      </c>
      <c r="O22" s="38">
        <f t="shared" si="2"/>
        <v>272.39999999999998</v>
      </c>
      <c r="P22" s="39">
        <f t="shared" si="3"/>
        <v>262.28777777777776</v>
      </c>
      <c r="Q22" s="40">
        <f t="shared" si="4"/>
        <v>-0.30034864165314445</v>
      </c>
      <c r="R22" s="39">
        <f t="shared" si="5"/>
        <v>261.5</v>
      </c>
      <c r="S22" s="41"/>
      <c r="U22" s="42">
        <f t="shared" si="6"/>
        <v>-1</v>
      </c>
      <c r="V22" s="42">
        <f t="shared" si="7"/>
        <v>-3</v>
      </c>
      <c r="W22" s="42">
        <f t="shared" si="8"/>
        <v>4</v>
      </c>
    </row>
    <row r="23" spans="1:23" s="28" customFormat="1" ht="73.5" customHeight="1" x14ac:dyDescent="0.2">
      <c r="A23" s="30">
        <v>12</v>
      </c>
      <c r="B23" s="31" t="s">
        <v>49</v>
      </c>
      <c r="C23" s="32" t="s">
        <v>25</v>
      </c>
      <c r="D23" s="33">
        <v>61</v>
      </c>
      <c r="E23" s="34" t="s">
        <v>26</v>
      </c>
      <c r="F23" s="45">
        <v>501.3</v>
      </c>
      <c r="G23" s="32" t="s">
        <v>27</v>
      </c>
      <c r="H23" s="37">
        <f>588.83/1.2</f>
        <v>490.69166666666672</v>
      </c>
      <c r="I23" s="38">
        <f t="shared" si="0"/>
        <v>29932.191666666669</v>
      </c>
      <c r="J23" s="38" t="s">
        <v>28</v>
      </c>
      <c r="K23" s="37">
        <v>536.87</v>
      </c>
      <c r="L23" s="38">
        <f t="shared" si="1"/>
        <v>32749.07</v>
      </c>
      <c r="M23" s="32" t="s">
        <v>29</v>
      </c>
      <c r="N23" s="37">
        <v>480.65</v>
      </c>
      <c r="O23" s="38">
        <f t="shared" si="2"/>
        <v>29319.649999999998</v>
      </c>
      <c r="P23" s="39">
        <f t="shared" si="3"/>
        <v>502.73722222222221</v>
      </c>
      <c r="Q23" s="40">
        <f t="shared" si="4"/>
        <v>-0.28587941347754509</v>
      </c>
      <c r="R23" s="39">
        <f t="shared" si="5"/>
        <v>30579.3</v>
      </c>
      <c r="S23" s="41"/>
      <c r="U23" s="42">
        <f t="shared" si="6"/>
        <v>-2</v>
      </c>
      <c r="V23" s="42">
        <f t="shared" si="7"/>
        <v>7</v>
      </c>
      <c r="W23" s="42">
        <f t="shared" si="8"/>
        <v>-4</v>
      </c>
    </row>
    <row r="24" spans="1:23" s="28" customFormat="1" ht="73.5" customHeight="1" x14ac:dyDescent="0.2">
      <c r="A24" s="30">
        <v>13</v>
      </c>
      <c r="B24" s="31" t="s">
        <v>50</v>
      </c>
      <c r="C24" s="32" t="s">
        <v>25</v>
      </c>
      <c r="D24" s="33">
        <v>107</v>
      </c>
      <c r="E24" s="34" t="s">
        <v>26</v>
      </c>
      <c r="F24" s="45">
        <v>487.5</v>
      </c>
      <c r="G24" s="32" t="s">
        <v>27</v>
      </c>
      <c r="H24" s="37">
        <f>569.51/1.2</f>
        <v>474.5916666666667</v>
      </c>
      <c r="I24" s="38">
        <f t="shared" si="0"/>
        <v>50781.308333333334</v>
      </c>
      <c r="J24" s="38" t="s">
        <v>28</v>
      </c>
      <c r="K24" s="37">
        <f>640.09/1.2</f>
        <v>533.40833333333342</v>
      </c>
      <c r="L24" s="38">
        <f t="shared" si="1"/>
        <v>57074.691666666673</v>
      </c>
      <c r="M24" s="32" t="s">
        <v>29</v>
      </c>
      <c r="N24" s="37">
        <v>460.72</v>
      </c>
      <c r="O24" s="38">
        <f t="shared" si="2"/>
        <v>49297.04</v>
      </c>
      <c r="P24" s="39">
        <f t="shared" si="3"/>
        <v>489.57333333333344</v>
      </c>
      <c r="Q24" s="40">
        <f t="shared" si="4"/>
        <v>-0.42349801187430103</v>
      </c>
      <c r="R24" s="39">
        <f t="shared" si="5"/>
        <v>52162.5</v>
      </c>
      <c r="S24" s="41"/>
      <c r="U24" s="42">
        <f t="shared" si="6"/>
        <v>-3</v>
      </c>
      <c r="V24" s="42">
        <f t="shared" si="7"/>
        <v>9</v>
      </c>
      <c r="W24" s="42">
        <f t="shared" si="8"/>
        <v>-6</v>
      </c>
    </row>
    <row r="25" spans="1:23" s="28" customFormat="1" ht="73.5" customHeight="1" x14ac:dyDescent="0.2">
      <c r="A25" s="30">
        <v>14</v>
      </c>
      <c r="B25" s="31" t="s">
        <v>51</v>
      </c>
      <c r="C25" s="32" t="s">
        <v>25</v>
      </c>
      <c r="D25" s="33">
        <v>2</v>
      </c>
      <c r="E25" s="34" t="s">
        <v>26</v>
      </c>
      <c r="F25" s="45">
        <v>1920.6</v>
      </c>
      <c r="G25" s="32" t="s">
        <v>27</v>
      </c>
      <c r="H25" s="37">
        <f>2205.97/1.2</f>
        <v>1838.3083333333332</v>
      </c>
      <c r="I25" s="38">
        <f t="shared" si="0"/>
        <v>3676.6166666666663</v>
      </c>
      <c r="J25" s="38" t="s">
        <v>28</v>
      </c>
      <c r="K25" s="37">
        <v>1945.34</v>
      </c>
      <c r="L25" s="38">
        <f t="shared" si="1"/>
        <v>3890.68</v>
      </c>
      <c r="M25" s="32" t="s">
        <v>29</v>
      </c>
      <c r="N25" s="37">
        <v>1990.71</v>
      </c>
      <c r="O25" s="38">
        <f t="shared" si="2"/>
        <v>3981.42</v>
      </c>
      <c r="P25" s="39">
        <f t="shared" si="3"/>
        <v>1924.7861111111113</v>
      </c>
      <c r="Q25" s="40">
        <f t="shared" si="4"/>
        <v>-0.21748448240280993</v>
      </c>
      <c r="R25" s="39">
        <f t="shared" si="5"/>
        <v>3841.2</v>
      </c>
      <c r="S25" s="41"/>
      <c r="U25" s="42">
        <f t="shared" si="6"/>
        <v>-4</v>
      </c>
      <c r="V25" s="42">
        <f t="shared" si="7"/>
        <v>1</v>
      </c>
      <c r="W25" s="42">
        <f t="shared" si="8"/>
        <v>3</v>
      </c>
    </row>
    <row r="26" spans="1:23" s="28" customFormat="1" ht="73.5" customHeight="1" x14ac:dyDescent="0.2">
      <c r="A26" s="30">
        <v>15</v>
      </c>
      <c r="B26" s="31" t="s">
        <v>52</v>
      </c>
      <c r="C26" s="32" t="s">
        <v>53</v>
      </c>
      <c r="D26" s="33">
        <v>240</v>
      </c>
      <c r="E26" s="34">
        <v>225.49</v>
      </c>
      <c r="F26" s="45">
        <v>331.49</v>
      </c>
      <c r="G26" s="32" t="s">
        <v>54</v>
      </c>
      <c r="H26" s="37">
        <v>323.02</v>
      </c>
      <c r="I26" s="38">
        <f t="shared" si="0"/>
        <v>77524.799999999988</v>
      </c>
      <c r="J26" s="32" t="s">
        <v>46</v>
      </c>
      <c r="K26" s="37">
        <v>355.87</v>
      </c>
      <c r="L26" s="38">
        <f t="shared" si="1"/>
        <v>85408.8</v>
      </c>
      <c r="M26" s="38" t="s">
        <v>41</v>
      </c>
      <c r="N26" s="37">
        <v>317.56</v>
      </c>
      <c r="O26" s="38">
        <f t="shared" si="2"/>
        <v>76214.399999999994</v>
      </c>
      <c r="P26" s="39">
        <f t="shared" si="3"/>
        <v>332.15000000000003</v>
      </c>
      <c r="Q26" s="40">
        <f t="shared" si="4"/>
        <v>-0.19870540418486371</v>
      </c>
      <c r="R26" s="39">
        <f t="shared" si="5"/>
        <v>79557.600000000006</v>
      </c>
      <c r="S26" s="41"/>
      <c r="U26" s="42">
        <f t="shared" si="6"/>
        <v>-3</v>
      </c>
      <c r="V26" s="42">
        <f t="shared" si="7"/>
        <v>7</v>
      </c>
      <c r="W26" s="42">
        <f t="shared" si="8"/>
        <v>-4</v>
      </c>
    </row>
    <row r="27" spans="1:23" s="28" customFormat="1" ht="73.5" customHeight="1" x14ac:dyDescent="0.2">
      <c r="A27" s="30">
        <v>16</v>
      </c>
      <c r="B27" s="31" t="s">
        <v>55</v>
      </c>
      <c r="C27" s="32" t="s">
        <v>25</v>
      </c>
      <c r="D27" s="33">
        <v>2</v>
      </c>
      <c r="E27" s="34">
        <v>15416.67</v>
      </c>
      <c r="F27" s="45">
        <v>19052</v>
      </c>
      <c r="G27" s="32" t="s">
        <v>56</v>
      </c>
      <c r="H27" s="37">
        <v>19820.740000000002</v>
      </c>
      <c r="I27" s="38">
        <f t="shared" si="0"/>
        <v>39641.480000000003</v>
      </c>
      <c r="J27" s="32" t="s">
        <v>57</v>
      </c>
      <c r="K27" s="37">
        <v>19276.63</v>
      </c>
      <c r="L27" s="38">
        <f t="shared" si="1"/>
        <v>38553.26</v>
      </c>
      <c r="M27" s="32" t="s">
        <v>58</v>
      </c>
      <c r="N27" s="37">
        <v>18175.310000000001</v>
      </c>
      <c r="O27" s="38">
        <f t="shared" si="2"/>
        <v>36350.620000000003</v>
      </c>
      <c r="P27" s="39">
        <f t="shared" si="3"/>
        <v>19090.893333333337</v>
      </c>
      <c r="Q27" s="40">
        <f t="shared" si="4"/>
        <v>-0.2037271522827524</v>
      </c>
      <c r="R27" s="39">
        <f t="shared" si="5"/>
        <v>38104</v>
      </c>
      <c r="S27" s="41"/>
      <c r="U27" s="42">
        <f t="shared" si="6"/>
        <v>4</v>
      </c>
      <c r="V27" s="42">
        <f t="shared" si="7"/>
        <v>1</v>
      </c>
      <c r="W27" s="42">
        <f t="shared" si="8"/>
        <v>-5</v>
      </c>
    </row>
    <row r="28" spans="1:23" s="28" customFormat="1" ht="73.5" customHeight="1" x14ac:dyDescent="0.2">
      <c r="A28" s="30">
        <v>17</v>
      </c>
      <c r="B28" s="31" t="s">
        <v>59</v>
      </c>
      <c r="C28" s="32" t="s">
        <v>25</v>
      </c>
      <c r="D28" s="33">
        <v>84</v>
      </c>
      <c r="E28" s="34" t="s">
        <v>26</v>
      </c>
      <c r="F28" s="45">
        <v>29.9</v>
      </c>
      <c r="G28" s="32" t="s">
        <v>39</v>
      </c>
      <c r="H28" s="37">
        <v>27.94</v>
      </c>
      <c r="I28" s="38">
        <f t="shared" si="0"/>
        <v>2346.96</v>
      </c>
      <c r="J28" s="32" t="s">
        <v>54</v>
      </c>
      <c r="K28" s="37">
        <v>29.88</v>
      </c>
      <c r="L28" s="38">
        <f t="shared" si="1"/>
        <v>2509.92</v>
      </c>
      <c r="M28" s="38" t="s">
        <v>41</v>
      </c>
      <c r="N28" s="37">
        <v>32.450000000000003</v>
      </c>
      <c r="O28" s="38">
        <f t="shared" si="2"/>
        <v>2725.8</v>
      </c>
      <c r="P28" s="39">
        <f t="shared" si="3"/>
        <v>30.090000000000003</v>
      </c>
      <c r="Q28" s="40">
        <f t="shared" si="4"/>
        <v>-0.63143901628448873</v>
      </c>
      <c r="R28" s="39">
        <f t="shared" si="5"/>
        <v>2511.6</v>
      </c>
      <c r="S28" s="41"/>
      <c r="U28" s="42">
        <f t="shared" si="6"/>
        <v>-7</v>
      </c>
      <c r="V28" s="42">
        <f t="shared" si="7"/>
        <v>-1</v>
      </c>
      <c r="W28" s="42">
        <f t="shared" si="8"/>
        <v>8</v>
      </c>
    </row>
    <row r="29" spans="1:23" s="28" customFormat="1" ht="73.5" customHeight="1" x14ac:dyDescent="0.2">
      <c r="A29" s="30">
        <v>18</v>
      </c>
      <c r="B29" s="31" t="s">
        <v>60</v>
      </c>
      <c r="C29" s="32" t="s">
        <v>25</v>
      </c>
      <c r="D29" s="33">
        <v>4</v>
      </c>
      <c r="E29" s="34">
        <v>442.16</v>
      </c>
      <c r="F29" s="45">
        <v>477.5</v>
      </c>
      <c r="G29" s="32" t="s">
        <v>27</v>
      </c>
      <c r="H29" s="37">
        <f>557.23/1.2</f>
        <v>464.35833333333335</v>
      </c>
      <c r="I29" s="38">
        <f t="shared" si="0"/>
        <v>1857.4333333333334</v>
      </c>
      <c r="J29" s="38" t="s">
        <v>28</v>
      </c>
      <c r="K29" s="37">
        <v>515.64</v>
      </c>
      <c r="L29" s="38">
        <f t="shared" si="1"/>
        <v>2062.56</v>
      </c>
      <c r="M29" s="32" t="s">
        <v>29</v>
      </c>
      <c r="N29" s="37">
        <v>458.56</v>
      </c>
      <c r="O29" s="38">
        <f t="shared" si="2"/>
        <v>1834.24</v>
      </c>
      <c r="P29" s="39">
        <f t="shared" si="3"/>
        <v>479.51944444444445</v>
      </c>
      <c r="Q29" s="40">
        <f t="shared" si="4"/>
        <v>-0.42113921924148201</v>
      </c>
      <c r="R29" s="39">
        <f t="shared" si="5"/>
        <v>1910</v>
      </c>
      <c r="S29" s="41"/>
      <c r="U29" s="42">
        <f t="shared" si="6"/>
        <v>-3</v>
      </c>
      <c r="V29" s="42">
        <f t="shared" si="7"/>
        <v>8</v>
      </c>
      <c r="W29" s="42">
        <f t="shared" si="8"/>
        <v>-4</v>
      </c>
    </row>
    <row r="30" spans="1:23" s="28" customFormat="1" ht="73.5" customHeight="1" x14ac:dyDescent="0.2">
      <c r="A30" s="30">
        <v>19</v>
      </c>
      <c r="B30" s="31" t="s">
        <v>61</v>
      </c>
      <c r="C30" s="32" t="s">
        <v>45</v>
      </c>
      <c r="D30" s="33">
        <v>80</v>
      </c>
      <c r="E30" s="34">
        <v>131.77000000000001</v>
      </c>
      <c r="F30" s="45">
        <v>473.4</v>
      </c>
      <c r="G30" s="32" t="s">
        <v>62</v>
      </c>
      <c r="H30" s="37">
        <v>475</v>
      </c>
      <c r="I30" s="38">
        <f t="shared" si="0"/>
        <v>38000</v>
      </c>
      <c r="J30" s="32" t="s">
        <v>46</v>
      </c>
      <c r="K30" s="37">
        <v>462.4</v>
      </c>
      <c r="L30" s="38">
        <f t="shared" si="1"/>
        <v>36992</v>
      </c>
      <c r="M30" s="32" t="s">
        <v>58</v>
      </c>
      <c r="N30" s="37">
        <v>496.84</v>
      </c>
      <c r="O30" s="38">
        <f t="shared" si="2"/>
        <v>39747.199999999997</v>
      </c>
      <c r="P30" s="39">
        <f t="shared" si="3"/>
        <v>478.08</v>
      </c>
      <c r="Q30" s="40">
        <f t="shared" si="4"/>
        <v>-0.97891566265059282</v>
      </c>
      <c r="R30" s="39">
        <f t="shared" si="5"/>
        <v>37872</v>
      </c>
      <c r="S30" s="41"/>
      <c r="U30" s="42">
        <f t="shared" si="6"/>
        <v>-1</v>
      </c>
      <c r="V30" s="42">
        <f t="shared" si="7"/>
        <v>-3</v>
      </c>
      <c r="W30" s="42">
        <f t="shared" si="8"/>
        <v>4</v>
      </c>
    </row>
    <row r="31" spans="1:23" s="28" customFormat="1" ht="73.5" customHeight="1" x14ac:dyDescent="0.2">
      <c r="A31" s="30">
        <v>20</v>
      </c>
      <c r="B31" s="31" t="s">
        <v>63</v>
      </c>
      <c r="C31" s="32" t="s">
        <v>25</v>
      </c>
      <c r="D31" s="33">
        <v>6</v>
      </c>
      <c r="E31" s="34">
        <v>3302.31</v>
      </c>
      <c r="F31" s="45">
        <v>3952.3</v>
      </c>
      <c r="G31" s="32" t="s">
        <v>27</v>
      </c>
      <c r="H31" s="37">
        <f>4569.53/1.2</f>
        <v>3807.9416666666666</v>
      </c>
      <c r="I31" s="38">
        <f t="shared" si="0"/>
        <v>22847.65</v>
      </c>
      <c r="J31" s="38" t="s">
        <v>28</v>
      </c>
      <c r="K31" s="37">
        <f>4747.69/1.2</f>
        <v>3956.4083333333333</v>
      </c>
      <c r="L31" s="38">
        <f t="shared" si="1"/>
        <v>23738.45</v>
      </c>
      <c r="M31" s="32" t="s">
        <v>29</v>
      </c>
      <c r="N31" s="37">
        <v>4100.7</v>
      </c>
      <c r="O31" s="38">
        <f t="shared" si="2"/>
        <v>24604.199999999997</v>
      </c>
      <c r="P31" s="39">
        <f t="shared" si="3"/>
        <v>3955.0166666666664</v>
      </c>
      <c r="Q31" s="40">
        <f t="shared" si="4"/>
        <v>-6.8689133210554587E-2</v>
      </c>
      <c r="R31" s="39">
        <f t="shared" si="5"/>
        <v>23713.800000000003</v>
      </c>
      <c r="S31" s="41"/>
      <c r="U31" s="42">
        <f t="shared" si="6"/>
        <v>-4</v>
      </c>
      <c r="V31" s="42">
        <f t="shared" si="7"/>
        <v>0</v>
      </c>
      <c r="W31" s="42">
        <f t="shared" si="8"/>
        <v>4</v>
      </c>
    </row>
    <row r="32" spans="1:23" s="28" customFormat="1" ht="73.5" customHeight="1" x14ac:dyDescent="0.2">
      <c r="A32" s="30">
        <v>21</v>
      </c>
      <c r="B32" s="31" t="s">
        <v>64</v>
      </c>
      <c r="C32" s="32" t="s">
        <v>65</v>
      </c>
      <c r="D32" s="33">
        <v>13</v>
      </c>
      <c r="E32" s="177">
        <v>21935.11</v>
      </c>
      <c r="F32" s="45">
        <v>4260.1499999999996</v>
      </c>
      <c r="G32" s="32" t="s">
        <v>66</v>
      </c>
      <c r="H32" s="37">
        <f>5072/1.2</f>
        <v>4226.666666666667</v>
      </c>
      <c r="I32" s="38">
        <f t="shared" si="0"/>
        <v>54946.666666666672</v>
      </c>
      <c r="J32" s="37" t="s">
        <v>67</v>
      </c>
      <c r="K32" s="37">
        <f>4988.64/1.2</f>
        <v>4157.2000000000007</v>
      </c>
      <c r="L32" s="38">
        <f t="shared" si="1"/>
        <v>54043.600000000006</v>
      </c>
      <c r="M32" s="38" t="s">
        <v>68</v>
      </c>
      <c r="N32" s="37">
        <v>4402.7</v>
      </c>
      <c r="O32" s="38">
        <f t="shared" si="2"/>
        <v>57235.1</v>
      </c>
      <c r="P32" s="39">
        <f t="shared" si="3"/>
        <v>4262.1888888888898</v>
      </c>
      <c r="Q32" s="40">
        <f t="shared" si="4"/>
        <v>-4.7836661913450484E-2</v>
      </c>
      <c r="R32" s="39">
        <f t="shared" si="5"/>
        <v>55381.95</v>
      </c>
      <c r="S32" s="44"/>
      <c r="U32" s="42">
        <f t="shared" si="6"/>
        <v>-1</v>
      </c>
      <c r="V32" s="42">
        <f t="shared" si="7"/>
        <v>-2</v>
      </c>
      <c r="W32" s="42">
        <f t="shared" si="8"/>
        <v>3</v>
      </c>
    </row>
    <row r="33" spans="1:23" s="28" customFormat="1" ht="73.5" customHeight="1" x14ac:dyDescent="0.2">
      <c r="A33" s="30">
        <v>22</v>
      </c>
      <c r="B33" s="31" t="s">
        <v>69</v>
      </c>
      <c r="C33" s="32" t="s">
        <v>65</v>
      </c>
      <c r="D33" s="33">
        <v>13</v>
      </c>
      <c r="E33" s="177"/>
      <c r="F33" s="35">
        <v>18550</v>
      </c>
      <c r="G33" s="32" t="s">
        <v>66</v>
      </c>
      <c r="H33" s="37">
        <f>22081.39/1.2</f>
        <v>18401.158333333333</v>
      </c>
      <c r="I33" s="38">
        <f t="shared" si="0"/>
        <v>239215.05833333332</v>
      </c>
      <c r="J33" s="37" t="s">
        <v>67</v>
      </c>
      <c r="K33" s="37">
        <f>21966.86/1.2</f>
        <v>18305.716666666667</v>
      </c>
      <c r="L33" s="38">
        <f t="shared" si="1"/>
        <v>237974.31666666668</v>
      </c>
      <c r="M33" s="38" t="s">
        <v>68</v>
      </c>
      <c r="N33" s="37">
        <v>19002.43</v>
      </c>
      <c r="O33" s="38">
        <f t="shared" si="2"/>
        <v>247031.59</v>
      </c>
      <c r="P33" s="39">
        <f t="shared" si="3"/>
        <v>18569.768333333333</v>
      </c>
      <c r="Q33" s="40">
        <f t="shared" si="4"/>
        <v>-0.10645438854425038</v>
      </c>
      <c r="R33" s="39">
        <f t="shared" si="5"/>
        <v>241150</v>
      </c>
      <c r="S33" s="44"/>
      <c r="U33" s="42">
        <f t="shared" si="6"/>
        <v>-1</v>
      </c>
      <c r="V33" s="42">
        <f t="shared" si="7"/>
        <v>-1</v>
      </c>
      <c r="W33" s="42">
        <f t="shared" si="8"/>
        <v>2</v>
      </c>
    </row>
    <row r="34" spans="1:23" s="28" customFormat="1" ht="73.5" customHeight="1" x14ac:dyDescent="0.2">
      <c r="A34" s="30">
        <v>23</v>
      </c>
      <c r="B34" s="31" t="s">
        <v>70</v>
      </c>
      <c r="C34" s="32" t="s">
        <v>25</v>
      </c>
      <c r="D34" s="33">
        <v>400</v>
      </c>
      <c r="E34" s="34">
        <v>30.48</v>
      </c>
      <c r="F34" s="45">
        <v>36.700000000000003</v>
      </c>
      <c r="G34" s="32" t="s">
        <v>39</v>
      </c>
      <c r="H34" s="37">
        <v>36.68</v>
      </c>
      <c r="I34" s="38">
        <f t="shared" si="0"/>
        <v>14672</v>
      </c>
      <c r="J34" s="32" t="s">
        <v>54</v>
      </c>
      <c r="K34" s="37">
        <v>34.28</v>
      </c>
      <c r="L34" s="38">
        <f t="shared" si="1"/>
        <v>13712</v>
      </c>
      <c r="M34" s="38" t="s">
        <v>41</v>
      </c>
      <c r="N34" s="37">
        <v>39.9</v>
      </c>
      <c r="O34" s="38">
        <f t="shared" si="2"/>
        <v>15960</v>
      </c>
      <c r="P34" s="39">
        <f t="shared" si="3"/>
        <v>36.95333333333334</v>
      </c>
      <c r="Q34" s="40">
        <f t="shared" si="4"/>
        <v>-0.68554934151181612</v>
      </c>
      <c r="R34" s="39">
        <f t="shared" si="5"/>
        <v>14680.000000000002</v>
      </c>
      <c r="S34" s="46"/>
      <c r="U34" s="42">
        <f t="shared" si="6"/>
        <v>-1</v>
      </c>
      <c r="V34" s="42">
        <f t="shared" si="7"/>
        <v>-7</v>
      </c>
      <c r="W34" s="42">
        <f t="shared" si="8"/>
        <v>8</v>
      </c>
    </row>
    <row r="35" spans="1:23" s="28" customFormat="1" ht="73.5" customHeight="1" x14ac:dyDescent="0.2">
      <c r="A35" s="30">
        <v>24</v>
      </c>
      <c r="B35" s="31" t="s">
        <v>71</v>
      </c>
      <c r="C35" s="32" t="s">
        <v>25</v>
      </c>
      <c r="D35" s="33">
        <v>600</v>
      </c>
      <c r="E35" s="34">
        <v>42.74</v>
      </c>
      <c r="F35" s="45">
        <v>49.8</v>
      </c>
      <c r="G35" s="32" t="s">
        <v>39</v>
      </c>
      <c r="H35" s="37">
        <v>49.53</v>
      </c>
      <c r="I35" s="38">
        <f t="shared" si="0"/>
        <v>29718</v>
      </c>
      <c r="J35" s="32" t="s">
        <v>54</v>
      </c>
      <c r="K35" s="37">
        <v>54.48</v>
      </c>
      <c r="L35" s="38">
        <f t="shared" si="1"/>
        <v>32687.999999999996</v>
      </c>
      <c r="M35" s="38" t="s">
        <v>41</v>
      </c>
      <c r="N35" s="37">
        <v>45.78</v>
      </c>
      <c r="O35" s="38">
        <f t="shared" si="2"/>
        <v>27468</v>
      </c>
      <c r="P35" s="39">
        <f t="shared" si="3"/>
        <v>49.93</v>
      </c>
      <c r="Q35" s="40">
        <f t="shared" si="4"/>
        <v>-0.26036451031444585</v>
      </c>
      <c r="R35" s="39">
        <f t="shared" si="5"/>
        <v>29880</v>
      </c>
      <c r="S35" s="41"/>
      <c r="U35" s="42">
        <f t="shared" si="6"/>
        <v>-1</v>
      </c>
      <c r="V35" s="42">
        <f t="shared" si="7"/>
        <v>9</v>
      </c>
      <c r="W35" s="42">
        <f t="shared" si="8"/>
        <v>-8</v>
      </c>
    </row>
    <row r="36" spans="1:23" s="28" customFormat="1" ht="73.5" customHeight="1" x14ac:dyDescent="0.2">
      <c r="A36" s="30">
        <v>25</v>
      </c>
      <c r="B36" s="31" t="s">
        <v>72</v>
      </c>
      <c r="C36" s="32" t="s">
        <v>25</v>
      </c>
      <c r="D36" s="33">
        <v>80</v>
      </c>
      <c r="E36" s="34">
        <v>95.03</v>
      </c>
      <c r="F36" s="45">
        <v>116.1</v>
      </c>
      <c r="G36" s="32" t="s">
        <v>39</v>
      </c>
      <c r="H36" s="37">
        <v>111.18</v>
      </c>
      <c r="I36" s="38">
        <f t="shared" si="0"/>
        <v>8894.4000000000015</v>
      </c>
      <c r="J36" s="32" t="s">
        <v>54</v>
      </c>
      <c r="K36" s="37">
        <v>115.97</v>
      </c>
      <c r="L36" s="38">
        <f t="shared" si="1"/>
        <v>9277.6</v>
      </c>
      <c r="M36" s="38" t="s">
        <v>41</v>
      </c>
      <c r="N36" s="37">
        <v>125.69</v>
      </c>
      <c r="O36" s="38">
        <f t="shared" si="2"/>
        <v>10055.200000000001</v>
      </c>
      <c r="P36" s="39">
        <f t="shared" si="3"/>
        <v>117.61333333333334</v>
      </c>
      <c r="Q36" s="40">
        <f t="shared" si="4"/>
        <v>-1.2867021879605574</v>
      </c>
      <c r="R36" s="39">
        <f t="shared" si="5"/>
        <v>9288</v>
      </c>
      <c r="S36" s="41"/>
      <c r="U36" s="42">
        <f t="shared" si="6"/>
        <v>-5</v>
      </c>
      <c r="V36" s="42">
        <f t="shared" si="7"/>
        <v>-1</v>
      </c>
      <c r="W36" s="42">
        <f t="shared" si="8"/>
        <v>7</v>
      </c>
    </row>
    <row r="37" spans="1:23" s="28" customFormat="1" ht="73.5" customHeight="1" x14ac:dyDescent="0.2">
      <c r="A37" s="30">
        <v>26</v>
      </c>
      <c r="B37" s="31" t="s">
        <v>73</v>
      </c>
      <c r="C37" s="32" t="s">
        <v>25</v>
      </c>
      <c r="D37" s="33">
        <v>40</v>
      </c>
      <c r="E37" s="34">
        <v>15.33</v>
      </c>
      <c r="F37" s="45">
        <v>19</v>
      </c>
      <c r="G37" s="32" t="s">
        <v>39</v>
      </c>
      <c r="H37" s="37">
        <v>18.239999999999998</v>
      </c>
      <c r="I37" s="38">
        <f t="shared" si="0"/>
        <v>729.59999999999991</v>
      </c>
      <c r="J37" s="32" t="s">
        <v>54</v>
      </c>
      <c r="K37" s="37">
        <v>17.48</v>
      </c>
      <c r="L37" s="38">
        <f t="shared" si="1"/>
        <v>699.2</v>
      </c>
      <c r="M37" s="38" t="s">
        <v>41</v>
      </c>
      <c r="N37" s="37">
        <v>21.47</v>
      </c>
      <c r="O37" s="38">
        <f t="shared" si="2"/>
        <v>858.8</v>
      </c>
      <c r="P37" s="39">
        <f t="shared" si="3"/>
        <v>19.063333333333333</v>
      </c>
      <c r="Q37" s="40">
        <f t="shared" si="4"/>
        <v>-0.33222591362125797</v>
      </c>
      <c r="R37" s="39">
        <f t="shared" si="5"/>
        <v>760</v>
      </c>
      <c r="S37" s="41"/>
      <c r="U37" s="42">
        <f t="shared" si="6"/>
        <v>-4</v>
      </c>
      <c r="V37" s="42">
        <f t="shared" si="7"/>
        <v>-8</v>
      </c>
      <c r="W37" s="42">
        <f t="shared" si="8"/>
        <v>13</v>
      </c>
    </row>
    <row r="38" spans="1:23" s="28" customFormat="1" ht="73.5" customHeight="1" x14ac:dyDescent="0.2">
      <c r="A38" s="30">
        <v>27</v>
      </c>
      <c r="B38" s="31" t="s">
        <v>74</v>
      </c>
      <c r="C38" s="32" t="s">
        <v>25</v>
      </c>
      <c r="D38" s="33">
        <v>20</v>
      </c>
      <c r="E38" s="34">
        <v>21.78</v>
      </c>
      <c r="F38" s="45">
        <v>27.3</v>
      </c>
      <c r="G38" s="32" t="s">
        <v>39</v>
      </c>
      <c r="H38" s="37">
        <v>26.95</v>
      </c>
      <c r="I38" s="38">
        <f t="shared" si="0"/>
        <v>539</v>
      </c>
      <c r="J38" s="32" t="s">
        <v>54</v>
      </c>
      <c r="K38" s="37">
        <v>24.38</v>
      </c>
      <c r="L38" s="38">
        <f t="shared" si="1"/>
        <v>487.59999999999997</v>
      </c>
      <c r="M38" s="38" t="s">
        <v>41</v>
      </c>
      <c r="N38" s="37">
        <v>31.4</v>
      </c>
      <c r="O38" s="38">
        <f t="shared" si="2"/>
        <v>628</v>
      </c>
      <c r="P38" s="39">
        <f t="shared" si="3"/>
        <v>27.576666666666664</v>
      </c>
      <c r="Q38" s="40">
        <f t="shared" si="4"/>
        <v>-1.0032636286715757</v>
      </c>
      <c r="R38" s="39">
        <f t="shared" si="5"/>
        <v>546</v>
      </c>
      <c r="S38" s="41"/>
      <c r="U38" s="42">
        <f t="shared" si="6"/>
        <v>-2</v>
      </c>
      <c r="V38" s="42">
        <f t="shared" si="7"/>
        <v>-12</v>
      </c>
      <c r="W38" s="42">
        <f t="shared" si="8"/>
        <v>14</v>
      </c>
    </row>
    <row r="39" spans="1:23" s="28" customFormat="1" ht="73.5" customHeight="1" x14ac:dyDescent="0.2">
      <c r="A39" s="30">
        <v>28</v>
      </c>
      <c r="B39" s="31" t="s">
        <v>75</v>
      </c>
      <c r="C39" s="32" t="s">
        <v>25</v>
      </c>
      <c r="D39" s="33">
        <v>240</v>
      </c>
      <c r="E39" s="34">
        <v>26.03</v>
      </c>
      <c r="F39" s="45">
        <v>34.299999999999997</v>
      </c>
      <c r="G39" s="32" t="s">
        <v>39</v>
      </c>
      <c r="H39" s="37">
        <v>33.17</v>
      </c>
      <c r="I39" s="38">
        <f t="shared" si="0"/>
        <v>7960.8</v>
      </c>
      <c r="J39" s="32" t="s">
        <v>54</v>
      </c>
      <c r="K39" s="37">
        <v>32.17</v>
      </c>
      <c r="L39" s="38">
        <f t="shared" si="1"/>
        <v>7720.8</v>
      </c>
      <c r="M39" s="38" t="s">
        <v>41</v>
      </c>
      <c r="N39" s="37">
        <v>38.74</v>
      </c>
      <c r="O39" s="38">
        <f t="shared" si="2"/>
        <v>9297.6</v>
      </c>
      <c r="P39" s="39">
        <f t="shared" si="3"/>
        <v>34.693333333333335</v>
      </c>
      <c r="Q39" s="40">
        <f t="shared" si="4"/>
        <v>-1.1337432744043241</v>
      </c>
      <c r="R39" s="39">
        <f t="shared" si="5"/>
        <v>8232</v>
      </c>
      <c r="S39" s="41"/>
      <c r="U39" s="42">
        <f t="shared" si="6"/>
        <v>-4</v>
      </c>
      <c r="V39" s="42">
        <f t="shared" si="7"/>
        <v>-7</v>
      </c>
      <c r="W39" s="42">
        <f t="shared" si="8"/>
        <v>12</v>
      </c>
    </row>
    <row r="40" spans="1:23" s="28" customFormat="1" ht="73.5" customHeight="1" x14ac:dyDescent="0.2">
      <c r="A40" s="30">
        <v>29</v>
      </c>
      <c r="B40" s="31" t="s">
        <v>76</v>
      </c>
      <c r="C40" s="32" t="s">
        <v>25</v>
      </c>
      <c r="D40" s="33">
        <v>264</v>
      </c>
      <c r="E40" s="34">
        <v>41.52</v>
      </c>
      <c r="F40" s="45">
        <v>52</v>
      </c>
      <c r="G40" s="32" t="s">
        <v>39</v>
      </c>
      <c r="H40" s="37">
        <v>49.76</v>
      </c>
      <c r="I40" s="38">
        <f t="shared" si="0"/>
        <v>13136.64</v>
      </c>
      <c r="J40" s="32" t="s">
        <v>54</v>
      </c>
      <c r="K40" s="37">
        <v>51.47</v>
      </c>
      <c r="L40" s="38">
        <f t="shared" si="1"/>
        <v>13588.08</v>
      </c>
      <c r="M40" s="38" t="s">
        <v>41</v>
      </c>
      <c r="N40" s="37">
        <v>55.16</v>
      </c>
      <c r="O40" s="38">
        <f t="shared" si="2"/>
        <v>14562.24</v>
      </c>
      <c r="P40" s="39">
        <f t="shared" si="3"/>
        <v>52.129999999999995</v>
      </c>
      <c r="Q40" s="40">
        <f t="shared" si="4"/>
        <v>-0.24937655860348684</v>
      </c>
      <c r="R40" s="39">
        <f t="shared" si="5"/>
        <v>13728</v>
      </c>
      <c r="S40" s="41"/>
      <c r="U40" s="42">
        <f t="shared" si="6"/>
        <v>-5</v>
      </c>
      <c r="V40" s="42">
        <f t="shared" si="7"/>
        <v>-1</v>
      </c>
      <c r="W40" s="42">
        <f t="shared" si="8"/>
        <v>6</v>
      </c>
    </row>
    <row r="41" spans="1:23" s="28" customFormat="1" ht="73.5" customHeight="1" x14ac:dyDescent="0.2">
      <c r="A41" s="30">
        <v>30</v>
      </c>
      <c r="B41" s="31" t="s">
        <v>77</v>
      </c>
      <c r="C41" s="32" t="s">
        <v>25</v>
      </c>
      <c r="D41" s="33">
        <v>1200</v>
      </c>
      <c r="E41" s="34">
        <v>80.27</v>
      </c>
      <c r="F41" s="45">
        <v>98.2</v>
      </c>
      <c r="G41" s="32" t="s">
        <v>39</v>
      </c>
      <c r="H41" s="37">
        <v>97.92</v>
      </c>
      <c r="I41" s="38">
        <f t="shared" si="0"/>
        <v>117504</v>
      </c>
      <c r="J41" s="32" t="s">
        <v>54</v>
      </c>
      <c r="K41" s="37">
        <v>92.97</v>
      </c>
      <c r="L41" s="38">
        <f t="shared" si="1"/>
        <v>111564</v>
      </c>
      <c r="M41" s="38" t="s">
        <v>41</v>
      </c>
      <c r="N41" s="37">
        <v>105.36</v>
      </c>
      <c r="O41" s="38">
        <f t="shared" si="2"/>
        <v>126432</v>
      </c>
      <c r="P41" s="39">
        <f t="shared" si="3"/>
        <v>98.75</v>
      </c>
      <c r="Q41" s="40">
        <f t="shared" si="4"/>
        <v>-0.55696202531645156</v>
      </c>
      <c r="R41" s="39">
        <f t="shared" si="5"/>
        <v>117840</v>
      </c>
      <c r="S41" s="41"/>
      <c r="U41" s="42">
        <f t="shared" si="6"/>
        <v>-1</v>
      </c>
      <c r="V41" s="42">
        <f t="shared" si="7"/>
        <v>-6</v>
      </c>
      <c r="W41" s="42">
        <f t="shared" si="8"/>
        <v>7</v>
      </c>
    </row>
    <row r="42" spans="1:23" s="28" customFormat="1" ht="73.5" customHeight="1" x14ac:dyDescent="0.2">
      <c r="A42" s="30">
        <v>31</v>
      </c>
      <c r="B42" s="31" t="s">
        <v>78</v>
      </c>
      <c r="C42" s="32" t="s">
        <v>25</v>
      </c>
      <c r="D42" s="33">
        <v>40</v>
      </c>
      <c r="E42" s="34">
        <v>3.91</v>
      </c>
      <c r="F42" s="45">
        <v>5.4</v>
      </c>
      <c r="G42" s="32" t="s">
        <v>39</v>
      </c>
      <c r="H42" s="37">
        <v>5.38</v>
      </c>
      <c r="I42" s="38">
        <f t="shared" si="0"/>
        <v>215.2</v>
      </c>
      <c r="J42" s="32" t="s">
        <v>54</v>
      </c>
      <c r="K42" s="37">
        <v>5.45</v>
      </c>
      <c r="L42" s="38">
        <f t="shared" si="1"/>
        <v>218</v>
      </c>
      <c r="M42" s="38" t="s">
        <v>41</v>
      </c>
      <c r="N42" s="37">
        <v>5.5</v>
      </c>
      <c r="O42" s="38">
        <f t="shared" si="2"/>
        <v>220</v>
      </c>
      <c r="P42" s="39">
        <f t="shared" si="3"/>
        <v>5.4433333333333325</v>
      </c>
      <c r="Q42" s="40">
        <f t="shared" si="4"/>
        <v>-0.79608083282300868</v>
      </c>
      <c r="R42" s="39">
        <f t="shared" si="5"/>
        <v>216</v>
      </c>
      <c r="S42" s="41"/>
      <c r="U42" s="42">
        <f t="shared" si="6"/>
        <v>-1</v>
      </c>
      <c r="V42" s="42">
        <f t="shared" si="7"/>
        <v>0</v>
      </c>
      <c r="W42" s="42">
        <f t="shared" si="8"/>
        <v>1</v>
      </c>
    </row>
    <row r="43" spans="1:23" s="28" customFormat="1" ht="73.5" customHeight="1" x14ac:dyDescent="0.2">
      <c r="A43" s="30">
        <v>32</v>
      </c>
      <c r="B43" s="31" t="s">
        <v>79</v>
      </c>
      <c r="C43" s="32" t="s">
        <v>25</v>
      </c>
      <c r="D43" s="33">
        <v>30</v>
      </c>
      <c r="E43" s="34">
        <v>8.9499999999999993</v>
      </c>
      <c r="F43" s="45">
        <v>11.82</v>
      </c>
      <c r="G43" s="32" t="s">
        <v>39</v>
      </c>
      <c r="H43" s="37">
        <v>11.56</v>
      </c>
      <c r="I43" s="38">
        <f t="shared" si="0"/>
        <v>346.8</v>
      </c>
      <c r="J43" s="32" t="s">
        <v>54</v>
      </c>
      <c r="K43" s="37">
        <v>11.47</v>
      </c>
      <c r="L43" s="38">
        <f t="shared" si="1"/>
        <v>344.1</v>
      </c>
      <c r="M43" s="38" t="s">
        <v>41</v>
      </c>
      <c r="N43" s="37">
        <v>12.68</v>
      </c>
      <c r="O43" s="38">
        <f t="shared" si="2"/>
        <v>380.4</v>
      </c>
      <c r="P43" s="39">
        <f t="shared" si="3"/>
        <v>11.903333333333334</v>
      </c>
      <c r="Q43" s="40">
        <f t="shared" si="4"/>
        <v>-0.70008401008121268</v>
      </c>
      <c r="R43" s="39">
        <f t="shared" si="5"/>
        <v>354.6</v>
      </c>
      <c r="S43" s="41"/>
      <c r="U43" s="42">
        <f t="shared" si="6"/>
        <v>-3</v>
      </c>
      <c r="V43" s="42">
        <f t="shared" si="7"/>
        <v>-4</v>
      </c>
      <c r="W43" s="42">
        <f t="shared" si="8"/>
        <v>7</v>
      </c>
    </row>
    <row r="44" spans="1:23" s="28" customFormat="1" ht="73.5" customHeight="1" x14ac:dyDescent="0.2">
      <c r="A44" s="30">
        <v>33</v>
      </c>
      <c r="B44" s="31" t="s">
        <v>80</v>
      </c>
      <c r="C44" s="32" t="s">
        <v>81</v>
      </c>
      <c r="D44" s="33">
        <v>560</v>
      </c>
      <c r="E44" s="34">
        <v>139.66</v>
      </c>
      <c r="F44" s="45">
        <v>169.2</v>
      </c>
      <c r="G44" s="32" t="s">
        <v>82</v>
      </c>
      <c r="H44" s="37">
        <v>166.13</v>
      </c>
      <c r="I44" s="38">
        <f t="shared" ref="I44:I75" si="9">D44*H44</f>
        <v>93032.8</v>
      </c>
      <c r="J44" s="32" t="s">
        <v>46</v>
      </c>
      <c r="K44" s="37">
        <v>182.47</v>
      </c>
      <c r="L44" s="38">
        <f t="shared" si="1"/>
        <v>102183.2</v>
      </c>
      <c r="M44" s="32" t="s">
        <v>58</v>
      </c>
      <c r="N44" s="37">
        <v>163.57</v>
      </c>
      <c r="O44" s="38">
        <f t="shared" si="2"/>
        <v>91599.2</v>
      </c>
      <c r="P44" s="39">
        <f t="shared" si="3"/>
        <v>170.72333333333336</v>
      </c>
      <c r="Q44" s="40">
        <f t="shared" si="4"/>
        <v>-0.89228185953884065</v>
      </c>
      <c r="R44" s="39">
        <f t="shared" si="5"/>
        <v>94752</v>
      </c>
      <c r="S44" s="41"/>
      <c r="U44" s="42">
        <f t="shared" si="6"/>
        <v>-3</v>
      </c>
      <c r="V44" s="42">
        <f t="shared" si="7"/>
        <v>7</v>
      </c>
      <c r="W44" s="42">
        <f t="shared" si="8"/>
        <v>-4</v>
      </c>
    </row>
    <row r="45" spans="1:23" s="28" customFormat="1" ht="73.5" customHeight="1" x14ac:dyDescent="0.2">
      <c r="A45" s="30">
        <v>34</v>
      </c>
      <c r="B45" s="31" t="s">
        <v>83</v>
      </c>
      <c r="C45" s="32" t="s">
        <v>25</v>
      </c>
      <c r="D45" s="33">
        <v>12</v>
      </c>
      <c r="E45" s="34" t="s">
        <v>26</v>
      </c>
      <c r="F45" s="45">
        <v>3339.3</v>
      </c>
      <c r="G45" s="32" t="s">
        <v>84</v>
      </c>
      <c r="H45" s="37">
        <f>3600/1.2</f>
        <v>3000</v>
      </c>
      <c r="I45" s="38">
        <f t="shared" si="9"/>
        <v>36000</v>
      </c>
      <c r="J45" s="38" t="s">
        <v>28</v>
      </c>
      <c r="K45" s="37">
        <f>4320/1.2</f>
        <v>3600</v>
      </c>
      <c r="L45" s="38">
        <f t="shared" si="1"/>
        <v>43200</v>
      </c>
      <c r="M45" s="32" t="s">
        <v>29</v>
      </c>
      <c r="N45" s="37">
        <v>3480</v>
      </c>
      <c r="O45" s="38">
        <f t="shared" si="2"/>
        <v>41760</v>
      </c>
      <c r="P45" s="39">
        <f t="shared" si="3"/>
        <v>3360</v>
      </c>
      <c r="Q45" s="40">
        <f t="shared" si="4"/>
        <v>-0.6160714285714306</v>
      </c>
      <c r="R45" s="39">
        <f t="shared" si="5"/>
        <v>40071.600000000006</v>
      </c>
      <c r="S45" s="41"/>
      <c r="U45" s="42">
        <f t="shared" si="6"/>
        <v>-11</v>
      </c>
      <c r="V45" s="42">
        <f t="shared" si="7"/>
        <v>7</v>
      </c>
      <c r="W45" s="42">
        <f t="shared" si="8"/>
        <v>4</v>
      </c>
    </row>
    <row r="46" spans="1:23" s="28" customFormat="1" ht="73.5" customHeight="1" x14ac:dyDescent="0.2">
      <c r="A46" s="30">
        <v>35</v>
      </c>
      <c r="B46" s="31" t="s">
        <v>85</v>
      </c>
      <c r="C46" s="32" t="s">
        <v>25</v>
      </c>
      <c r="D46" s="33">
        <v>5</v>
      </c>
      <c r="E46" s="34">
        <v>3404.18</v>
      </c>
      <c r="F46" s="45">
        <v>3550.4</v>
      </c>
      <c r="G46" s="32" t="s">
        <v>27</v>
      </c>
      <c r="H46" s="37">
        <f>4107.16/1.2</f>
        <v>3422.6333333333332</v>
      </c>
      <c r="I46" s="38">
        <f t="shared" si="9"/>
        <v>17113.166666666664</v>
      </c>
      <c r="J46" s="38" t="s">
        <v>28</v>
      </c>
      <c r="K46" s="37">
        <v>3502.11</v>
      </c>
      <c r="L46" s="38">
        <f t="shared" si="1"/>
        <v>17510.55</v>
      </c>
      <c r="M46" s="32" t="s">
        <v>29</v>
      </c>
      <c r="N46" s="37">
        <v>3779.24</v>
      </c>
      <c r="O46" s="38">
        <f t="shared" si="2"/>
        <v>18896.199999999997</v>
      </c>
      <c r="P46" s="39">
        <f t="shared" si="3"/>
        <v>3567.9944444444445</v>
      </c>
      <c r="Q46" s="40">
        <f t="shared" si="4"/>
        <v>-0.49311860537899577</v>
      </c>
      <c r="R46" s="39">
        <f t="shared" si="5"/>
        <v>17752</v>
      </c>
      <c r="S46" s="41"/>
      <c r="U46" s="42">
        <f t="shared" si="6"/>
        <v>-4</v>
      </c>
      <c r="V46" s="42">
        <f t="shared" si="7"/>
        <v>-2</v>
      </c>
      <c r="W46" s="42">
        <f t="shared" si="8"/>
        <v>6</v>
      </c>
    </row>
    <row r="47" spans="1:23" s="28" customFormat="1" ht="73.5" customHeight="1" x14ac:dyDescent="0.2">
      <c r="A47" s="30">
        <v>36</v>
      </c>
      <c r="B47" s="31" t="s">
        <v>86</v>
      </c>
      <c r="C47" s="32" t="s">
        <v>25</v>
      </c>
      <c r="D47" s="33">
        <v>13</v>
      </c>
      <c r="E47" s="34">
        <v>9824.1</v>
      </c>
      <c r="F47" s="45">
        <v>11152.87</v>
      </c>
      <c r="G47" s="32" t="s">
        <v>66</v>
      </c>
      <c r="H47" s="37">
        <f>12597.13/1.2</f>
        <v>10497.608333333334</v>
      </c>
      <c r="I47" s="38">
        <f t="shared" si="9"/>
        <v>136468.90833333333</v>
      </c>
      <c r="J47" s="37" t="s">
        <v>67</v>
      </c>
      <c r="K47" s="37">
        <f>13529.76/1.2</f>
        <v>11274.800000000001</v>
      </c>
      <c r="L47" s="38">
        <f t="shared" si="1"/>
        <v>146572.40000000002</v>
      </c>
      <c r="M47" s="38" t="s">
        <v>68</v>
      </c>
      <c r="N47" s="37">
        <v>11847.32</v>
      </c>
      <c r="O47" s="38">
        <f t="shared" si="2"/>
        <v>154015.16</v>
      </c>
      <c r="P47" s="39">
        <f t="shared" si="3"/>
        <v>11206.576111111111</v>
      </c>
      <c r="Q47" s="40">
        <f t="shared" si="4"/>
        <v>-0.47923746359838049</v>
      </c>
      <c r="R47" s="39">
        <f t="shared" si="5"/>
        <v>144987.31</v>
      </c>
      <c r="S47" s="41"/>
      <c r="U47" s="42">
        <f t="shared" si="6"/>
        <v>-6</v>
      </c>
      <c r="V47" s="42">
        <f t="shared" si="7"/>
        <v>1</v>
      </c>
      <c r="W47" s="42">
        <f t="shared" si="8"/>
        <v>6</v>
      </c>
    </row>
    <row r="48" spans="1:23" s="28" customFormat="1" ht="73.5" customHeight="1" x14ac:dyDescent="0.2">
      <c r="A48" s="30">
        <v>37</v>
      </c>
      <c r="B48" s="31" t="s">
        <v>87</v>
      </c>
      <c r="C48" s="32" t="s">
        <v>25</v>
      </c>
      <c r="D48" s="33">
        <v>14</v>
      </c>
      <c r="E48" s="34">
        <v>91.41</v>
      </c>
      <c r="F48" s="45">
        <v>95</v>
      </c>
      <c r="G48" s="32" t="s">
        <v>27</v>
      </c>
      <c r="H48" s="37">
        <f>108.22/1.2</f>
        <v>90.183333333333337</v>
      </c>
      <c r="I48" s="38">
        <f t="shared" si="9"/>
        <v>1262.5666666666666</v>
      </c>
      <c r="J48" s="38" t="s">
        <v>28</v>
      </c>
      <c r="K48" s="37">
        <v>92.03</v>
      </c>
      <c r="L48" s="38">
        <f t="shared" si="1"/>
        <v>1288.42</v>
      </c>
      <c r="M48" s="32" t="s">
        <v>29</v>
      </c>
      <c r="N48" s="37">
        <v>103.61</v>
      </c>
      <c r="O48" s="38">
        <f t="shared" si="2"/>
        <v>1450.54</v>
      </c>
      <c r="P48" s="39">
        <f t="shared" si="3"/>
        <v>95.274444444444441</v>
      </c>
      <c r="Q48" s="40">
        <f t="shared" si="4"/>
        <v>-0.28805672501661661</v>
      </c>
      <c r="R48" s="39">
        <f t="shared" si="5"/>
        <v>1330</v>
      </c>
      <c r="S48" s="41"/>
      <c r="U48" s="42">
        <f t="shared" si="6"/>
        <v>-5</v>
      </c>
      <c r="V48" s="42">
        <f t="shared" si="7"/>
        <v>-3</v>
      </c>
      <c r="W48" s="42">
        <f t="shared" si="8"/>
        <v>9</v>
      </c>
    </row>
    <row r="49" spans="1:23" s="28" customFormat="1" ht="73.5" customHeight="1" x14ac:dyDescent="0.2">
      <c r="A49" s="30">
        <v>38</v>
      </c>
      <c r="B49" s="31" t="s">
        <v>88</v>
      </c>
      <c r="C49" s="32" t="s">
        <v>25</v>
      </c>
      <c r="D49" s="33">
        <v>28</v>
      </c>
      <c r="E49" s="34" t="s">
        <v>26</v>
      </c>
      <c r="F49" s="45">
        <v>73.010000000000005</v>
      </c>
      <c r="G49" s="32" t="s">
        <v>39</v>
      </c>
      <c r="H49" s="37">
        <v>67.09</v>
      </c>
      <c r="I49" s="38">
        <f t="shared" si="9"/>
        <v>1878.52</v>
      </c>
      <c r="J49" s="38" t="s">
        <v>68</v>
      </c>
      <c r="K49" s="37">
        <v>83</v>
      </c>
      <c r="L49" s="38">
        <f t="shared" si="1"/>
        <v>2324</v>
      </c>
      <c r="M49" s="38" t="s">
        <v>41</v>
      </c>
      <c r="N49" s="37">
        <v>72.34</v>
      </c>
      <c r="O49" s="38">
        <f t="shared" si="2"/>
        <v>2025.52</v>
      </c>
      <c r="P49" s="39">
        <f t="shared" si="3"/>
        <v>74.143333333333331</v>
      </c>
      <c r="Q49" s="40">
        <f t="shared" si="4"/>
        <v>-1.5285707863147735</v>
      </c>
      <c r="R49" s="39">
        <f t="shared" si="5"/>
        <v>2044.2800000000002</v>
      </c>
      <c r="S49" s="41"/>
      <c r="U49" s="42">
        <f t="shared" si="6"/>
        <v>-10</v>
      </c>
      <c r="V49" s="42">
        <f t="shared" si="7"/>
        <v>12</v>
      </c>
      <c r="W49" s="42">
        <f t="shared" si="8"/>
        <v>-2</v>
      </c>
    </row>
    <row r="50" spans="1:23" s="28" customFormat="1" ht="73.5" customHeight="1" x14ac:dyDescent="0.2">
      <c r="A50" s="30">
        <v>39</v>
      </c>
      <c r="B50" s="31" t="s">
        <v>89</v>
      </c>
      <c r="C50" s="32" t="s">
        <v>81</v>
      </c>
      <c r="D50" s="33">
        <v>72</v>
      </c>
      <c r="E50" s="34">
        <v>2954.02</v>
      </c>
      <c r="F50" s="45">
        <v>3120.3</v>
      </c>
      <c r="G50" s="36" t="s">
        <v>90</v>
      </c>
      <c r="H50" s="37">
        <f>3609.86/1.2</f>
        <v>3008.2166666666667</v>
      </c>
      <c r="I50" s="38">
        <f t="shared" si="9"/>
        <v>216591.6</v>
      </c>
      <c r="J50" s="32" t="s">
        <v>46</v>
      </c>
      <c r="K50" s="37">
        <v>3152.91</v>
      </c>
      <c r="L50" s="38">
        <f t="shared" si="1"/>
        <v>227009.52</v>
      </c>
      <c r="M50" s="32" t="s">
        <v>58</v>
      </c>
      <c r="N50" s="37">
        <v>3256.66</v>
      </c>
      <c r="O50" s="38">
        <f t="shared" si="2"/>
        <v>234479.52</v>
      </c>
      <c r="P50" s="39">
        <f t="shared" si="3"/>
        <v>3139.2622222222221</v>
      </c>
      <c r="Q50" s="40">
        <f t="shared" si="4"/>
        <v>-0.60403435202043454</v>
      </c>
      <c r="R50" s="39">
        <f t="shared" si="5"/>
        <v>224661.6</v>
      </c>
      <c r="S50" s="41"/>
      <c r="U50" s="42">
        <f t="shared" si="6"/>
        <v>-4</v>
      </c>
      <c r="V50" s="42">
        <f t="shared" si="7"/>
        <v>0</v>
      </c>
      <c r="W50" s="42">
        <f t="shared" si="8"/>
        <v>4</v>
      </c>
    </row>
    <row r="51" spans="1:23" s="28" customFormat="1" ht="73.5" customHeight="1" x14ac:dyDescent="0.2">
      <c r="A51" s="30">
        <v>40</v>
      </c>
      <c r="B51" s="31" t="s">
        <v>91</v>
      </c>
      <c r="C51" s="32" t="s">
        <v>25</v>
      </c>
      <c r="D51" s="33">
        <v>2</v>
      </c>
      <c r="E51" s="34" t="s">
        <v>26</v>
      </c>
      <c r="F51" s="45">
        <v>198500</v>
      </c>
      <c r="G51" s="32" t="s">
        <v>27</v>
      </c>
      <c r="H51" s="37">
        <f>234758.4/1.2</f>
        <v>195632</v>
      </c>
      <c r="I51" s="38">
        <f t="shared" si="9"/>
        <v>391264</v>
      </c>
      <c r="J51" s="38" t="s">
        <v>28</v>
      </c>
      <c r="K51" s="37">
        <v>199452.67</v>
      </c>
      <c r="L51" s="38">
        <f t="shared" si="1"/>
        <v>398905.34</v>
      </c>
      <c r="M51" s="32" t="s">
        <v>29</v>
      </c>
      <c r="N51" s="37">
        <v>201347.8</v>
      </c>
      <c r="O51" s="38">
        <f t="shared" si="2"/>
        <v>402695.6</v>
      </c>
      <c r="P51" s="39">
        <f t="shared" si="3"/>
        <v>198810.82333333333</v>
      </c>
      <c r="Q51" s="40">
        <f t="shared" si="4"/>
        <v>-0.1563412535202815</v>
      </c>
      <c r="R51" s="39">
        <f t="shared" si="5"/>
        <v>397000</v>
      </c>
      <c r="S51" s="41"/>
      <c r="U51" s="42">
        <f t="shared" si="6"/>
        <v>-2</v>
      </c>
      <c r="V51" s="42">
        <f t="shared" si="7"/>
        <v>0</v>
      </c>
      <c r="W51" s="42">
        <f t="shared" si="8"/>
        <v>1</v>
      </c>
    </row>
    <row r="52" spans="1:23" s="28" customFormat="1" ht="73.5" customHeight="1" x14ac:dyDescent="0.2">
      <c r="A52" s="30">
        <v>41</v>
      </c>
      <c r="B52" s="31" t="s">
        <v>92</v>
      </c>
      <c r="C52" s="32" t="s">
        <v>25</v>
      </c>
      <c r="D52" s="33">
        <v>2</v>
      </c>
      <c r="E52" s="34" t="s">
        <v>26</v>
      </c>
      <c r="F52" s="45">
        <v>5754.2</v>
      </c>
      <c r="G52" s="32" t="s">
        <v>27</v>
      </c>
      <c r="H52" s="37">
        <f>6701.48/1.2</f>
        <v>5584.5666666666666</v>
      </c>
      <c r="I52" s="38">
        <f t="shared" si="9"/>
        <v>11169.133333333333</v>
      </c>
      <c r="J52" s="38" t="s">
        <v>28</v>
      </c>
      <c r="K52" s="37">
        <v>5784.3</v>
      </c>
      <c r="L52" s="38">
        <f t="shared" si="1"/>
        <v>11568.6</v>
      </c>
      <c r="M52" s="32" t="s">
        <v>29</v>
      </c>
      <c r="N52" s="37">
        <v>5944.87</v>
      </c>
      <c r="O52" s="38">
        <f t="shared" si="2"/>
        <v>11889.74</v>
      </c>
      <c r="P52" s="39">
        <f t="shared" si="3"/>
        <v>5771.2455555555562</v>
      </c>
      <c r="Q52" s="40">
        <f t="shared" si="4"/>
        <v>-0.29535315022503994</v>
      </c>
      <c r="R52" s="39">
        <f t="shared" si="5"/>
        <v>11508.4</v>
      </c>
      <c r="S52" s="41"/>
      <c r="U52" s="42">
        <f t="shared" si="6"/>
        <v>-3</v>
      </c>
      <c r="V52" s="42">
        <f t="shared" si="7"/>
        <v>0</v>
      </c>
      <c r="W52" s="42">
        <f t="shared" si="8"/>
        <v>3</v>
      </c>
    </row>
    <row r="53" spans="1:23" s="28" customFormat="1" ht="73.5" customHeight="1" x14ac:dyDescent="0.2">
      <c r="A53" s="30">
        <v>42</v>
      </c>
      <c r="B53" s="31" t="s">
        <v>93</v>
      </c>
      <c r="C53" s="32" t="s">
        <v>25</v>
      </c>
      <c r="D53" s="33">
        <v>10</v>
      </c>
      <c r="E53" s="34" t="s">
        <v>26</v>
      </c>
      <c r="F53" s="45">
        <v>523.29999999999995</v>
      </c>
      <c r="G53" s="32" t="s">
        <v>27</v>
      </c>
      <c r="H53" s="37">
        <f>597.91/1.2</f>
        <v>498.25833333333333</v>
      </c>
      <c r="I53" s="38">
        <f t="shared" si="9"/>
        <v>4982.583333333333</v>
      </c>
      <c r="J53" s="38" t="s">
        <v>28</v>
      </c>
      <c r="K53" s="37">
        <v>521.20000000000005</v>
      </c>
      <c r="L53" s="38">
        <f t="shared" si="1"/>
        <v>5212</v>
      </c>
      <c r="M53" s="32" t="s">
        <v>29</v>
      </c>
      <c r="N53" s="37">
        <v>554.34</v>
      </c>
      <c r="O53" s="38">
        <f t="shared" si="2"/>
        <v>5543.4000000000005</v>
      </c>
      <c r="P53" s="39">
        <f t="shared" si="3"/>
        <v>524.59944444444443</v>
      </c>
      <c r="Q53" s="40">
        <f t="shared" si="4"/>
        <v>-0.24770221512922319</v>
      </c>
      <c r="R53" s="39">
        <f t="shared" si="5"/>
        <v>5233</v>
      </c>
      <c r="S53" s="41"/>
      <c r="U53" s="42">
        <f t="shared" si="6"/>
        <v>-5</v>
      </c>
      <c r="V53" s="42">
        <f t="shared" si="7"/>
        <v>-1</v>
      </c>
      <c r="W53" s="42">
        <f t="shared" si="8"/>
        <v>6</v>
      </c>
    </row>
    <row r="54" spans="1:23" s="28" customFormat="1" ht="73.5" customHeight="1" x14ac:dyDescent="0.2">
      <c r="A54" s="30">
        <v>43</v>
      </c>
      <c r="B54" s="31" t="s">
        <v>94</v>
      </c>
      <c r="C54" s="32" t="s">
        <v>25</v>
      </c>
      <c r="D54" s="33" t="s">
        <v>95</v>
      </c>
      <c r="E54" s="34">
        <v>326.49</v>
      </c>
      <c r="F54" s="45">
        <v>517.11</v>
      </c>
      <c r="G54" s="32" t="s">
        <v>27</v>
      </c>
      <c r="H54" s="37">
        <f>583.14/1.2</f>
        <v>485.95</v>
      </c>
      <c r="I54" s="38">
        <f t="shared" si="9"/>
        <v>23325.599999999999</v>
      </c>
      <c r="J54" s="38" t="s">
        <v>28</v>
      </c>
      <c r="K54" s="37">
        <v>519.29999999999995</v>
      </c>
      <c r="L54" s="38">
        <f t="shared" si="1"/>
        <v>24926.399999999998</v>
      </c>
      <c r="M54" s="32" t="s">
        <v>29</v>
      </c>
      <c r="N54" s="37">
        <v>550.4</v>
      </c>
      <c r="O54" s="38">
        <f t="shared" si="2"/>
        <v>26419.199999999997</v>
      </c>
      <c r="P54" s="39">
        <f t="shared" si="3"/>
        <v>518.55000000000007</v>
      </c>
      <c r="Q54" s="40">
        <f t="shared" si="4"/>
        <v>-0.2776974255134661</v>
      </c>
      <c r="R54" s="39">
        <f t="shared" si="5"/>
        <v>24821.279999999999</v>
      </c>
      <c r="S54" s="41"/>
      <c r="U54" s="42">
        <f t="shared" si="6"/>
        <v>-6</v>
      </c>
      <c r="V54" s="42">
        <f t="shared" si="7"/>
        <v>0</v>
      </c>
      <c r="W54" s="42">
        <f t="shared" si="8"/>
        <v>6</v>
      </c>
    </row>
    <row r="55" spans="1:23" s="28" customFormat="1" ht="73.5" customHeight="1" x14ac:dyDescent="0.2">
      <c r="A55" s="30">
        <v>44</v>
      </c>
      <c r="B55" s="31" t="s">
        <v>96</v>
      </c>
      <c r="C55" s="32" t="s">
        <v>25</v>
      </c>
      <c r="D55" s="33" t="s">
        <v>97</v>
      </c>
      <c r="E55" s="34">
        <v>3549.95</v>
      </c>
      <c r="F55" s="45">
        <v>5116.7</v>
      </c>
      <c r="G55" s="32" t="s">
        <v>27</v>
      </c>
      <c r="H55" s="37">
        <f>5997.8/1.2</f>
        <v>4998.166666666667</v>
      </c>
      <c r="I55" s="38">
        <f t="shared" si="9"/>
        <v>4998.166666666667</v>
      </c>
      <c r="J55" s="38" t="s">
        <v>28</v>
      </c>
      <c r="K55" s="37">
        <v>5100.67</v>
      </c>
      <c r="L55" s="38">
        <f t="shared" si="1"/>
        <v>5100.67</v>
      </c>
      <c r="M55" s="32" t="s">
        <v>29</v>
      </c>
      <c r="N55" s="37">
        <v>5427.9</v>
      </c>
      <c r="O55" s="38">
        <f t="shared" si="2"/>
        <v>5427.9</v>
      </c>
      <c r="P55" s="39">
        <f t="shared" si="3"/>
        <v>5175.5788888888883</v>
      </c>
      <c r="Q55" s="40">
        <f t="shared" si="4"/>
        <v>-1.1376290489029515</v>
      </c>
      <c r="R55" s="39">
        <f t="shared" si="5"/>
        <v>5116.7</v>
      </c>
      <c r="S55" s="41"/>
      <c r="U55" s="42">
        <f t="shared" si="6"/>
        <v>-3</v>
      </c>
      <c r="V55" s="42">
        <f t="shared" si="7"/>
        <v>-1</v>
      </c>
      <c r="W55" s="42">
        <f t="shared" si="8"/>
        <v>5</v>
      </c>
    </row>
    <row r="56" spans="1:23" s="28" customFormat="1" ht="73.5" customHeight="1" x14ac:dyDescent="0.2">
      <c r="A56" s="30">
        <v>45</v>
      </c>
      <c r="B56" s="31" t="s">
        <v>98</v>
      </c>
      <c r="C56" s="32" t="s">
        <v>25</v>
      </c>
      <c r="D56" s="33">
        <v>1</v>
      </c>
      <c r="E56" s="34">
        <v>3529.22</v>
      </c>
      <c r="F56" s="45">
        <v>5200.3999999999996</v>
      </c>
      <c r="G56" s="32" t="s">
        <v>27</v>
      </c>
      <c r="H56" s="37">
        <f>6038.66/1.2</f>
        <v>5032.2166666666672</v>
      </c>
      <c r="I56" s="38">
        <f t="shared" si="9"/>
        <v>5032.2166666666672</v>
      </c>
      <c r="J56" s="38" t="s">
        <v>28</v>
      </c>
      <c r="K56" s="37">
        <v>5201.7</v>
      </c>
      <c r="L56" s="38">
        <f t="shared" si="1"/>
        <v>5201.7</v>
      </c>
      <c r="M56" s="32" t="s">
        <v>29</v>
      </c>
      <c r="N56" s="37">
        <v>5504.9</v>
      </c>
      <c r="O56" s="38">
        <f t="shared" si="2"/>
        <v>5504.9</v>
      </c>
      <c r="P56" s="39">
        <f t="shared" si="3"/>
        <v>5246.2722222222228</v>
      </c>
      <c r="Q56" s="40">
        <f t="shared" si="4"/>
        <v>-0.87437746802228844</v>
      </c>
      <c r="R56" s="39">
        <f t="shared" si="5"/>
        <v>5200.3999999999996</v>
      </c>
      <c r="S56" s="41"/>
      <c r="U56" s="42">
        <f t="shared" si="6"/>
        <v>-4</v>
      </c>
      <c r="V56" s="42">
        <f t="shared" si="7"/>
        <v>-1</v>
      </c>
      <c r="W56" s="42">
        <f t="shared" si="8"/>
        <v>5</v>
      </c>
    </row>
    <row r="57" spans="1:23" s="28" customFormat="1" ht="73.5" customHeight="1" x14ac:dyDescent="0.2">
      <c r="A57" s="30">
        <v>46</v>
      </c>
      <c r="B57" s="31" t="s">
        <v>99</v>
      </c>
      <c r="C57" s="32" t="s">
        <v>25</v>
      </c>
      <c r="D57" s="33">
        <v>3</v>
      </c>
      <c r="E57" s="34">
        <v>1333.57</v>
      </c>
      <c r="F57" s="45">
        <v>1796.4</v>
      </c>
      <c r="G57" s="32" t="s">
        <v>27</v>
      </c>
      <c r="H57" s="37">
        <f>2109.78/1.2</f>
        <v>1758.1500000000003</v>
      </c>
      <c r="I57" s="38">
        <f t="shared" si="9"/>
        <v>5274.4500000000007</v>
      </c>
      <c r="J57" s="38" t="s">
        <v>28</v>
      </c>
      <c r="K57" s="37">
        <v>1801.3</v>
      </c>
      <c r="L57" s="38">
        <f t="shared" si="1"/>
        <v>5403.9</v>
      </c>
      <c r="M57" s="32" t="s">
        <v>29</v>
      </c>
      <c r="N57" s="37">
        <v>1956.8</v>
      </c>
      <c r="O57" s="38">
        <f t="shared" si="2"/>
        <v>5870.4</v>
      </c>
      <c r="P57" s="39">
        <f t="shared" si="3"/>
        <v>1838.75</v>
      </c>
      <c r="Q57" s="40">
        <f t="shared" si="4"/>
        <v>-2.3031951053704915</v>
      </c>
      <c r="R57" s="39">
        <f t="shared" si="5"/>
        <v>5389.2000000000007</v>
      </c>
      <c r="S57" s="41"/>
      <c r="U57" s="42">
        <f t="shared" si="6"/>
        <v>-4</v>
      </c>
      <c r="V57" s="42">
        <f t="shared" si="7"/>
        <v>-2</v>
      </c>
      <c r="W57" s="42">
        <f t="shared" si="8"/>
        <v>6</v>
      </c>
    </row>
    <row r="58" spans="1:23" s="28" customFormat="1" ht="73.5" customHeight="1" x14ac:dyDescent="0.2">
      <c r="A58" s="30">
        <v>47</v>
      </c>
      <c r="B58" s="31" t="s">
        <v>100</v>
      </c>
      <c r="C58" s="32" t="s">
        <v>25</v>
      </c>
      <c r="D58" s="33">
        <v>11</v>
      </c>
      <c r="E58" s="34">
        <v>5041.4799999999996</v>
      </c>
      <c r="F58" s="45">
        <v>7180.45</v>
      </c>
      <c r="G58" s="32" t="s">
        <v>27</v>
      </c>
      <c r="H58" s="37">
        <f>8361.03/1.2</f>
        <v>6967.5250000000005</v>
      </c>
      <c r="I58" s="38">
        <f t="shared" si="9"/>
        <v>76642.775000000009</v>
      </c>
      <c r="J58" s="38" t="s">
        <v>28</v>
      </c>
      <c r="K58" s="37">
        <v>7201.4</v>
      </c>
      <c r="L58" s="38">
        <f t="shared" si="1"/>
        <v>79215.399999999994</v>
      </c>
      <c r="M58" s="32" t="s">
        <v>29</v>
      </c>
      <c r="N58" s="37">
        <v>7422.6</v>
      </c>
      <c r="O58" s="38">
        <f t="shared" si="2"/>
        <v>81648.600000000006</v>
      </c>
      <c r="P58" s="39">
        <f t="shared" si="3"/>
        <v>7197.1750000000002</v>
      </c>
      <c r="Q58" s="40">
        <f t="shared" si="4"/>
        <v>-0.23238284465780623</v>
      </c>
      <c r="R58" s="39">
        <f t="shared" si="5"/>
        <v>78984.95</v>
      </c>
      <c r="S58" s="41"/>
      <c r="U58" s="42">
        <f t="shared" si="6"/>
        <v>-3</v>
      </c>
      <c r="V58" s="42">
        <f t="shared" si="7"/>
        <v>0</v>
      </c>
      <c r="W58" s="42">
        <f t="shared" si="8"/>
        <v>3</v>
      </c>
    </row>
    <row r="59" spans="1:23" s="28" customFormat="1" ht="73.5" customHeight="1" x14ac:dyDescent="0.2">
      <c r="A59" s="30">
        <v>48</v>
      </c>
      <c r="B59" s="31" t="s">
        <v>101</v>
      </c>
      <c r="C59" s="32" t="s">
        <v>25</v>
      </c>
      <c r="D59" s="33">
        <v>6</v>
      </c>
      <c r="E59" s="34">
        <v>121.23</v>
      </c>
      <c r="F59" s="45">
        <v>138.5</v>
      </c>
      <c r="G59" s="32" t="s">
        <v>27</v>
      </c>
      <c r="H59" s="37">
        <f>159.22/1.2</f>
        <v>132.68333333333334</v>
      </c>
      <c r="I59" s="38">
        <f t="shared" si="9"/>
        <v>796.1</v>
      </c>
      <c r="J59" s="38" t="s">
        <v>28</v>
      </c>
      <c r="K59" s="37">
        <v>139.87</v>
      </c>
      <c r="L59" s="38">
        <f t="shared" si="1"/>
        <v>839.22</v>
      </c>
      <c r="M59" s="32" t="s">
        <v>29</v>
      </c>
      <c r="N59" s="37">
        <v>145.24</v>
      </c>
      <c r="O59" s="38">
        <f t="shared" si="2"/>
        <v>871.44</v>
      </c>
      <c r="P59" s="39">
        <f t="shared" si="3"/>
        <v>139.26444444444445</v>
      </c>
      <c r="Q59" s="40">
        <f t="shared" si="4"/>
        <v>-0.54891573186105802</v>
      </c>
      <c r="R59" s="39">
        <f t="shared" si="5"/>
        <v>831</v>
      </c>
      <c r="S59" s="41"/>
      <c r="U59" s="42">
        <f t="shared" si="6"/>
        <v>-5</v>
      </c>
      <c r="V59" s="42">
        <f t="shared" si="7"/>
        <v>0</v>
      </c>
      <c r="W59" s="42">
        <f t="shared" si="8"/>
        <v>4</v>
      </c>
    </row>
    <row r="60" spans="1:23" s="28" customFormat="1" ht="73.5" customHeight="1" x14ac:dyDescent="0.2">
      <c r="A60" s="30">
        <v>49</v>
      </c>
      <c r="B60" s="31" t="s">
        <v>102</v>
      </c>
      <c r="C60" s="32" t="s">
        <v>25</v>
      </c>
      <c r="D60" s="33" t="s">
        <v>103</v>
      </c>
      <c r="E60" s="34">
        <v>103.67</v>
      </c>
      <c r="F60" s="45">
        <v>118.5</v>
      </c>
      <c r="G60" s="32" t="s">
        <v>27</v>
      </c>
      <c r="H60" s="37">
        <f>137.81/1.2</f>
        <v>114.84166666666667</v>
      </c>
      <c r="I60" s="38">
        <f t="shared" si="9"/>
        <v>2871.0416666666665</v>
      </c>
      <c r="J60" s="38" t="s">
        <v>28</v>
      </c>
      <c r="K60" s="37">
        <v>121.47</v>
      </c>
      <c r="L60" s="38">
        <f t="shared" si="1"/>
        <v>3036.75</v>
      </c>
      <c r="M60" s="32" t="s">
        <v>29</v>
      </c>
      <c r="N60" s="37">
        <v>119.8</v>
      </c>
      <c r="O60" s="38">
        <f t="shared" si="2"/>
        <v>2995</v>
      </c>
      <c r="P60" s="39">
        <f t="shared" si="3"/>
        <v>118.7038888888889</v>
      </c>
      <c r="Q60" s="40">
        <f t="shared" si="4"/>
        <v>-0.17176260255445186</v>
      </c>
      <c r="R60" s="39">
        <f t="shared" si="5"/>
        <v>2962.5</v>
      </c>
      <c r="S60" s="41"/>
      <c r="U60" s="42">
        <f t="shared" si="6"/>
        <v>-3</v>
      </c>
      <c r="V60" s="42">
        <f t="shared" si="7"/>
        <v>2</v>
      </c>
      <c r="W60" s="42">
        <f t="shared" si="8"/>
        <v>1</v>
      </c>
    </row>
    <row r="61" spans="1:23" s="28" customFormat="1" ht="73.5" customHeight="1" x14ac:dyDescent="0.2">
      <c r="A61" s="30">
        <v>50</v>
      </c>
      <c r="B61" s="31" t="s">
        <v>104</v>
      </c>
      <c r="C61" s="32" t="s">
        <v>25</v>
      </c>
      <c r="D61" s="33" t="s">
        <v>105</v>
      </c>
      <c r="E61" s="34">
        <v>149.52000000000001</v>
      </c>
      <c r="F61" s="45">
        <v>174.59</v>
      </c>
      <c r="G61" s="32" t="s">
        <v>27</v>
      </c>
      <c r="H61" s="37">
        <f>203.54/1.2</f>
        <v>169.61666666666667</v>
      </c>
      <c r="I61" s="38">
        <f t="shared" si="9"/>
        <v>1356.9333333333334</v>
      </c>
      <c r="J61" s="38" t="s">
        <v>28</v>
      </c>
      <c r="K61" s="37">
        <v>175.54</v>
      </c>
      <c r="L61" s="38">
        <f t="shared" si="1"/>
        <v>1404.32</v>
      </c>
      <c r="M61" s="32" t="s">
        <v>29</v>
      </c>
      <c r="N61" s="37">
        <v>181.7</v>
      </c>
      <c r="O61" s="38">
        <f t="shared" si="2"/>
        <v>1453.6</v>
      </c>
      <c r="P61" s="39">
        <f t="shared" si="3"/>
        <v>175.61888888888885</v>
      </c>
      <c r="Q61" s="40">
        <f t="shared" si="4"/>
        <v>-0.58586459315307593</v>
      </c>
      <c r="R61" s="39">
        <f t="shared" si="5"/>
        <v>1396.72</v>
      </c>
      <c r="S61" s="41"/>
      <c r="U61" s="42">
        <f t="shared" si="6"/>
        <v>-3</v>
      </c>
      <c r="V61" s="42">
        <f t="shared" si="7"/>
        <v>0</v>
      </c>
      <c r="W61" s="42">
        <f t="shared" si="8"/>
        <v>3</v>
      </c>
    </row>
    <row r="62" spans="1:23" s="28" customFormat="1" ht="73.5" customHeight="1" x14ac:dyDescent="0.2">
      <c r="A62" s="30">
        <v>51</v>
      </c>
      <c r="B62" s="31" t="s">
        <v>106</v>
      </c>
      <c r="C62" s="32" t="s">
        <v>25</v>
      </c>
      <c r="D62" s="33">
        <v>1</v>
      </c>
      <c r="E62" s="34">
        <v>756.08</v>
      </c>
      <c r="F62" s="45">
        <v>800.12</v>
      </c>
      <c r="G62" s="32" t="s">
        <v>27</v>
      </c>
      <c r="H62" s="37">
        <f>945.37/1.2</f>
        <v>787.80833333333339</v>
      </c>
      <c r="I62" s="38">
        <f t="shared" si="9"/>
        <v>787.80833333333339</v>
      </c>
      <c r="J62" s="38" t="s">
        <v>28</v>
      </c>
      <c r="K62" s="37">
        <v>799.9</v>
      </c>
      <c r="L62" s="38">
        <f t="shared" si="1"/>
        <v>799.9</v>
      </c>
      <c r="M62" s="32" t="s">
        <v>29</v>
      </c>
      <c r="N62" s="37">
        <v>820.4</v>
      </c>
      <c r="O62" s="38">
        <f t="shared" si="2"/>
        <v>820.4</v>
      </c>
      <c r="P62" s="39">
        <f t="shared" si="3"/>
        <v>802.7027777777779</v>
      </c>
      <c r="Q62" s="40">
        <f t="shared" si="4"/>
        <v>-0.32176016444444144</v>
      </c>
      <c r="R62" s="39">
        <f t="shared" si="5"/>
        <v>800.12</v>
      </c>
      <c r="S62" s="41"/>
      <c r="U62" s="42">
        <f t="shared" si="6"/>
        <v>-2</v>
      </c>
      <c r="V62" s="42">
        <f t="shared" si="7"/>
        <v>0</v>
      </c>
      <c r="W62" s="42">
        <f t="shared" si="8"/>
        <v>2</v>
      </c>
    </row>
    <row r="63" spans="1:23" s="28" customFormat="1" ht="73.5" customHeight="1" x14ac:dyDescent="0.2">
      <c r="A63" s="30">
        <v>52</v>
      </c>
      <c r="B63" s="31" t="s">
        <v>107</v>
      </c>
      <c r="C63" s="32" t="s">
        <v>45</v>
      </c>
      <c r="D63" s="33">
        <v>30.2</v>
      </c>
      <c r="E63" s="34">
        <v>5937.5</v>
      </c>
      <c r="F63" s="45">
        <v>12456.8</v>
      </c>
      <c r="G63" s="32" t="s">
        <v>39</v>
      </c>
      <c r="H63" s="37">
        <f>5074.31*1000/400</f>
        <v>12685.775</v>
      </c>
      <c r="I63" s="38">
        <f t="shared" si="9"/>
        <v>383110.40499999997</v>
      </c>
      <c r="J63" s="32" t="s">
        <v>40</v>
      </c>
      <c r="K63" s="37">
        <f>5560*1000/400/1.2</f>
        <v>11583.333333333334</v>
      </c>
      <c r="L63" s="38">
        <f t="shared" si="1"/>
        <v>349816.66666666669</v>
      </c>
      <c r="M63" s="32" t="s">
        <v>108</v>
      </c>
      <c r="N63" s="37">
        <f>5299.17*1000/400</f>
        <v>13247.924999999999</v>
      </c>
      <c r="O63" s="38">
        <f t="shared" si="2"/>
        <v>400087.33499999996</v>
      </c>
      <c r="P63" s="39">
        <f t="shared" si="3"/>
        <v>12505.677777777777</v>
      </c>
      <c r="Q63" s="40">
        <f t="shared" si="4"/>
        <v>-0.39084469187773152</v>
      </c>
      <c r="R63" s="39">
        <f t="shared" si="5"/>
        <v>376195.36</v>
      </c>
      <c r="S63" s="41"/>
      <c r="U63" s="42">
        <f t="shared" si="6"/>
        <v>1</v>
      </c>
      <c r="V63" s="42">
        <f t="shared" si="7"/>
        <v>-7</v>
      </c>
      <c r="W63" s="42">
        <f t="shared" si="8"/>
        <v>6</v>
      </c>
    </row>
    <row r="64" spans="1:23" s="28" customFormat="1" ht="73.5" customHeight="1" x14ac:dyDescent="0.2">
      <c r="A64" s="30">
        <v>53</v>
      </c>
      <c r="B64" s="31" t="s">
        <v>109</v>
      </c>
      <c r="C64" s="32" t="s">
        <v>25</v>
      </c>
      <c r="D64" s="33">
        <v>40</v>
      </c>
      <c r="E64" s="34">
        <v>3.54</v>
      </c>
      <c r="F64" s="45">
        <v>5.1100000000000003</v>
      </c>
      <c r="G64" s="32" t="s">
        <v>39</v>
      </c>
      <c r="H64" s="37">
        <v>4.83</v>
      </c>
      <c r="I64" s="38">
        <f t="shared" si="9"/>
        <v>193.2</v>
      </c>
      <c r="J64" s="32" t="s">
        <v>54</v>
      </c>
      <c r="K64" s="37">
        <v>5.12</v>
      </c>
      <c r="L64" s="38">
        <f t="shared" si="1"/>
        <v>204.8</v>
      </c>
      <c r="M64" s="38" t="s">
        <v>41</v>
      </c>
      <c r="N64" s="37">
        <v>5.8</v>
      </c>
      <c r="O64" s="38">
        <f t="shared" si="2"/>
        <v>232</v>
      </c>
      <c r="P64" s="39">
        <f t="shared" si="3"/>
        <v>5.25</v>
      </c>
      <c r="Q64" s="40">
        <f t="shared" si="4"/>
        <v>-2.6666666666666572</v>
      </c>
      <c r="R64" s="39">
        <f t="shared" si="5"/>
        <v>204.4</v>
      </c>
      <c r="S64" s="41"/>
      <c r="U64" s="42">
        <f t="shared" si="6"/>
        <v>-8</v>
      </c>
      <c r="V64" s="42">
        <f t="shared" si="7"/>
        <v>-2</v>
      </c>
      <c r="W64" s="42">
        <f t="shared" si="8"/>
        <v>10</v>
      </c>
    </row>
    <row r="65" spans="1:25" s="28" customFormat="1" ht="73.5" customHeight="1" x14ac:dyDescent="0.2">
      <c r="A65" s="30">
        <v>54</v>
      </c>
      <c r="B65" s="31" t="s">
        <v>110</v>
      </c>
      <c r="C65" s="32" t="s">
        <v>25</v>
      </c>
      <c r="D65" s="33">
        <v>20</v>
      </c>
      <c r="E65" s="34">
        <v>5.16</v>
      </c>
      <c r="F65" s="45">
        <v>7.08</v>
      </c>
      <c r="G65" s="32" t="s">
        <v>39</v>
      </c>
      <c r="H65" s="37">
        <v>6.95</v>
      </c>
      <c r="I65" s="38">
        <f t="shared" si="9"/>
        <v>139</v>
      </c>
      <c r="J65" s="32" t="s">
        <v>54</v>
      </c>
      <c r="K65" s="37">
        <v>7.32</v>
      </c>
      <c r="L65" s="38">
        <f t="shared" si="1"/>
        <v>146.4</v>
      </c>
      <c r="M65" s="38" t="s">
        <v>41</v>
      </c>
      <c r="N65" s="37">
        <v>7.13</v>
      </c>
      <c r="O65" s="38">
        <f t="shared" si="2"/>
        <v>142.6</v>
      </c>
      <c r="P65" s="39">
        <f t="shared" si="3"/>
        <v>7.1333333333333329</v>
      </c>
      <c r="Q65" s="40">
        <f t="shared" si="4"/>
        <v>-0.74766355140185681</v>
      </c>
      <c r="R65" s="39">
        <f t="shared" si="5"/>
        <v>141.6</v>
      </c>
      <c r="S65" s="41"/>
      <c r="U65" s="42">
        <f t="shared" si="6"/>
        <v>-3</v>
      </c>
      <c r="V65" s="42">
        <f t="shared" si="7"/>
        <v>3</v>
      </c>
      <c r="W65" s="42">
        <f t="shared" si="8"/>
        <v>0</v>
      </c>
    </row>
    <row r="66" spans="1:25" s="28" customFormat="1" ht="73.5" customHeight="1" x14ac:dyDescent="0.2">
      <c r="A66" s="30">
        <v>55</v>
      </c>
      <c r="B66" s="31" t="s">
        <v>111</v>
      </c>
      <c r="C66" s="32" t="s">
        <v>25</v>
      </c>
      <c r="D66" s="33">
        <v>480</v>
      </c>
      <c r="E66" s="34">
        <v>12.38</v>
      </c>
      <c r="F66" s="45">
        <v>18.600000000000001</v>
      </c>
      <c r="G66" s="32" t="s">
        <v>39</v>
      </c>
      <c r="H66" s="37">
        <v>18.07</v>
      </c>
      <c r="I66" s="38">
        <f t="shared" si="9"/>
        <v>8673.6</v>
      </c>
      <c r="J66" s="32" t="s">
        <v>54</v>
      </c>
      <c r="K66" s="37">
        <v>17.59</v>
      </c>
      <c r="L66" s="38">
        <f t="shared" si="1"/>
        <v>8443.2000000000007</v>
      </c>
      <c r="M66" s="38" t="s">
        <v>41</v>
      </c>
      <c r="N66" s="37">
        <v>21.07</v>
      </c>
      <c r="O66" s="38">
        <f t="shared" si="2"/>
        <v>10113.6</v>
      </c>
      <c r="P66" s="39">
        <f t="shared" si="3"/>
        <v>18.91</v>
      </c>
      <c r="Q66" s="40">
        <f t="shared" si="4"/>
        <v>-1.6393442622950687</v>
      </c>
      <c r="R66" s="39">
        <f t="shared" si="5"/>
        <v>8928</v>
      </c>
      <c r="S66" s="41"/>
      <c r="U66" s="42">
        <f t="shared" si="6"/>
        <v>-4</v>
      </c>
      <c r="V66" s="42">
        <f t="shared" si="7"/>
        <v>-7</v>
      </c>
      <c r="W66" s="42">
        <f t="shared" si="8"/>
        <v>11</v>
      </c>
    </row>
    <row r="67" spans="1:25" s="28" customFormat="1" ht="73.5" customHeight="1" x14ac:dyDescent="0.2">
      <c r="A67" s="30">
        <v>56</v>
      </c>
      <c r="B67" s="31" t="s">
        <v>112</v>
      </c>
      <c r="C67" s="32" t="s">
        <v>25</v>
      </c>
      <c r="D67" s="33">
        <v>1200</v>
      </c>
      <c r="E67" s="34">
        <v>25.04</v>
      </c>
      <c r="F67" s="45">
        <v>33.56</v>
      </c>
      <c r="G67" s="32" t="s">
        <v>39</v>
      </c>
      <c r="H67" s="37">
        <v>33.19</v>
      </c>
      <c r="I67" s="38">
        <f t="shared" si="9"/>
        <v>39828</v>
      </c>
      <c r="J67" s="32" t="s">
        <v>54</v>
      </c>
      <c r="K67" s="37">
        <v>36.54</v>
      </c>
      <c r="L67" s="38">
        <f t="shared" si="1"/>
        <v>43848</v>
      </c>
      <c r="M67" s="38" t="s">
        <v>41</v>
      </c>
      <c r="N67" s="37">
        <v>31.47</v>
      </c>
      <c r="O67" s="38">
        <f t="shared" si="2"/>
        <v>37764</v>
      </c>
      <c r="P67" s="39">
        <f t="shared" si="3"/>
        <v>33.733333333333327</v>
      </c>
      <c r="Q67" s="40">
        <f t="shared" si="4"/>
        <v>-0.51383399209484537</v>
      </c>
      <c r="R67" s="39">
        <f t="shared" si="5"/>
        <v>40272</v>
      </c>
      <c r="S67" s="41"/>
      <c r="U67" s="42">
        <f t="shared" si="6"/>
        <v>-2</v>
      </c>
      <c r="V67" s="42">
        <f t="shared" si="7"/>
        <v>8</v>
      </c>
      <c r="W67" s="42">
        <f t="shared" si="8"/>
        <v>-7</v>
      </c>
    </row>
    <row r="68" spans="1:25" s="28" customFormat="1" ht="73.5" customHeight="1" x14ac:dyDescent="0.2">
      <c r="A68" s="30">
        <v>57</v>
      </c>
      <c r="B68" s="31" t="s">
        <v>113</v>
      </c>
      <c r="C68" s="32" t="s">
        <v>25</v>
      </c>
      <c r="D68" s="33">
        <v>40</v>
      </c>
      <c r="E68" s="34">
        <v>0.98</v>
      </c>
      <c r="F68" s="45">
        <v>1.5</v>
      </c>
      <c r="G68" s="32" t="s">
        <v>39</v>
      </c>
      <c r="H68" s="37">
        <v>1.47</v>
      </c>
      <c r="I68" s="38">
        <f t="shared" si="9"/>
        <v>58.8</v>
      </c>
      <c r="J68" s="32" t="s">
        <v>54</v>
      </c>
      <c r="K68" s="37">
        <v>1.4</v>
      </c>
      <c r="L68" s="38">
        <f t="shared" si="1"/>
        <v>56</v>
      </c>
      <c r="M68" s="38" t="s">
        <v>41</v>
      </c>
      <c r="N68" s="37">
        <v>1.65</v>
      </c>
      <c r="O68" s="38">
        <f t="shared" si="2"/>
        <v>66</v>
      </c>
      <c r="P68" s="39">
        <f t="shared" si="3"/>
        <v>1.5066666666666666</v>
      </c>
      <c r="Q68" s="40">
        <f t="shared" si="4"/>
        <v>-0.44247787610619582</v>
      </c>
      <c r="R68" s="39">
        <f t="shared" si="5"/>
        <v>60</v>
      </c>
      <c r="S68" s="41"/>
      <c r="U68" s="42">
        <f t="shared" si="6"/>
        <v>-2</v>
      </c>
      <c r="V68" s="42">
        <f t="shared" si="7"/>
        <v>-7</v>
      </c>
      <c r="W68" s="42">
        <f t="shared" si="8"/>
        <v>10</v>
      </c>
    </row>
    <row r="69" spans="1:25" s="28" customFormat="1" ht="73.5" customHeight="1" x14ac:dyDescent="0.2">
      <c r="A69" s="30">
        <v>58</v>
      </c>
      <c r="B69" s="31" t="s">
        <v>114</v>
      </c>
      <c r="C69" s="32" t="s">
        <v>25</v>
      </c>
      <c r="D69" s="33">
        <v>30</v>
      </c>
      <c r="E69" s="34">
        <v>2.0499999999999998</v>
      </c>
      <c r="F69" s="45">
        <v>2.99</v>
      </c>
      <c r="G69" s="32" t="s">
        <v>39</v>
      </c>
      <c r="H69" s="37">
        <v>2.92</v>
      </c>
      <c r="I69" s="38">
        <f t="shared" si="9"/>
        <v>87.6</v>
      </c>
      <c r="J69" s="32" t="s">
        <v>54</v>
      </c>
      <c r="K69" s="37">
        <v>3.1</v>
      </c>
      <c r="L69" s="38">
        <f t="shared" si="1"/>
        <v>93</v>
      </c>
      <c r="M69" s="38" t="s">
        <v>41</v>
      </c>
      <c r="N69" s="37">
        <v>2.98</v>
      </c>
      <c r="O69" s="38">
        <f t="shared" si="2"/>
        <v>89.4</v>
      </c>
      <c r="P69" s="39">
        <f t="shared" si="3"/>
        <v>3</v>
      </c>
      <c r="Q69" s="40">
        <f t="shared" si="4"/>
        <v>-0.3333333333333286</v>
      </c>
      <c r="R69" s="39">
        <f t="shared" si="5"/>
        <v>89.7</v>
      </c>
      <c r="S69" s="41"/>
      <c r="U69" s="42">
        <f t="shared" si="6"/>
        <v>-3</v>
      </c>
      <c r="V69" s="42">
        <f t="shared" si="7"/>
        <v>3</v>
      </c>
      <c r="W69" s="42">
        <f t="shared" si="8"/>
        <v>-1</v>
      </c>
    </row>
    <row r="70" spans="1:25" s="28" customFormat="1" ht="73.5" hidden="1" customHeight="1" x14ac:dyDescent="0.2">
      <c r="A70" s="30">
        <v>62</v>
      </c>
      <c r="B70" s="31" t="s">
        <v>115</v>
      </c>
      <c r="C70" s="32" t="s">
        <v>25</v>
      </c>
      <c r="D70" s="33">
        <v>6</v>
      </c>
      <c r="E70" s="34">
        <v>208.33</v>
      </c>
      <c r="F70" s="35">
        <v>208.68</v>
      </c>
      <c r="G70" s="32" t="s">
        <v>39</v>
      </c>
      <c r="H70" s="37">
        <v>205.33</v>
      </c>
      <c r="I70" s="38">
        <f t="shared" si="9"/>
        <v>1231.98</v>
      </c>
      <c r="J70" s="32" t="s">
        <v>46</v>
      </c>
      <c r="K70" s="37">
        <v>211.47</v>
      </c>
      <c r="L70" s="38">
        <f t="shared" si="1"/>
        <v>1268.82</v>
      </c>
      <c r="M70" s="38" t="s">
        <v>41</v>
      </c>
      <c r="N70" s="37">
        <v>210.15</v>
      </c>
      <c r="O70" s="38">
        <f t="shared" si="2"/>
        <v>1260.9000000000001</v>
      </c>
      <c r="P70" s="39">
        <f t="shared" si="3"/>
        <v>208.98333333333335</v>
      </c>
      <c r="Q70" s="40">
        <f t="shared" si="4"/>
        <v>-0.14514714092032932</v>
      </c>
      <c r="R70" s="39">
        <f t="shared" si="5"/>
        <v>1252.08</v>
      </c>
      <c r="S70" s="47" t="s">
        <v>116</v>
      </c>
      <c r="U70" s="42">
        <f t="shared" si="6"/>
        <v>-2</v>
      </c>
      <c r="V70" s="42">
        <f t="shared" si="7"/>
        <v>1</v>
      </c>
      <c r="W70" s="42">
        <f t="shared" si="8"/>
        <v>1</v>
      </c>
      <c r="Y70" s="28">
        <v>60</v>
      </c>
    </row>
    <row r="71" spans="1:25" s="28" customFormat="1" ht="73.5" customHeight="1" x14ac:dyDescent="0.2">
      <c r="A71" s="30">
        <v>64</v>
      </c>
      <c r="B71" s="31" t="s">
        <v>117</v>
      </c>
      <c r="C71" s="32" t="s">
        <v>118</v>
      </c>
      <c r="D71" s="33">
        <v>135</v>
      </c>
      <c r="E71" s="34" t="s">
        <v>26</v>
      </c>
      <c r="F71" s="45">
        <v>203.5</v>
      </c>
      <c r="G71" s="32" t="s">
        <v>56</v>
      </c>
      <c r="H71" s="37">
        <v>197.36</v>
      </c>
      <c r="I71" s="38">
        <f t="shared" si="9"/>
        <v>26643.600000000002</v>
      </c>
      <c r="J71" s="32" t="s">
        <v>57</v>
      </c>
      <c r="K71" s="37">
        <v>220.92</v>
      </c>
      <c r="L71" s="38">
        <f t="shared" si="1"/>
        <v>29824.199999999997</v>
      </c>
      <c r="M71" s="32" t="s">
        <v>119</v>
      </c>
      <c r="N71" s="37">
        <v>193.78</v>
      </c>
      <c r="O71" s="38">
        <f t="shared" si="2"/>
        <v>26160.3</v>
      </c>
      <c r="P71" s="39">
        <f t="shared" si="3"/>
        <v>204.01999999999998</v>
      </c>
      <c r="Q71" s="40">
        <f t="shared" si="4"/>
        <v>-0.25487697284579269</v>
      </c>
      <c r="R71" s="39">
        <f t="shared" si="5"/>
        <v>27472.5</v>
      </c>
      <c r="S71" s="47"/>
      <c r="U71" s="42">
        <f t="shared" si="6"/>
        <v>-3</v>
      </c>
      <c r="V71" s="42">
        <f t="shared" si="7"/>
        <v>8</v>
      </c>
      <c r="W71" s="42">
        <f t="shared" si="8"/>
        <v>-5</v>
      </c>
    </row>
    <row r="72" spans="1:25" s="28" customFormat="1" ht="73.5" hidden="1" customHeight="1" x14ac:dyDescent="0.2">
      <c r="A72" s="30">
        <v>65</v>
      </c>
      <c r="B72" s="31" t="s">
        <v>120</v>
      </c>
      <c r="C72" s="32" t="s">
        <v>25</v>
      </c>
      <c r="D72" s="33">
        <v>6</v>
      </c>
      <c r="E72" s="34">
        <v>158357</v>
      </c>
      <c r="F72" s="35">
        <v>175500</v>
      </c>
      <c r="G72" s="32" t="s">
        <v>56</v>
      </c>
      <c r="H72" s="37">
        <v>167514.67000000001</v>
      </c>
      <c r="I72" s="38">
        <f t="shared" si="9"/>
        <v>1005088.02</v>
      </c>
      <c r="J72" s="32" t="s">
        <v>57</v>
      </c>
      <c r="K72" s="37">
        <v>184511.4</v>
      </c>
      <c r="L72" s="38">
        <f t="shared" si="1"/>
        <v>1107068.3999999999</v>
      </c>
      <c r="M72" s="32" t="s">
        <v>119</v>
      </c>
      <c r="N72" s="37">
        <v>175488.6</v>
      </c>
      <c r="O72" s="38">
        <f t="shared" si="2"/>
        <v>1052931.6000000001</v>
      </c>
      <c r="P72" s="39">
        <f t="shared" si="3"/>
        <v>175838.22333333336</v>
      </c>
      <c r="Q72" s="40">
        <f t="shared" si="4"/>
        <v>-0.19234915305769107</v>
      </c>
      <c r="R72" s="39">
        <f t="shared" si="5"/>
        <v>1053000</v>
      </c>
      <c r="S72" s="47" t="s">
        <v>116</v>
      </c>
      <c r="U72" s="42">
        <f t="shared" si="6"/>
        <v>-5</v>
      </c>
      <c r="V72" s="42">
        <f t="shared" si="7"/>
        <v>5</v>
      </c>
      <c r="W72" s="42">
        <f t="shared" si="8"/>
        <v>0</v>
      </c>
      <c r="Y72" s="28">
        <v>63</v>
      </c>
    </row>
    <row r="73" spans="1:25" s="28" customFormat="1" ht="73.5" customHeight="1" x14ac:dyDescent="0.2">
      <c r="A73" s="30">
        <v>66</v>
      </c>
      <c r="B73" s="31" t="s">
        <v>121</v>
      </c>
      <c r="C73" s="32" t="s">
        <v>25</v>
      </c>
      <c r="D73" s="33">
        <v>2</v>
      </c>
      <c r="E73" s="34" t="s">
        <v>26</v>
      </c>
      <c r="F73" s="45">
        <v>219</v>
      </c>
      <c r="G73" s="32" t="s">
        <v>27</v>
      </c>
      <c r="H73" s="37">
        <f>261.07/1.2</f>
        <v>217.55833333333334</v>
      </c>
      <c r="I73" s="38">
        <f t="shared" si="9"/>
        <v>435.11666666666667</v>
      </c>
      <c r="J73" s="38" t="s">
        <v>28</v>
      </c>
      <c r="K73" s="37">
        <v>221.09</v>
      </c>
      <c r="L73" s="38">
        <f t="shared" si="1"/>
        <v>442.18</v>
      </c>
      <c r="M73" s="32" t="s">
        <v>29</v>
      </c>
      <c r="N73" s="37">
        <v>220.74</v>
      </c>
      <c r="O73" s="38">
        <f t="shared" si="2"/>
        <v>441.48</v>
      </c>
      <c r="P73" s="39">
        <f t="shared" si="3"/>
        <v>219.79611111111112</v>
      </c>
      <c r="Q73" s="40">
        <f t="shared" si="4"/>
        <v>-0.36220436616763152</v>
      </c>
      <c r="R73" s="39">
        <f t="shared" si="5"/>
        <v>438</v>
      </c>
      <c r="S73" s="47"/>
      <c r="U73" s="42">
        <f t="shared" si="6"/>
        <v>-1</v>
      </c>
      <c r="V73" s="42">
        <f t="shared" si="7"/>
        <v>1</v>
      </c>
      <c r="W73" s="42">
        <f t="shared" si="8"/>
        <v>0</v>
      </c>
    </row>
    <row r="74" spans="1:25" s="28" customFormat="1" ht="73.5" customHeight="1" x14ac:dyDescent="0.2">
      <c r="A74" s="30">
        <v>67</v>
      </c>
      <c r="B74" s="31" t="s">
        <v>122</v>
      </c>
      <c r="C74" s="32" t="s">
        <v>25</v>
      </c>
      <c r="D74" s="33">
        <v>12</v>
      </c>
      <c r="E74" s="34">
        <v>9377.67</v>
      </c>
      <c r="F74" s="45">
        <v>14005.5</v>
      </c>
      <c r="G74" s="37" t="s">
        <v>67</v>
      </c>
      <c r="H74" s="37">
        <f>16424.57/1.2</f>
        <v>13687.141666666666</v>
      </c>
      <c r="I74" s="38">
        <f t="shared" si="9"/>
        <v>164245.70000000001</v>
      </c>
      <c r="J74" s="32" t="s">
        <v>46</v>
      </c>
      <c r="K74" s="37">
        <v>13897.5</v>
      </c>
      <c r="L74" s="38">
        <f t="shared" si="1"/>
        <v>166770</v>
      </c>
      <c r="M74" s="32" t="s">
        <v>119</v>
      </c>
      <c r="N74" s="37">
        <v>14510.42</v>
      </c>
      <c r="O74" s="38">
        <f t="shared" si="2"/>
        <v>174125.04</v>
      </c>
      <c r="P74" s="39">
        <f t="shared" si="3"/>
        <v>14031.687222222223</v>
      </c>
      <c r="Q74" s="40">
        <f t="shared" si="4"/>
        <v>-0.18662917586097194</v>
      </c>
      <c r="R74" s="39">
        <f t="shared" si="5"/>
        <v>168066</v>
      </c>
      <c r="S74" s="48"/>
      <c r="U74" s="42">
        <f t="shared" si="6"/>
        <v>-2</v>
      </c>
      <c r="V74" s="42">
        <f t="shared" si="7"/>
        <v>-1</v>
      </c>
      <c r="W74" s="42">
        <f t="shared" si="8"/>
        <v>3</v>
      </c>
    </row>
    <row r="75" spans="1:25" s="28" customFormat="1" ht="73.5" customHeight="1" x14ac:dyDescent="0.2">
      <c r="A75" s="30">
        <v>68</v>
      </c>
      <c r="B75" s="31" t="s">
        <v>123</v>
      </c>
      <c r="C75" s="32" t="s">
        <v>25</v>
      </c>
      <c r="D75" s="33">
        <v>10</v>
      </c>
      <c r="E75" s="34">
        <v>1536.24</v>
      </c>
      <c r="F75" s="45">
        <v>1705.6</v>
      </c>
      <c r="G75" s="32" t="s">
        <v>27</v>
      </c>
      <c r="H75" s="37">
        <f>2031.58/1.2</f>
        <v>1692.9833333333333</v>
      </c>
      <c r="I75" s="38">
        <f t="shared" si="9"/>
        <v>16929.833333333332</v>
      </c>
      <c r="J75" s="38" t="s">
        <v>28</v>
      </c>
      <c r="K75" s="37">
        <v>1709.88</v>
      </c>
      <c r="L75" s="38">
        <f t="shared" si="1"/>
        <v>17098.800000000003</v>
      </c>
      <c r="M75" s="32" t="s">
        <v>29</v>
      </c>
      <c r="N75" s="37">
        <v>1726.06</v>
      </c>
      <c r="O75" s="38">
        <f t="shared" si="2"/>
        <v>17260.599999999999</v>
      </c>
      <c r="P75" s="39">
        <f t="shared" si="3"/>
        <v>1709.6411111111113</v>
      </c>
      <c r="Q75" s="40">
        <f t="shared" si="4"/>
        <v>-0.23637189611595488</v>
      </c>
      <c r="R75" s="39">
        <f t="shared" si="5"/>
        <v>17056</v>
      </c>
      <c r="S75" s="48"/>
      <c r="U75" s="42">
        <f t="shared" si="6"/>
        <v>-1</v>
      </c>
      <c r="V75" s="42">
        <f t="shared" si="7"/>
        <v>0</v>
      </c>
      <c r="W75" s="42">
        <f t="shared" si="8"/>
        <v>1</v>
      </c>
    </row>
    <row r="76" spans="1:25" s="28" customFormat="1" ht="73.5" customHeight="1" x14ac:dyDescent="0.2">
      <c r="A76" s="30">
        <v>69</v>
      </c>
      <c r="B76" s="31" t="s">
        <v>124</v>
      </c>
      <c r="C76" s="32" t="s">
        <v>25</v>
      </c>
      <c r="D76" s="33">
        <v>3</v>
      </c>
      <c r="E76" s="34">
        <v>1937.79</v>
      </c>
      <c r="F76" s="45">
        <v>2340</v>
      </c>
      <c r="G76" s="32" t="s">
        <v>27</v>
      </c>
      <c r="H76" s="37">
        <f>2816.81/1.2</f>
        <v>2347.3416666666667</v>
      </c>
      <c r="I76" s="38">
        <f t="shared" ref="I76:I94" si="10">D76*H76</f>
        <v>7042.0249999999996</v>
      </c>
      <c r="J76" s="38" t="s">
        <v>28</v>
      </c>
      <c r="K76" s="37">
        <v>2317.52</v>
      </c>
      <c r="L76" s="38">
        <f t="shared" ref="L76:L139" si="11">D76*K76</f>
        <v>6952.5599999999995</v>
      </c>
      <c r="M76" s="32" t="s">
        <v>29</v>
      </c>
      <c r="N76" s="37">
        <v>2358.33</v>
      </c>
      <c r="O76" s="38">
        <f t="shared" ref="O76:O139" si="12">D76*N76</f>
        <v>7074.99</v>
      </c>
      <c r="P76" s="39">
        <f t="shared" ref="P76:P139" si="13">AVERAGE(H76,K76,N76)</f>
        <v>2341.0638888888889</v>
      </c>
      <c r="Q76" s="40">
        <f t="shared" ref="Q76:Q139" si="14">F76*100/P76-100</f>
        <v>-4.5444675557050118E-2</v>
      </c>
      <c r="R76" s="39">
        <f t="shared" ref="R76:R139" si="15">D76*F76</f>
        <v>7020</v>
      </c>
      <c r="S76" s="41"/>
      <c r="U76" s="42">
        <f t="shared" ref="U76:U139" si="16">ROUND(H76*100/P76-100,0)</f>
        <v>0</v>
      </c>
      <c r="V76" s="42">
        <f t="shared" ref="V76:V139" si="17">ROUND(K76*100/P76-100,0)</f>
        <v>-1</v>
      </c>
      <c r="W76" s="42">
        <f t="shared" ref="W76:W139" si="18">ROUND(N76*100/P76-100,0)</f>
        <v>1</v>
      </c>
    </row>
    <row r="77" spans="1:25" s="28" customFormat="1" ht="73.5" customHeight="1" x14ac:dyDescent="0.2">
      <c r="A77" s="30">
        <v>70</v>
      </c>
      <c r="B77" s="31" t="s">
        <v>125</v>
      </c>
      <c r="C77" s="32" t="s">
        <v>25</v>
      </c>
      <c r="D77" s="33">
        <v>15</v>
      </c>
      <c r="E77" s="34">
        <v>5173.82</v>
      </c>
      <c r="F77" s="45">
        <v>5605.6</v>
      </c>
      <c r="G77" s="32" t="s">
        <v>27</v>
      </c>
      <c r="H77" s="37">
        <f>6814.33/1.2</f>
        <v>5678.6083333333336</v>
      </c>
      <c r="I77" s="38">
        <f t="shared" si="10"/>
        <v>85179.125</v>
      </c>
      <c r="J77" s="38" t="s">
        <v>28</v>
      </c>
      <c r="K77" s="37">
        <v>5594.41</v>
      </c>
      <c r="L77" s="38">
        <f t="shared" si="11"/>
        <v>83916.15</v>
      </c>
      <c r="M77" s="32" t="s">
        <v>29</v>
      </c>
      <c r="N77" s="37">
        <v>5611.85</v>
      </c>
      <c r="O77" s="38">
        <f t="shared" si="12"/>
        <v>84177.75</v>
      </c>
      <c r="P77" s="39">
        <f t="shared" si="13"/>
        <v>5628.2894444444437</v>
      </c>
      <c r="Q77" s="40">
        <f t="shared" si="14"/>
        <v>-0.40313215353272369</v>
      </c>
      <c r="R77" s="39">
        <f t="shared" si="15"/>
        <v>84084</v>
      </c>
      <c r="S77" s="41"/>
      <c r="U77" s="42">
        <f t="shared" si="16"/>
        <v>1</v>
      </c>
      <c r="V77" s="42">
        <f t="shared" si="17"/>
        <v>-1</v>
      </c>
      <c r="W77" s="42">
        <f t="shared" si="18"/>
        <v>0</v>
      </c>
    </row>
    <row r="78" spans="1:25" s="28" customFormat="1" ht="73.5" customHeight="1" x14ac:dyDescent="0.2">
      <c r="A78" s="30">
        <v>71</v>
      </c>
      <c r="B78" s="31" t="s">
        <v>126</v>
      </c>
      <c r="C78" s="32" t="s">
        <v>25</v>
      </c>
      <c r="D78" s="33">
        <v>14</v>
      </c>
      <c r="E78" s="34">
        <v>2701.29</v>
      </c>
      <c r="F78" s="45">
        <v>3200.5</v>
      </c>
      <c r="G78" s="32" t="s">
        <v>27</v>
      </c>
      <c r="H78" s="37">
        <f>3807.04/1.2</f>
        <v>3172.5333333333333</v>
      </c>
      <c r="I78" s="38">
        <f t="shared" si="10"/>
        <v>44415.466666666667</v>
      </c>
      <c r="J78" s="38" t="s">
        <v>28</v>
      </c>
      <c r="K78" s="37">
        <v>3199.28</v>
      </c>
      <c r="L78" s="38">
        <f t="shared" si="11"/>
        <v>44789.920000000006</v>
      </c>
      <c r="M78" s="32" t="s">
        <v>29</v>
      </c>
      <c r="N78" s="37">
        <v>3253.76</v>
      </c>
      <c r="O78" s="38">
        <f t="shared" si="12"/>
        <v>45552.639999999999</v>
      </c>
      <c r="P78" s="39">
        <f t="shared" si="13"/>
        <v>3208.5244444444447</v>
      </c>
      <c r="Q78" s="40">
        <f t="shared" si="14"/>
        <v>-0.25009765652055194</v>
      </c>
      <c r="R78" s="39">
        <f t="shared" si="15"/>
        <v>44807</v>
      </c>
      <c r="S78" s="41"/>
      <c r="U78" s="42">
        <f t="shared" si="16"/>
        <v>-1</v>
      </c>
      <c r="V78" s="42">
        <f t="shared" si="17"/>
        <v>0</v>
      </c>
      <c r="W78" s="42">
        <f t="shared" si="18"/>
        <v>1</v>
      </c>
    </row>
    <row r="79" spans="1:25" s="28" customFormat="1" ht="73.5" customHeight="1" x14ac:dyDescent="0.2">
      <c r="A79" s="30">
        <v>72</v>
      </c>
      <c r="B79" s="31" t="s">
        <v>127</v>
      </c>
      <c r="C79" s="32" t="s">
        <v>25</v>
      </c>
      <c r="D79" s="33">
        <v>10</v>
      </c>
      <c r="E79" s="34">
        <v>4624.53</v>
      </c>
      <c r="F79" s="45">
        <v>5345.3</v>
      </c>
      <c r="G79" s="32" t="s">
        <v>27</v>
      </c>
      <c r="H79" s="37">
        <f>6364.89/1.2</f>
        <v>5304.0750000000007</v>
      </c>
      <c r="I79" s="38">
        <f t="shared" si="10"/>
        <v>53040.750000000007</v>
      </c>
      <c r="J79" s="38" t="s">
        <v>28</v>
      </c>
      <c r="K79" s="37">
        <v>5388.67</v>
      </c>
      <c r="L79" s="38">
        <f t="shared" si="11"/>
        <v>53886.7</v>
      </c>
      <c r="M79" s="32" t="s">
        <v>29</v>
      </c>
      <c r="N79" s="37">
        <v>5357.13</v>
      </c>
      <c r="O79" s="38">
        <f t="shared" si="12"/>
        <v>53571.3</v>
      </c>
      <c r="P79" s="39">
        <f t="shared" si="13"/>
        <v>5349.958333333333</v>
      </c>
      <c r="Q79" s="40">
        <f t="shared" si="14"/>
        <v>-8.7072329223744305E-2</v>
      </c>
      <c r="R79" s="39">
        <f t="shared" si="15"/>
        <v>53453</v>
      </c>
      <c r="S79" s="41"/>
      <c r="U79" s="42">
        <f t="shared" si="16"/>
        <v>-1</v>
      </c>
      <c r="V79" s="42">
        <f t="shared" si="17"/>
        <v>1</v>
      </c>
      <c r="W79" s="42">
        <f t="shared" si="18"/>
        <v>0</v>
      </c>
    </row>
    <row r="80" spans="1:25" s="28" customFormat="1" ht="73.5" customHeight="1" x14ac:dyDescent="0.2">
      <c r="A80" s="30">
        <v>74</v>
      </c>
      <c r="B80" s="31" t="s">
        <v>128</v>
      </c>
      <c r="C80" s="32" t="s">
        <v>25</v>
      </c>
      <c r="D80" s="33">
        <v>76</v>
      </c>
      <c r="E80" s="34">
        <v>5161.74</v>
      </c>
      <c r="F80" s="45">
        <v>5560.15</v>
      </c>
      <c r="G80" s="32" t="s">
        <v>27</v>
      </c>
      <c r="H80" s="37">
        <f>6612.37/1.2</f>
        <v>5510.3083333333334</v>
      </c>
      <c r="I80" s="38">
        <f t="shared" si="10"/>
        <v>418783.43333333335</v>
      </c>
      <c r="J80" s="38" t="s">
        <v>28</v>
      </c>
      <c r="K80" s="37">
        <v>5580.04</v>
      </c>
      <c r="L80" s="38">
        <f t="shared" si="11"/>
        <v>424083.04</v>
      </c>
      <c r="M80" s="32" t="s">
        <v>29</v>
      </c>
      <c r="N80" s="37">
        <v>5607.97</v>
      </c>
      <c r="O80" s="38">
        <f t="shared" si="12"/>
        <v>426205.72000000003</v>
      </c>
      <c r="P80" s="39">
        <f t="shared" si="13"/>
        <v>5566.1061111111112</v>
      </c>
      <c r="Q80" s="40">
        <f t="shared" si="14"/>
        <v>-0.10700678341761716</v>
      </c>
      <c r="R80" s="39">
        <f t="shared" si="15"/>
        <v>422571.39999999997</v>
      </c>
      <c r="S80" s="41"/>
      <c r="U80" s="42">
        <f t="shared" si="16"/>
        <v>-1</v>
      </c>
      <c r="V80" s="42">
        <f t="shared" si="17"/>
        <v>0</v>
      </c>
      <c r="W80" s="42">
        <f t="shared" si="18"/>
        <v>1</v>
      </c>
    </row>
    <row r="81" spans="1:25" s="28" customFormat="1" ht="73.5" customHeight="1" x14ac:dyDescent="0.2">
      <c r="A81" s="30">
        <v>75</v>
      </c>
      <c r="B81" s="31" t="s">
        <v>129</v>
      </c>
      <c r="C81" s="32" t="s">
        <v>25</v>
      </c>
      <c r="D81" s="33">
        <v>5</v>
      </c>
      <c r="E81" s="34">
        <v>316.82</v>
      </c>
      <c r="F81" s="45">
        <v>543.5</v>
      </c>
      <c r="G81" s="32" t="s">
        <v>27</v>
      </c>
      <c r="H81" s="37">
        <f>638.2/1.2</f>
        <v>531.83333333333337</v>
      </c>
      <c r="I81" s="38">
        <f t="shared" si="10"/>
        <v>2659.166666666667</v>
      </c>
      <c r="J81" s="38" t="s">
        <v>28</v>
      </c>
      <c r="K81" s="37">
        <f>671.58/1.2</f>
        <v>559.65000000000009</v>
      </c>
      <c r="L81" s="38">
        <f t="shared" si="11"/>
        <v>2798.2500000000005</v>
      </c>
      <c r="M81" s="32" t="s">
        <v>29</v>
      </c>
      <c r="N81" s="37">
        <v>541.09</v>
      </c>
      <c r="O81" s="38">
        <f t="shared" si="12"/>
        <v>2705.4500000000003</v>
      </c>
      <c r="P81" s="39">
        <f t="shared" si="13"/>
        <v>544.19111111111124</v>
      </c>
      <c r="Q81" s="40">
        <f t="shared" si="14"/>
        <v>-0.1269978683959323</v>
      </c>
      <c r="R81" s="39">
        <f t="shared" si="15"/>
        <v>2717.5</v>
      </c>
      <c r="S81" s="41"/>
      <c r="U81" s="42">
        <f t="shared" si="16"/>
        <v>-2</v>
      </c>
      <c r="V81" s="42">
        <f t="shared" si="17"/>
        <v>3</v>
      </c>
      <c r="W81" s="42">
        <f t="shared" si="18"/>
        <v>-1</v>
      </c>
    </row>
    <row r="82" spans="1:25" s="28" customFormat="1" ht="73.5" customHeight="1" x14ac:dyDescent="0.2">
      <c r="A82" s="30">
        <v>77</v>
      </c>
      <c r="B82" s="31" t="s">
        <v>130</v>
      </c>
      <c r="C82" s="32" t="s">
        <v>25</v>
      </c>
      <c r="D82" s="33" t="s">
        <v>131</v>
      </c>
      <c r="E82" s="34" t="s">
        <v>26</v>
      </c>
      <c r="F82" s="45">
        <v>0.94</v>
      </c>
      <c r="G82" s="32" t="s">
        <v>39</v>
      </c>
      <c r="H82" s="37">
        <f>88.7/100</f>
        <v>0.88700000000000001</v>
      </c>
      <c r="I82" s="38">
        <f t="shared" si="10"/>
        <v>7096</v>
      </c>
      <c r="J82" s="32" t="s">
        <v>54</v>
      </c>
      <c r="K82" s="37">
        <v>0.94</v>
      </c>
      <c r="L82" s="38">
        <f t="shared" si="11"/>
        <v>7520</v>
      </c>
      <c r="M82" s="38" t="s">
        <v>41</v>
      </c>
      <c r="N82" s="37">
        <v>1.02</v>
      </c>
      <c r="O82" s="38">
        <f t="shared" si="12"/>
        <v>8160</v>
      </c>
      <c r="P82" s="39">
        <f t="shared" si="13"/>
        <v>0.94899999999999995</v>
      </c>
      <c r="Q82" s="40">
        <f t="shared" si="14"/>
        <v>-0.94836670179135751</v>
      </c>
      <c r="R82" s="39">
        <f t="shared" si="15"/>
        <v>7520</v>
      </c>
      <c r="S82" s="41"/>
      <c r="U82" s="42">
        <f t="shared" si="16"/>
        <v>-7</v>
      </c>
      <c r="V82" s="42">
        <f t="shared" si="17"/>
        <v>-1</v>
      </c>
      <c r="W82" s="42">
        <f t="shared" si="18"/>
        <v>7</v>
      </c>
    </row>
    <row r="83" spans="1:25" s="28" customFormat="1" ht="73.5" customHeight="1" x14ac:dyDescent="0.2">
      <c r="A83" s="30">
        <v>78</v>
      </c>
      <c r="B83" s="31" t="s">
        <v>132</v>
      </c>
      <c r="C83" s="32" t="s">
        <v>25</v>
      </c>
      <c r="D83" s="33">
        <v>17</v>
      </c>
      <c r="E83" s="34">
        <v>506.55</v>
      </c>
      <c r="F83" s="45">
        <v>542.5</v>
      </c>
      <c r="G83" s="32" t="s">
        <v>27</v>
      </c>
      <c r="H83" s="37">
        <f>609.85/1.2</f>
        <v>508.20833333333337</v>
      </c>
      <c r="I83" s="38">
        <f t="shared" si="10"/>
        <v>8639.5416666666679</v>
      </c>
      <c r="J83" s="38" t="s">
        <v>28</v>
      </c>
      <c r="K83" s="37">
        <v>553.87</v>
      </c>
      <c r="L83" s="38">
        <f t="shared" si="11"/>
        <v>9415.7900000000009</v>
      </c>
      <c r="M83" s="32" t="s">
        <v>29</v>
      </c>
      <c r="N83" s="37">
        <v>567.41999999999996</v>
      </c>
      <c r="O83" s="38">
        <f t="shared" si="12"/>
        <v>9646.14</v>
      </c>
      <c r="P83" s="39">
        <f t="shared" si="13"/>
        <v>543.16611111111115</v>
      </c>
      <c r="Q83" s="40">
        <f t="shared" si="14"/>
        <v>-0.12263488046934867</v>
      </c>
      <c r="R83" s="39">
        <f t="shared" si="15"/>
        <v>9222.5</v>
      </c>
      <c r="S83" s="48"/>
      <c r="U83" s="42">
        <f t="shared" si="16"/>
        <v>-6</v>
      </c>
      <c r="V83" s="42">
        <f t="shared" si="17"/>
        <v>2</v>
      </c>
      <c r="W83" s="42">
        <f t="shared" si="18"/>
        <v>4</v>
      </c>
    </row>
    <row r="84" spans="1:25" s="28" customFormat="1" ht="73.5" hidden="1" customHeight="1" x14ac:dyDescent="0.2">
      <c r="A84" s="30">
        <v>79</v>
      </c>
      <c r="B84" s="31" t="s">
        <v>133</v>
      </c>
      <c r="C84" s="32" t="s">
        <v>25</v>
      </c>
      <c r="D84" s="33">
        <v>10</v>
      </c>
      <c r="E84" s="34">
        <v>74.180000000000007</v>
      </c>
      <c r="F84" s="35">
        <v>37.5</v>
      </c>
      <c r="G84" s="32" t="s">
        <v>39</v>
      </c>
      <c r="H84" s="37">
        <v>33.14</v>
      </c>
      <c r="I84" s="38">
        <f t="shared" si="10"/>
        <v>331.4</v>
      </c>
      <c r="J84" s="32" t="s">
        <v>54</v>
      </c>
      <c r="K84" s="37">
        <v>39.51</v>
      </c>
      <c r="L84" s="38">
        <f t="shared" si="11"/>
        <v>395.09999999999997</v>
      </c>
      <c r="M84" s="32" t="s">
        <v>29</v>
      </c>
      <c r="N84" s="37">
        <v>40.06</v>
      </c>
      <c r="O84" s="38">
        <f t="shared" si="12"/>
        <v>400.6</v>
      </c>
      <c r="P84" s="39">
        <f t="shared" si="13"/>
        <v>37.57</v>
      </c>
      <c r="Q84" s="40">
        <f t="shared" si="14"/>
        <v>-0.18631887143997972</v>
      </c>
      <c r="R84" s="39">
        <f t="shared" si="15"/>
        <v>375</v>
      </c>
      <c r="S84" s="47" t="s">
        <v>116</v>
      </c>
      <c r="U84" s="42">
        <f t="shared" si="16"/>
        <v>-12</v>
      </c>
      <c r="V84" s="42">
        <f t="shared" si="17"/>
        <v>5</v>
      </c>
      <c r="W84" s="42">
        <f t="shared" si="18"/>
        <v>7</v>
      </c>
      <c r="Y84" s="28">
        <v>76</v>
      </c>
    </row>
    <row r="85" spans="1:25" s="28" customFormat="1" ht="73.5" customHeight="1" x14ac:dyDescent="0.2">
      <c r="A85" s="30">
        <v>80</v>
      </c>
      <c r="B85" s="31" t="s">
        <v>134</v>
      </c>
      <c r="C85" s="32" t="s">
        <v>25</v>
      </c>
      <c r="D85" s="33">
        <v>100</v>
      </c>
      <c r="E85" s="34">
        <v>85.13</v>
      </c>
      <c r="F85" s="45">
        <v>139</v>
      </c>
      <c r="G85" s="32" t="s">
        <v>27</v>
      </c>
      <c r="H85" s="37">
        <f>159.86/1.2</f>
        <v>133.2166666666667</v>
      </c>
      <c r="I85" s="38">
        <f t="shared" si="10"/>
        <v>13321.66666666667</v>
      </c>
      <c r="J85" s="38" t="s">
        <v>28</v>
      </c>
      <c r="K85" s="37">
        <v>140.09</v>
      </c>
      <c r="L85" s="38">
        <f t="shared" si="11"/>
        <v>14009</v>
      </c>
      <c r="M85" s="32" t="s">
        <v>29</v>
      </c>
      <c r="N85" s="37">
        <v>145.05000000000001</v>
      </c>
      <c r="O85" s="38">
        <f t="shared" si="12"/>
        <v>14505.000000000002</v>
      </c>
      <c r="P85" s="39">
        <f t="shared" si="13"/>
        <v>139.45222222222225</v>
      </c>
      <c r="Q85" s="40">
        <f t="shared" si="14"/>
        <v>-0.32428470125174158</v>
      </c>
      <c r="R85" s="39">
        <f t="shared" si="15"/>
        <v>13900</v>
      </c>
      <c r="S85" s="48"/>
      <c r="U85" s="42">
        <f t="shared" si="16"/>
        <v>-4</v>
      </c>
      <c r="V85" s="42">
        <f t="shared" si="17"/>
        <v>0</v>
      </c>
      <c r="W85" s="42">
        <f t="shared" si="18"/>
        <v>4</v>
      </c>
    </row>
    <row r="86" spans="1:25" s="28" customFormat="1" ht="73.5" customHeight="1" x14ac:dyDescent="0.2">
      <c r="A86" s="30">
        <v>81</v>
      </c>
      <c r="B86" s="31" t="s">
        <v>135</v>
      </c>
      <c r="C86" s="32" t="s">
        <v>25</v>
      </c>
      <c r="D86" s="33">
        <v>10</v>
      </c>
      <c r="E86" s="34">
        <v>2783.91</v>
      </c>
      <c r="F86" s="45">
        <v>2928.4</v>
      </c>
      <c r="G86" s="32" t="s">
        <v>27</v>
      </c>
      <c r="H86" s="37">
        <f>3373.67/1.2</f>
        <v>2811.3916666666669</v>
      </c>
      <c r="I86" s="38">
        <f t="shared" si="10"/>
        <v>28113.916666666668</v>
      </c>
      <c r="J86" s="38" t="s">
        <v>28</v>
      </c>
      <c r="K86" s="37">
        <f>3608.66/1.2</f>
        <v>3007.2166666666667</v>
      </c>
      <c r="L86" s="38">
        <f t="shared" si="11"/>
        <v>30072.166666666668</v>
      </c>
      <c r="M86" s="32" t="s">
        <v>29</v>
      </c>
      <c r="N86" s="37">
        <v>2973.43</v>
      </c>
      <c r="O86" s="38">
        <f t="shared" si="12"/>
        <v>29734.3</v>
      </c>
      <c r="P86" s="39">
        <f t="shared" si="13"/>
        <v>2930.6794444444445</v>
      </c>
      <c r="Q86" s="40">
        <f t="shared" si="14"/>
        <v>-7.777870243589291E-2</v>
      </c>
      <c r="R86" s="39">
        <f t="shared" si="15"/>
        <v>29284</v>
      </c>
      <c r="S86" s="48"/>
      <c r="U86" s="42">
        <f t="shared" si="16"/>
        <v>-4</v>
      </c>
      <c r="V86" s="42">
        <f t="shared" si="17"/>
        <v>3</v>
      </c>
      <c r="W86" s="42">
        <f t="shared" si="18"/>
        <v>1</v>
      </c>
    </row>
    <row r="87" spans="1:25" s="28" customFormat="1" ht="73.5" customHeight="1" x14ac:dyDescent="0.2">
      <c r="A87" s="30">
        <v>82</v>
      </c>
      <c r="B87" s="31" t="s">
        <v>136</v>
      </c>
      <c r="C87" s="32" t="s">
        <v>25</v>
      </c>
      <c r="D87" s="33">
        <v>31</v>
      </c>
      <c r="E87" s="34">
        <v>9908.74</v>
      </c>
      <c r="F87" s="45">
        <v>10103.6</v>
      </c>
      <c r="G87" s="32" t="s">
        <v>27</v>
      </c>
      <c r="H87" s="37">
        <f>12295.88/1.2</f>
        <v>10246.566666666666</v>
      </c>
      <c r="I87" s="38">
        <f t="shared" si="10"/>
        <v>317643.56666666665</v>
      </c>
      <c r="J87" s="38" t="s">
        <v>28</v>
      </c>
      <c r="K87" s="37">
        <f>11961.83/1.2</f>
        <v>9968.1916666666675</v>
      </c>
      <c r="L87" s="38">
        <f t="shared" si="11"/>
        <v>309013.94166666671</v>
      </c>
      <c r="M87" s="32" t="s">
        <v>29</v>
      </c>
      <c r="N87" s="37">
        <v>10105.82</v>
      </c>
      <c r="O87" s="38">
        <f t="shared" si="12"/>
        <v>313280.42</v>
      </c>
      <c r="P87" s="39">
        <f t="shared" si="13"/>
        <v>10106.859444444444</v>
      </c>
      <c r="Q87" s="40">
        <f t="shared" si="14"/>
        <v>-3.2249824610318001E-2</v>
      </c>
      <c r="R87" s="39">
        <f t="shared" si="15"/>
        <v>313211.60000000003</v>
      </c>
      <c r="S87" s="48"/>
      <c r="U87" s="42">
        <f t="shared" si="16"/>
        <v>1</v>
      </c>
      <c r="V87" s="42">
        <f t="shared" si="17"/>
        <v>-1</v>
      </c>
      <c r="W87" s="42">
        <f t="shared" si="18"/>
        <v>0</v>
      </c>
    </row>
    <row r="88" spans="1:25" s="28" customFormat="1" ht="73.5" customHeight="1" x14ac:dyDescent="0.2">
      <c r="A88" s="30">
        <v>83</v>
      </c>
      <c r="B88" s="31" t="s">
        <v>137</v>
      </c>
      <c r="C88" s="32" t="s">
        <v>25</v>
      </c>
      <c r="D88" s="33">
        <v>48</v>
      </c>
      <c r="E88" s="34">
        <v>1270.67</v>
      </c>
      <c r="F88" s="45">
        <v>1361.15</v>
      </c>
      <c r="G88" s="32" t="s">
        <v>27</v>
      </c>
      <c r="H88" s="37">
        <f>1705.33/1.2</f>
        <v>1421.1083333333333</v>
      </c>
      <c r="I88" s="38">
        <f t="shared" si="10"/>
        <v>68213.2</v>
      </c>
      <c r="J88" s="38" t="s">
        <v>28</v>
      </c>
      <c r="K88" s="37">
        <f>1553.32/1.2</f>
        <v>1294.4333333333334</v>
      </c>
      <c r="L88" s="38">
        <f t="shared" si="11"/>
        <v>62132.800000000003</v>
      </c>
      <c r="M88" s="32" t="s">
        <v>29</v>
      </c>
      <c r="N88" s="37">
        <v>1382.77</v>
      </c>
      <c r="O88" s="38">
        <f t="shared" si="12"/>
        <v>66372.959999999992</v>
      </c>
      <c r="P88" s="39">
        <f t="shared" si="13"/>
        <v>1366.1038888888888</v>
      </c>
      <c r="Q88" s="40">
        <f t="shared" si="14"/>
        <v>-0.36262900129199238</v>
      </c>
      <c r="R88" s="39">
        <f t="shared" si="15"/>
        <v>65335.200000000004</v>
      </c>
      <c r="S88" s="48"/>
      <c r="U88" s="42">
        <f t="shared" si="16"/>
        <v>4</v>
      </c>
      <c r="V88" s="42">
        <f t="shared" si="17"/>
        <v>-5</v>
      </c>
      <c r="W88" s="42">
        <f t="shared" si="18"/>
        <v>1</v>
      </c>
    </row>
    <row r="89" spans="1:25" s="28" customFormat="1" ht="73.5" customHeight="1" x14ac:dyDescent="0.2">
      <c r="A89" s="30">
        <v>84</v>
      </c>
      <c r="B89" s="31" t="s">
        <v>138</v>
      </c>
      <c r="C89" s="32" t="s">
        <v>25</v>
      </c>
      <c r="D89" s="33">
        <v>75</v>
      </c>
      <c r="E89" s="34">
        <v>118.26</v>
      </c>
      <c r="F89" s="45">
        <v>163.1</v>
      </c>
      <c r="G89" s="32" t="s">
        <v>27</v>
      </c>
      <c r="H89" s="37">
        <f>194.31/1.2</f>
        <v>161.92500000000001</v>
      </c>
      <c r="I89" s="38">
        <f t="shared" si="10"/>
        <v>12144.375</v>
      </c>
      <c r="J89" s="38" t="s">
        <v>28</v>
      </c>
      <c r="K89" s="37">
        <v>159.03</v>
      </c>
      <c r="L89" s="38">
        <f t="shared" si="11"/>
        <v>11927.25</v>
      </c>
      <c r="M89" s="32" t="s">
        <v>29</v>
      </c>
      <c r="N89" s="37">
        <v>168.77</v>
      </c>
      <c r="O89" s="38">
        <f t="shared" si="12"/>
        <v>12657.75</v>
      </c>
      <c r="P89" s="39">
        <f t="shared" si="13"/>
        <v>163.24166666666667</v>
      </c>
      <c r="Q89" s="40">
        <f t="shared" si="14"/>
        <v>-8.678339884629338E-2</v>
      </c>
      <c r="R89" s="39">
        <f t="shared" si="15"/>
        <v>12232.5</v>
      </c>
      <c r="S89" s="48"/>
      <c r="U89" s="42">
        <f t="shared" si="16"/>
        <v>-1</v>
      </c>
      <c r="V89" s="42">
        <f t="shared" si="17"/>
        <v>-3</v>
      </c>
      <c r="W89" s="42">
        <f t="shared" si="18"/>
        <v>3</v>
      </c>
    </row>
    <row r="90" spans="1:25" s="28" customFormat="1" ht="73.5" customHeight="1" x14ac:dyDescent="0.2">
      <c r="A90" s="30">
        <v>85</v>
      </c>
      <c r="B90" s="31" t="s">
        <v>139</v>
      </c>
      <c r="C90" s="32" t="s">
        <v>25</v>
      </c>
      <c r="D90" s="33">
        <v>75</v>
      </c>
      <c r="E90" s="34">
        <v>108.73</v>
      </c>
      <c r="F90" s="45">
        <v>134.19999999999999</v>
      </c>
      <c r="G90" s="32" t="s">
        <v>27</v>
      </c>
      <c r="H90" s="37">
        <f>157.25/1.2</f>
        <v>131.04166666666669</v>
      </c>
      <c r="I90" s="38">
        <f t="shared" si="10"/>
        <v>9828.1250000000018</v>
      </c>
      <c r="J90" s="38" t="s">
        <v>28</v>
      </c>
      <c r="K90" s="37">
        <v>138.74</v>
      </c>
      <c r="L90" s="38">
        <f t="shared" si="11"/>
        <v>10405.5</v>
      </c>
      <c r="M90" s="32" t="s">
        <v>29</v>
      </c>
      <c r="N90" s="37">
        <v>135.51</v>
      </c>
      <c r="O90" s="38">
        <f t="shared" si="12"/>
        <v>10163.25</v>
      </c>
      <c r="P90" s="39">
        <f t="shared" si="13"/>
        <v>135.09722222222223</v>
      </c>
      <c r="Q90" s="40">
        <f t="shared" si="14"/>
        <v>-0.66413077002161458</v>
      </c>
      <c r="R90" s="39">
        <f t="shared" si="15"/>
        <v>10065</v>
      </c>
      <c r="S90" s="41"/>
      <c r="U90" s="42">
        <f t="shared" si="16"/>
        <v>-3</v>
      </c>
      <c r="V90" s="42">
        <f t="shared" si="17"/>
        <v>3</v>
      </c>
      <c r="W90" s="42">
        <f t="shared" si="18"/>
        <v>0</v>
      </c>
    </row>
    <row r="91" spans="1:25" s="28" customFormat="1" ht="73.5" customHeight="1" x14ac:dyDescent="0.2">
      <c r="A91" s="30">
        <v>86</v>
      </c>
      <c r="B91" s="31" t="s">
        <v>140</v>
      </c>
      <c r="C91" s="32" t="s">
        <v>25</v>
      </c>
      <c r="D91" s="33" t="s">
        <v>141</v>
      </c>
      <c r="E91" s="34" t="s">
        <v>142</v>
      </c>
      <c r="F91" s="45">
        <v>1361.34</v>
      </c>
      <c r="G91" s="32" t="s">
        <v>27</v>
      </c>
      <c r="H91" s="37">
        <f>1705.33/1.2</f>
        <v>1421.1083333333333</v>
      </c>
      <c r="I91" s="38">
        <f t="shared" si="10"/>
        <v>29843.275000000001</v>
      </c>
      <c r="J91" s="38" t="s">
        <v>28</v>
      </c>
      <c r="K91" s="37">
        <f>1553.32/1.2</f>
        <v>1294.4333333333334</v>
      </c>
      <c r="L91" s="38">
        <f t="shared" si="11"/>
        <v>27183.100000000002</v>
      </c>
      <c r="M91" s="32" t="s">
        <v>29</v>
      </c>
      <c r="N91" s="37">
        <v>1382.77</v>
      </c>
      <c r="O91" s="38">
        <f t="shared" si="12"/>
        <v>29038.17</v>
      </c>
      <c r="P91" s="39">
        <f t="shared" si="13"/>
        <v>1366.1038888888888</v>
      </c>
      <c r="Q91" s="40">
        <f t="shared" si="14"/>
        <v>-0.3487208350430393</v>
      </c>
      <c r="R91" s="39">
        <f t="shared" si="15"/>
        <v>28588.14</v>
      </c>
      <c r="S91" s="41"/>
      <c r="U91" s="42">
        <f t="shared" si="16"/>
        <v>4</v>
      </c>
      <c r="V91" s="42">
        <f t="shared" si="17"/>
        <v>-5</v>
      </c>
      <c r="W91" s="42">
        <f t="shared" si="18"/>
        <v>1</v>
      </c>
    </row>
    <row r="92" spans="1:25" s="28" customFormat="1" ht="73.5" customHeight="1" x14ac:dyDescent="0.2">
      <c r="A92" s="30">
        <v>87</v>
      </c>
      <c r="B92" s="31" t="s">
        <v>143</v>
      </c>
      <c r="C92" s="32" t="s">
        <v>25</v>
      </c>
      <c r="D92" s="33">
        <v>274</v>
      </c>
      <c r="E92" s="34">
        <v>1481.84</v>
      </c>
      <c r="F92" s="45">
        <v>1765.2</v>
      </c>
      <c r="G92" s="32" t="s">
        <v>27</v>
      </c>
      <c r="H92" s="37">
        <f>2103.82/1.2</f>
        <v>1753.1833333333336</v>
      </c>
      <c r="I92" s="38">
        <f t="shared" si="10"/>
        <v>480372.2333333334</v>
      </c>
      <c r="J92" s="38" t="s">
        <v>28</v>
      </c>
      <c r="K92" s="37">
        <v>1799.62</v>
      </c>
      <c r="L92" s="38">
        <f t="shared" si="11"/>
        <v>493095.87999999995</v>
      </c>
      <c r="M92" s="32" t="s">
        <v>29</v>
      </c>
      <c r="N92" s="37">
        <v>1751.94</v>
      </c>
      <c r="O92" s="38">
        <f t="shared" si="12"/>
        <v>480031.56</v>
      </c>
      <c r="P92" s="39">
        <f t="shared" si="13"/>
        <v>1768.2477777777779</v>
      </c>
      <c r="Q92" s="40">
        <f t="shared" si="14"/>
        <v>-0.17236146517927864</v>
      </c>
      <c r="R92" s="39">
        <f t="shared" si="15"/>
        <v>483664.8</v>
      </c>
      <c r="S92" s="41"/>
      <c r="U92" s="42">
        <f t="shared" si="16"/>
        <v>-1</v>
      </c>
      <c r="V92" s="42">
        <f t="shared" si="17"/>
        <v>2</v>
      </c>
      <c r="W92" s="42">
        <f t="shared" si="18"/>
        <v>-1</v>
      </c>
    </row>
    <row r="93" spans="1:25" s="28" customFormat="1" ht="73.5" customHeight="1" x14ac:dyDescent="0.2">
      <c r="A93" s="30">
        <v>88</v>
      </c>
      <c r="B93" s="31" t="s">
        <v>144</v>
      </c>
      <c r="C93" s="32" t="s">
        <v>25</v>
      </c>
      <c r="D93" s="33">
        <v>50</v>
      </c>
      <c r="E93" s="34">
        <v>839.17</v>
      </c>
      <c r="F93" s="45">
        <v>832</v>
      </c>
      <c r="G93" s="32" t="s">
        <v>27</v>
      </c>
      <c r="H93" s="37">
        <f>983.07/1.2</f>
        <v>819.22500000000002</v>
      </c>
      <c r="I93" s="38">
        <f t="shared" si="10"/>
        <v>40961.25</v>
      </c>
      <c r="J93" s="38" t="s">
        <v>28</v>
      </c>
      <c r="K93" s="37">
        <v>825.76</v>
      </c>
      <c r="L93" s="38">
        <f t="shared" si="11"/>
        <v>41288</v>
      </c>
      <c r="M93" s="32" t="s">
        <v>29</v>
      </c>
      <c r="N93" s="37">
        <v>857.11</v>
      </c>
      <c r="O93" s="38">
        <f t="shared" si="12"/>
        <v>42855.5</v>
      </c>
      <c r="P93" s="39">
        <f t="shared" si="13"/>
        <v>834.03166666666675</v>
      </c>
      <c r="Q93" s="40">
        <f t="shared" si="14"/>
        <v>-0.243595866663739</v>
      </c>
      <c r="R93" s="39">
        <f t="shared" si="15"/>
        <v>41600</v>
      </c>
      <c r="S93" s="41"/>
      <c r="U93" s="42">
        <f t="shared" si="16"/>
        <v>-2</v>
      </c>
      <c r="V93" s="42">
        <f t="shared" si="17"/>
        <v>-1</v>
      </c>
      <c r="W93" s="42">
        <f t="shared" si="18"/>
        <v>3</v>
      </c>
    </row>
    <row r="94" spans="1:25" s="28" customFormat="1" ht="73.5" customHeight="1" x14ac:dyDescent="0.2">
      <c r="A94" s="30">
        <v>89</v>
      </c>
      <c r="B94" s="31" t="s">
        <v>145</v>
      </c>
      <c r="C94" s="32" t="s">
        <v>25</v>
      </c>
      <c r="D94" s="33">
        <v>459</v>
      </c>
      <c r="E94" s="34">
        <v>1644.39</v>
      </c>
      <c r="F94" s="45">
        <v>1660.5</v>
      </c>
      <c r="G94" s="32" t="s">
        <v>27</v>
      </c>
      <c r="H94" s="37">
        <f>1972.84/1.2</f>
        <v>1644.0333333333333</v>
      </c>
      <c r="I94" s="38">
        <f t="shared" si="10"/>
        <v>754611.29999999993</v>
      </c>
      <c r="J94" s="38" t="s">
        <v>28</v>
      </c>
      <c r="K94" s="37">
        <v>1689.93</v>
      </c>
      <c r="L94" s="38">
        <f t="shared" si="11"/>
        <v>775677.87</v>
      </c>
      <c r="M94" s="32" t="s">
        <v>29</v>
      </c>
      <c r="N94" s="37">
        <v>1650.69</v>
      </c>
      <c r="O94" s="38">
        <f t="shared" si="12"/>
        <v>757666.71000000008</v>
      </c>
      <c r="P94" s="39">
        <f t="shared" si="13"/>
        <v>1661.5511111111111</v>
      </c>
      <c r="Q94" s="40">
        <f t="shared" si="14"/>
        <v>-6.3260835257011649E-2</v>
      </c>
      <c r="R94" s="39">
        <f t="shared" si="15"/>
        <v>762169.5</v>
      </c>
      <c r="S94" s="41"/>
      <c r="U94" s="42">
        <f t="shared" si="16"/>
        <v>-1</v>
      </c>
      <c r="V94" s="42">
        <f t="shared" si="17"/>
        <v>2</v>
      </c>
      <c r="W94" s="42">
        <f t="shared" si="18"/>
        <v>-1</v>
      </c>
    </row>
    <row r="95" spans="1:25" s="28" customFormat="1" ht="73.5" customHeight="1" x14ac:dyDescent="0.2">
      <c r="A95" s="30">
        <v>90</v>
      </c>
      <c r="B95" s="31" t="s">
        <v>146</v>
      </c>
      <c r="C95" s="32" t="s">
        <v>147</v>
      </c>
      <c r="D95" s="33">
        <v>50</v>
      </c>
      <c r="E95" s="34">
        <v>109.43</v>
      </c>
      <c r="F95" s="45">
        <v>130.9</v>
      </c>
      <c r="G95" s="36" t="s">
        <v>90</v>
      </c>
      <c r="H95" s="37">
        <f>148.16/1.2</f>
        <v>123.46666666666667</v>
      </c>
      <c r="I95" s="38">
        <f>H95*D95</f>
        <v>6173.333333333333</v>
      </c>
      <c r="J95" s="36" t="s">
        <v>148</v>
      </c>
      <c r="K95" s="37">
        <f>151.19/1.2</f>
        <v>125.99166666666667</v>
      </c>
      <c r="L95" s="38">
        <f t="shared" si="11"/>
        <v>6299.5833333333339</v>
      </c>
      <c r="M95" s="36" t="s">
        <v>149</v>
      </c>
      <c r="N95" s="37">
        <f>173.44/1.2</f>
        <v>144.53333333333333</v>
      </c>
      <c r="O95" s="38">
        <f t="shared" si="12"/>
        <v>7226.666666666667</v>
      </c>
      <c r="P95" s="39">
        <f t="shared" si="13"/>
        <v>131.33055555555555</v>
      </c>
      <c r="Q95" s="40">
        <f t="shared" si="14"/>
        <v>-0.32784111339071842</v>
      </c>
      <c r="R95" s="39">
        <f t="shared" si="15"/>
        <v>6545</v>
      </c>
      <c r="S95" s="41"/>
      <c r="U95" s="42">
        <f t="shared" si="16"/>
        <v>-6</v>
      </c>
      <c r="V95" s="42">
        <f t="shared" si="17"/>
        <v>-4</v>
      </c>
      <c r="W95" s="42">
        <f t="shared" si="18"/>
        <v>10</v>
      </c>
    </row>
    <row r="96" spans="1:25" s="28" customFormat="1" ht="73.5" customHeight="1" x14ac:dyDescent="0.2">
      <c r="A96" s="30">
        <v>91</v>
      </c>
      <c r="B96" s="31" t="s">
        <v>150</v>
      </c>
      <c r="C96" s="32" t="s">
        <v>147</v>
      </c>
      <c r="D96" s="33">
        <v>20</v>
      </c>
      <c r="E96" s="34">
        <v>242.15</v>
      </c>
      <c r="F96" s="45">
        <v>256.7</v>
      </c>
      <c r="G96" s="36" t="s">
        <v>90</v>
      </c>
      <c r="H96" s="37">
        <f>327.19/1.2</f>
        <v>272.65833333333336</v>
      </c>
      <c r="I96" s="38">
        <f>H96*D96</f>
        <v>5453.166666666667</v>
      </c>
      <c r="J96" s="36" t="s">
        <v>148</v>
      </c>
      <c r="K96" s="37">
        <f>297.67/1.2</f>
        <v>248.05833333333337</v>
      </c>
      <c r="L96" s="38">
        <f t="shared" si="11"/>
        <v>4961.166666666667</v>
      </c>
      <c r="M96" s="36" t="s">
        <v>149</v>
      </c>
      <c r="N96" s="37">
        <f>305.74/1.2</f>
        <v>254.78333333333336</v>
      </c>
      <c r="O96" s="38">
        <f t="shared" si="12"/>
        <v>5095.666666666667</v>
      </c>
      <c r="P96" s="39">
        <f t="shared" si="13"/>
        <v>258.5</v>
      </c>
      <c r="Q96" s="40">
        <f t="shared" si="14"/>
        <v>-0.69632495164410102</v>
      </c>
      <c r="R96" s="39">
        <f t="shared" si="15"/>
        <v>5134</v>
      </c>
      <c r="S96" s="41"/>
      <c r="U96" s="42">
        <f t="shared" si="16"/>
        <v>5</v>
      </c>
      <c r="V96" s="42">
        <f t="shared" si="17"/>
        <v>-4</v>
      </c>
      <c r="W96" s="42">
        <f t="shared" si="18"/>
        <v>-1</v>
      </c>
    </row>
    <row r="97" spans="1:23" s="28" customFormat="1" ht="73.5" customHeight="1" x14ac:dyDescent="0.2">
      <c r="A97" s="30">
        <v>92</v>
      </c>
      <c r="B97" s="31" t="s">
        <v>151</v>
      </c>
      <c r="C97" s="32" t="s">
        <v>147</v>
      </c>
      <c r="D97" s="33">
        <v>50</v>
      </c>
      <c r="E97" s="34">
        <v>3006.84</v>
      </c>
      <c r="F97" s="45">
        <v>3181.4</v>
      </c>
      <c r="G97" s="36" t="s">
        <v>90</v>
      </c>
      <c r="H97" s="37">
        <f>3780.88/1.2</f>
        <v>3150.7333333333336</v>
      </c>
      <c r="I97" s="38">
        <f>H97*D97</f>
        <v>157536.66666666669</v>
      </c>
      <c r="J97" s="36" t="s">
        <v>148</v>
      </c>
      <c r="K97" s="37">
        <f>3719.2/1.2</f>
        <v>3099.3333333333335</v>
      </c>
      <c r="L97" s="38">
        <f t="shared" si="11"/>
        <v>154966.66666666669</v>
      </c>
      <c r="M97" s="36" t="s">
        <v>149</v>
      </c>
      <c r="N97" s="37">
        <f>3960.29/1.2</f>
        <v>3300.2416666666668</v>
      </c>
      <c r="O97" s="38">
        <f t="shared" si="12"/>
        <v>165012.08333333334</v>
      </c>
      <c r="P97" s="39">
        <f t="shared" si="13"/>
        <v>3183.4361111111116</v>
      </c>
      <c r="Q97" s="40">
        <f t="shared" si="14"/>
        <v>-6.3959540573307549E-2</v>
      </c>
      <c r="R97" s="39">
        <f t="shared" si="15"/>
        <v>159070</v>
      </c>
      <c r="S97" s="41"/>
      <c r="U97" s="42">
        <f t="shared" si="16"/>
        <v>-1</v>
      </c>
      <c r="V97" s="42">
        <f t="shared" si="17"/>
        <v>-3</v>
      </c>
      <c r="W97" s="42">
        <f t="shared" si="18"/>
        <v>4</v>
      </c>
    </row>
    <row r="98" spans="1:23" s="28" customFormat="1" ht="73.5" customHeight="1" x14ac:dyDescent="0.2">
      <c r="A98" s="30">
        <v>93</v>
      </c>
      <c r="B98" s="31" t="s">
        <v>152</v>
      </c>
      <c r="C98" s="32" t="s">
        <v>147</v>
      </c>
      <c r="D98" s="33">
        <v>20</v>
      </c>
      <c r="E98" s="34">
        <v>317.14</v>
      </c>
      <c r="F98" s="45">
        <v>348.66</v>
      </c>
      <c r="G98" s="36" t="s">
        <v>90</v>
      </c>
      <c r="H98" s="37">
        <f>424.93/1.2</f>
        <v>354.10833333333335</v>
      </c>
      <c r="I98" s="38">
        <f>H98*D98</f>
        <v>7082.166666666667</v>
      </c>
      <c r="J98" s="36" t="s">
        <v>148</v>
      </c>
      <c r="K98" s="37">
        <f>387.54/1.2</f>
        <v>322.95000000000005</v>
      </c>
      <c r="L98" s="38">
        <f t="shared" si="11"/>
        <v>6459.0000000000009</v>
      </c>
      <c r="M98" s="36" t="s">
        <v>149</v>
      </c>
      <c r="N98" s="37">
        <f>450.43/1.2</f>
        <v>375.35833333333335</v>
      </c>
      <c r="O98" s="38">
        <f t="shared" si="12"/>
        <v>7507.166666666667</v>
      </c>
      <c r="P98" s="39">
        <f t="shared" si="13"/>
        <v>350.8055555555556</v>
      </c>
      <c r="Q98" s="40">
        <f t="shared" si="14"/>
        <v>-0.61160820334153243</v>
      </c>
      <c r="R98" s="39">
        <f t="shared" si="15"/>
        <v>6973.2000000000007</v>
      </c>
      <c r="S98" s="41"/>
      <c r="U98" s="42">
        <f t="shared" si="16"/>
        <v>1</v>
      </c>
      <c r="V98" s="42">
        <f t="shared" si="17"/>
        <v>-8</v>
      </c>
      <c r="W98" s="42">
        <f t="shared" si="18"/>
        <v>7</v>
      </c>
    </row>
    <row r="99" spans="1:23" s="28" customFormat="1" ht="92.25" customHeight="1" x14ac:dyDescent="0.2">
      <c r="A99" s="30">
        <v>94</v>
      </c>
      <c r="B99" s="31" t="s">
        <v>153</v>
      </c>
      <c r="C99" s="32" t="s">
        <v>154</v>
      </c>
      <c r="D99" s="33">
        <v>0.5</v>
      </c>
      <c r="E99" s="34" t="s">
        <v>26</v>
      </c>
      <c r="F99" s="45">
        <f>253.56*1000</f>
        <v>253560</v>
      </c>
      <c r="G99" s="36" t="s">
        <v>90</v>
      </c>
      <c r="H99" s="37">
        <f>327.58/1.2*1000</f>
        <v>272983.33333333337</v>
      </c>
      <c r="I99" s="38">
        <f>H99*D99</f>
        <v>136491.66666666669</v>
      </c>
      <c r="J99" s="36" t="s">
        <v>148</v>
      </c>
      <c r="K99" s="37">
        <f>286.76/1.2*1000</f>
        <v>238966.66666666666</v>
      </c>
      <c r="L99" s="38">
        <f t="shared" si="11"/>
        <v>119483.33333333333</v>
      </c>
      <c r="M99" s="36" t="s">
        <v>149</v>
      </c>
      <c r="N99" s="37">
        <f>300.53/1.2*1000</f>
        <v>250441.66666666666</v>
      </c>
      <c r="O99" s="38">
        <f t="shared" si="12"/>
        <v>125220.83333333333</v>
      </c>
      <c r="P99" s="39">
        <f t="shared" si="13"/>
        <v>254130.55555555553</v>
      </c>
      <c r="Q99" s="40">
        <f t="shared" si="14"/>
        <v>-0.22451277230643996</v>
      </c>
      <c r="R99" s="39">
        <f t="shared" si="15"/>
        <v>126780</v>
      </c>
      <c r="S99" s="41"/>
      <c r="U99" s="42">
        <f t="shared" si="16"/>
        <v>7</v>
      </c>
      <c r="V99" s="42">
        <f t="shared" si="17"/>
        <v>-6</v>
      </c>
      <c r="W99" s="42">
        <f t="shared" si="18"/>
        <v>-1</v>
      </c>
    </row>
    <row r="100" spans="1:23" s="28" customFormat="1" ht="73.5" customHeight="1" x14ac:dyDescent="0.2">
      <c r="A100" s="30">
        <v>95</v>
      </c>
      <c r="B100" s="31" t="s">
        <v>155</v>
      </c>
      <c r="C100" s="32" t="s">
        <v>25</v>
      </c>
      <c r="D100" s="33">
        <v>4</v>
      </c>
      <c r="E100" s="34" t="s">
        <v>26</v>
      </c>
      <c r="F100" s="45">
        <v>122.9</v>
      </c>
      <c r="G100" s="32" t="s">
        <v>27</v>
      </c>
      <c r="H100" s="37">
        <f>142.75/1.2</f>
        <v>118.95833333333334</v>
      </c>
      <c r="I100" s="38">
        <f t="shared" ref="I100:I131" si="19">D100*H100</f>
        <v>475.83333333333337</v>
      </c>
      <c r="J100" s="38" t="s">
        <v>28</v>
      </c>
      <c r="K100" s="37">
        <v>122.36</v>
      </c>
      <c r="L100" s="38">
        <f t="shared" si="11"/>
        <v>489.44</v>
      </c>
      <c r="M100" s="32" t="s">
        <v>29</v>
      </c>
      <c r="N100" s="37">
        <v>129.47</v>
      </c>
      <c r="O100" s="38">
        <f t="shared" si="12"/>
        <v>517.88</v>
      </c>
      <c r="P100" s="39">
        <f t="shared" si="13"/>
        <v>123.5961111111111</v>
      </c>
      <c r="Q100" s="40">
        <f t="shared" si="14"/>
        <v>-0.56321441253544435</v>
      </c>
      <c r="R100" s="39">
        <f t="shared" si="15"/>
        <v>491.6</v>
      </c>
      <c r="S100" s="41"/>
      <c r="U100" s="42">
        <f t="shared" si="16"/>
        <v>-4</v>
      </c>
      <c r="V100" s="42">
        <f t="shared" si="17"/>
        <v>-1</v>
      </c>
      <c r="W100" s="42">
        <f t="shared" si="18"/>
        <v>5</v>
      </c>
    </row>
    <row r="101" spans="1:23" s="28" customFormat="1" ht="73.5" customHeight="1" x14ac:dyDescent="0.2">
      <c r="A101" s="30">
        <v>96</v>
      </c>
      <c r="B101" s="31" t="s">
        <v>156</v>
      </c>
      <c r="C101" s="32" t="s">
        <v>25</v>
      </c>
      <c r="D101" s="33" t="s">
        <v>157</v>
      </c>
      <c r="E101" s="34" t="s">
        <v>26</v>
      </c>
      <c r="F101" s="45">
        <v>296587.13</v>
      </c>
      <c r="G101" s="32" t="s">
        <v>56</v>
      </c>
      <c r="H101" s="37">
        <v>291473.5</v>
      </c>
      <c r="I101" s="38">
        <f t="shared" si="19"/>
        <v>1457367.5</v>
      </c>
      <c r="J101" s="32" t="s">
        <v>57</v>
      </c>
      <c r="K101" s="37">
        <v>301685</v>
      </c>
      <c r="L101" s="38">
        <f t="shared" si="11"/>
        <v>1508425</v>
      </c>
      <c r="M101" s="32" t="s">
        <v>119</v>
      </c>
      <c r="N101" s="37">
        <v>298069</v>
      </c>
      <c r="O101" s="38">
        <f t="shared" si="12"/>
        <v>1490345</v>
      </c>
      <c r="P101" s="39">
        <f t="shared" si="13"/>
        <v>297075.83333333331</v>
      </c>
      <c r="Q101" s="40">
        <f t="shared" si="14"/>
        <v>-0.16450457374800465</v>
      </c>
      <c r="R101" s="39">
        <f t="shared" si="15"/>
        <v>1482935.65</v>
      </c>
      <c r="S101" s="41"/>
      <c r="U101" s="42">
        <f t="shared" si="16"/>
        <v>-2</v>
      </c>
      <c r="V101" s="42">
        <f t="shared" si="17"/>
        <v>2</v>
      </c>
      <c r="W101" s="42">
        <f t="shared" si="18"/>
        <v>0</v>
      </c>
    </row>
    <row r="102" spans="1:23" s="28" customFormat="1" ht="73.5" customHeight="1" x14ac:dyDescent="0.2">
      <c r="A102" s="30">
        <v>97</v>
      </c>
      <c r="B102" s="31" t="s">
        <v>158</v>
      </c>
      <c r="C102" s="32" t="s">
        <v>25</v>
      </c>
      <c r="D102" s="33">
        <v>39</v>
      </c>
      <c r="E102" s="34" t="s">
        <v>26</v>
      </c>
      <c r="F102" s="45">
        <v>104.2</v>
      </c>
      <c r="G102" s="32" t="s">
        <v>27</v>
      </c>
      <c r="H102" s="37">
        <f>120.19/1.2</f>
        <v>100.15833333333333</v>
      </c>
      <c r="I102" s="38">
        <f t="shared" si="19"/>
        <v>3906.1749999999997</v>
      </c>
      <c r="J102" s="38" t="s">
        <v>28</v>
      </c>
      <c r="K102" s="37">
        <v>97.82</v>
      </c>
      <c r="L102" s="38">
        <f t="shared" si="11"/>
        <v>3814.9799999999996</v>
      </c>
      <c r="M102" s="32" t="s">
        <v>29</v>
      </c>
      <c r="N102" s="37">
        <v>115.39</v>
      </c>
      <c r="O102" s="38">
        <f t="shared" si="12"/>
        <v>4500.21</v>
      </c>
      <c r="P102" s="39">
        <f t="shared" si="13"/>
        <v>104.45611111111111</v>
      </c>
      <c r="Q102" s="40">
        <f t="shared" si="14"/>
        <v>-0.24518537822902431</v>
      </c>
      <c r="R102" s="39">
        <f t="shared" si="15"/>
        <v>4063.8</v>
      </c>
      <c r="S102" s="41"/>
      <c r="U102" s="42">
        <f t="shared" si="16"/>
        <v>-4</v>
      </c>
      <c r="V102" s="42">
        <f t="shared" si="17"/>
        <v>-6</v>
      </c>
      <c r="W102" s="42">
        <f t="shared" si="18"/>
        <v>10</v>
      </c>
    </row>
    <row r="103" spans="1:23" s="28" customFormat="1" ht="73.5" customHeight="1" x14ac:dyDescent="0.2">
      <c r="A103" s="30">
        <v>98</v>
      </c>
      <c r="B103" s="31" t="s">
        <v>159</v>
      </c>
      <c r="C103" s="32" t="s">
        <v>25</v>
      </c>
      <c r="D103" s="33">
        <v>65</v>
      </c>
      <c r="E103" s="34" t="s">
        <v>26</v>
      </c>
      <c r="F103" s="45">
        <v>125.1</v>
      </c>
      <c r="G103" s="32" t="s">
        <v>27</v>
      </c>
      <c r="H103" s="37">
        <f>143.32/1.2</f>
        <v>119.43333333333334</v>
      </c>
      <c r="I103" s="38">
        <f t="shared" si="19"/>
        <v>7763.166666666667</v>
      </c>
      <c r="J103" s="38" t="s">
        <v>28</v>
      </c>
      <c r="K103" s="37">
        <v>130.07</v>
      </c>
      <c r="L103" s="38">
        <f t="shared" si="11"/>
        <v>8454.5499999999993</v>
      </c>
      <c r="M103" s="32" t="s">
        <v>29</v>
      </c>
      <c r="N103" s="37">
        <v>127.08</v>
      </c>
      <c r="O103" s="38">
        <f t="shared" si="12"/>
        <v>8260.2000000000007</v>
      </c>
      <c r="P103" s="39">
        <f t="shared" si="13"/>
        <v>125.52777777777777</v>
      </c>
      <c r="Q103" s="40">
        <f t="shared" si="14"/>
        <v>-0.34078335915025093</v>
      </c>
      <c r="R103" s="39">
        <f t="shared" si="15"/>
        <v>8131.5</v>
      </c>
      <c r="S103" s="41"/>
      <c r="U103" s="42">
        <f t="shared" si="16"/>
        <v>-5</v>
      </c>
      <c r="V103" s="42">
        <f t="shared" si="17"/>
        <v>4</v>
      </c>
      <c r="W103" s="42">
        <f t="shared" si="18"/>
        <v>1</v>
      </c>
    </row>
    <row r="104" spans="1:23" s="28" customFormat="1" ht="73.5" customHeight="1" x14ac:dyDescent="0.2">
      <c r="A104" s="30">
        <v>99</v>
      </c>
      <c r="B104" s="31" t="s">
        <v>160</v>
      </c>
      <c r="C104" s="32" t="s">
        <v>25</v>
      </c>
      <c r="D104" s="33">
        <v>8</v>
      </c>
      <c r="E104" s="34" t="s">
        <v>26</v>
      </c>
      <c r="F104" s="45">
        <v>19.5</v>
      </c>
      <c r="G104" s="32" t="s">
        <v>27</v>
      </c>
      <c r="H104" s="37">
        <f>1097.79/50/1.2</f>
        <v>18.296500000000002</v>
      </c>
      <c r="I104" s="38">
        <f t="shared" si="19"/>
        <v>146.37200000000001</v>
      </c>
      <c r="J104" s="38" t="s">
        <v>28</v>
      </c>
      <c r="K104" s="37">
        <v>20.51</v>
      </c>
      <c r="L104" s="38">
        <f t="shared" si="11"/>
        <v>164.08</v>
      </c>
      <c r="M104" s="32" t="s">
        <v>29</v>
      </c>
      <c r="N104" s="37">
        <v>21.22</v>
      </c>
      <c r="O104" s="38">
        <f t="shared" si="12"/>
        <v>169.76</v>
      </c>
      <c r="P104" s="39">
        <f t="shared" si="13"/>
        <v>20.008833333333332</v>
      </c>
      <c r="Q104" s="40">
        <f t="shared" si="14"/>
        <v>-2.5430434891256226</v>
      </c>
      <c r="R104" s="39">
        <f t="shared" si="15"/>
        <v>156</v>
      </c>
      <c r="S104" s="41"/>
      <c r="U104" s="42">
        <f t="shared" si="16"/>
        <v>-9</v>
      </c>
      <c r="V104" s="42">
        <f t="shared" si="17"/>
        <v>3</v>
      </c>
      <c r="W104" s="42">
        <f t="shared" si="18"/>
        <v>6</v>
      </c>
    </row>
    <row r="105" spans="1:23" s="28" customFormat="1" ht="73.5" customHeight="1" x14ac:dyDescent="0.2">
      <c r="A105" s="30">
        <v>100</v>
      </c>
      <c r="B105" s="31" t="s">
        <v>161</v>
      </c>
      <c r="C105" s="32" t="s">
        <v>25</v>
      </c>
      <c r="D105" s="33">
        <v>1190</v>
      </c>
      <c r="E105" s="34">
        <v>51.92</v>
      </c>
      <c r="F105" s="45">
        <v>57.5</v>
      </c>
      <c r="G105" s="32" t="s">
        <v>27</v>
      </c>
      <c r="H105" s="37">
        <f>3253.27/1.2/50</f>
        <v>54.221166666666669</v>
      </c>
      <c r="I105" s="38">
        <f t="shared" si="19"/>
        <v>64523.188333333339</v>
      </c>
      <c r="J105" s="38" t="s">
        <v>28</v>
      </c>
      <c r="K105" s="37">
        <v>59.4</v>
      </c>
      <c r="L105" s="38">
        <f t="shared" si="11"/>
        <v>70686</v>
      </c>
      <c r="M105" s="32" t="s">
        <v>29</v>
      </c>
      <c r="N105" s="37">
        <v>60.13</v>
      </c>
      <c r="O105" s="38">
        <f t="shared" si="12"/>
        <v>71554.7</v>
      </c>
      <c r="P105" s="39">
        <f t="shared" si="13"/>
        <v>57.917055555555557</v>
      </c>
      <c r="Q105" s="40">
        <f t="shared" si="14"/>
        <v>-0.72009108811739964</v>
      </c>
      <c r="R105" s="39">
        <f t="shared" si="15"/>
        <v>68425</v>
      </c>
      <c r="S105" s="41"/>
      <c r="U105" s="42">
        <f t="shared" si="16"/>
        <v>-6</v>
      </c>
      <c r="V105" s="42">
        <f t="shared" si="17"/>
        <v>3</v>
      </c>
      <c r="W105" s="42">
        <f t="shared" si="18"/>
        <v>4</v>
      </c>
    </row>
    <row r="106" spans="1:23" s="28" customFormat="1" ht="73.5" customHeight="1" x14ac:dyDescent="0.2">
      <c r="A106" s="30">
        <v>101</v>
      </c>
      <c r="B106" s="31" t="s">
        <v>162</v>
      </c>
      <c r="C106" s="32" t="s">
        <v>25</v>
      </c>
      <c r="D106" s="33">
        <v>3</v>
      </c>
      <c r="E106" s="34">
        <v>442.83</v>
      </c>
      <c r="F106" s="45">
        <v>444.12</v>
      </c>
      <c r="G106" s="32" t="s">
        <v>27</v>
      </c>
      <c r="H106" s="37">
        <f>528.04/1.2</f>
        <v>440.0333333333333</v>
      </c>
      <c r="I106" s="38">
        <f t="shared" si="19"/>
        <v>1320.1</v>
      </c>
      <c r="J106" s="38" t="s">
        <v>28</v>
      </c>
      <c r="K106" s="37">
        <v>451.75</v>
      </c>
      <c r="L106" s="38">
        <f t="shared" si="11"/>
        <v>1355.25</v>
      </c>
      <c r="M106" s="32" t="s">
        <v>29</v>
      </c>
      <c r="N106" s="37">
        <v>442.56</v>
      </c>
      <c r="O106" s="38">
        <f t="shared" si="12"/>
        <v>1327.68</v>
      </c>
      <c r="P106" s="39">
        <f t="shared" si="13"/>
        <v>444.7811111111111</v>
      </c>
      <c r="Q106" s="40">
        <f t="shared" si="14"/>
        <v>-0.14863740716407392</v>
      </c>
      <c r="R106" s="39">
        <f t="shared" si="15"/>
        <v>1332.3600000000001</v>
      </c>
      <c r="S106" s="41"/>
      <c r="U106" s="42">
        <f t="shared" si="16"/>
        <v>-1</v>
      </c>
      <c r="V106" s="42">
        <f t="shared" si="17"/>
        <v>2</v>
      </c>
      <c r="W106" s="42">
        <f t="shared" si="18"/>
        <v>0</v>
      </c>
    </row>
    <row r="107" spans="1:23" s="28" customFormat="1" ht="73.5" customHeight="1" x14ac:dyDescent="0.2">
      <c r="A107" s="30">
        <v>102</v>
      </c>
      <c r="B107" s="31" t="s">
        <v>163</v>
      </c>
      <c r="C107" s="32" t="s">
        <v>25</v>
      </c>
      <c r="D107" s="33">
        <v>200</v>
      </c>
      <c r="E107" s="34">
        <v>2104.17</v>
      </c>
      <c r="F107" s="45">
        <v>2749.4</v>
      </c>
      <c r="G107" s="32" t="s">
        <v>56</v>
      </c>
      <c r="H107" s="37">
        <v>2816.22</v>
      </c>
      <c r="I107" s="38">
        <f t="shared" si="19"/>
        <v>563244</v>
      </c>
      <c r="J107" s="32" t="s">
        <v>57</v>
      </c>
      <c r="K107" s="37">
        <v>2697.03</v>
      </c>
      <c r="L107" s="38">
        <f t="shared" si="11"/>
        <v>539406</v>
      </c>
      <c r="M107" s="32" t="s">
        <v>119</v>
      </c>
      <c r="N107" s="37">
        <v>2755.11</v>
      </c>
      <c r="O107" s="38">
        <f t="shared" si="12"/>
        <v>551022</v>
      </c>
      <c r="P107" s="39">
        <f t="shared" si="13"/>
        <v>2756.1200000000003</v>
      </c>
      <c r="Q107" s="40">
        <f t="shared" si="14"/>
        <v>-0.24382102375804493</v>
      </c>
      <c r="R107" s="39">
        <f t="shared" si="15"/>
        <v>549880</v>
      </c>
      <c r="S107" s="41"/>
      <c r="U107" s="42">
        <f t="shared" si="16"/>
        <v>2</v>
      </c>
      <c r="V107" s="42">
        <f t="shared" si="17"/>
        <v>-2</v>
      </c>
      <c r="W107" s="42">
        <f t="shared" si="18"/>
        <v>0</v>
      </c>
    </row>
    <row r="108" spans="1:23" s="28" customFormat="1" ht="73.5" customHeight="1" x14ac:dyDescent="0.2">
      <c r="A108" s="30">
        <v>103</v>
      </c>
      <c r="B108" s="31" t="s">
        <v>164</v>
      </c>
      <c r="C108" s="32" t="s">
        <v>25</v>
      </c>
      <c r="D108" s="33">
        <v>5</v>
      </c>
      <c r="E108" s="34" t="s">
        <v>26</v>
      </c>
      <c r="F108" s="45">
        <v>455.3</v>
      </c>
      <c r="G108" s="32" t="s">
        <v>27</v>
      </c>
      <c r="H108" s="37">
        <f>531.76/1.2</f>
        <v>443.13333333333333</v>
      </c>
      <c r="I108" s="38">
        <f t="shared" si="19"/>
        <v>2215.6666666666665</v>
      </c>
      <c r="J108" s="38" t="s">
        <v>28</v>
      </c>
      <c r="K108" s="37">
        <v>458.14</v>
      </c>
      <c r="L108" s="38">
        <f t="shared" si="11"/>
        <v>2290.6999999999998</v>
      </c>
      <c r="M108" s="32" t="s">
        <v>29</v>
      </c>
      <c r="N108" s="37">
        <v>465.87</v>
      </c>
      <c r="O108" s="38">
        <f t="shared" si="12"/>
        <v>2329.35</v>
      </c>
      <c r="P108" s="39">
        <f t="shared" si="13"/>
        <v>455.7144444444445</v>
      </c>
      <c r="Q108" s="40">
        <f t="shared" si="14"/>
        <v>-9.0943890301687702E-2</v>
      </c>
      <c r="R108" s="39">
        <f t="shared" si="15"/>
        <v>2276.5</v>
      </c>
      <c r="S108" s="41"/>
      <c r="U108" s="42">
        <f t="shared" si="16"/>
        <v>-3</v>
      </c>
      <c r="V108" s="42">
        <f t="shared" si="17"/>
        <v>1</v>
      </c>
      <c r="W108" s="42">
        <f t="shared" si="18"/>
        <v>2</v>
      </c>
    </row>
    <row r="109" spans="1:23" s="28" customFormat="1" ht="73.5" customHeight="1" x14ac:dyDescent="0.2">
      <c r="A109" s="30">
        <v>104</v>
      </c>
      <c r="B109" s="31" t="s">
        <v>165</v>
      </c>
      <c r="C109" s="32" t="s">
        <v>25</v>
      </c>
      <c r="D109" s="33">
        <v>2</v>
      </c>
      <c r="E109" s="34">
        <v>585.34</v>
      </c>
      <c r="F109" s="45">
        <v>578.5</v>
      </c>
      <c r="G109" s="32" t="s">
        <v>27</v>
      </c>
      <c r="H109" s="37">
        <f>704.39/1.2</f>
        <v>586.99166666666667</v>
      </c>
      <c r="I109" s="38">
        <f t="shared" si="19"/>
        <v>1173.9833333333333</v>
      </c>
      <c r="J109" s="38" t="s">
        <v>28</v>
      </c>
      <c r="K109" s="37">
        <v>579.83000000000004</v>
      </c>
      <c r="L109" s="38">
        <f t="shared" si="11"/>
        <v>1159.6600000000001</v>
      </c>
      <c r="M109" s="32" t="s">
        <v>29</v>
      </c>
      <c r="N109" s="37">
        <v>572.21</v>
      </c>
      <c r="O109" s="38">
        <f t="shared" si="12"/>
        <v>1144.42</v>
      </c>
      <c r="P109" s="39">
        <f t="shared" si="13"/>
        <v>579.67722222222221</v>
      </c>
      <c r="Q109" s="40">
        <f t="shared" si="14"/>
        <v>-0.20308236671941415</v>
      </c>
      <c r="R109" s="39">
        <f t="shared" si="15"/>
        <v>1157</v>
      </c>
      <c r="S109" s="41"/>
      <c r="U109" s="42">
        <f t="shared" si="16"/>
        <v>1</v>
      </c>
      <c r="V109" s="42">
        <f t="shared" si="17"/>
        <v>0</v>
      </c>
      <c r="W109" s="42">
        <f t="shared" si="18"/>
        <v>-1</v>
      </c>
    </row>
    <row r="110" spans="1:23" s="28" customFormat="1" ht="73.5" customHeight="1" x14ac:dyDescent="0.2">
      <c r="A110" s="30">
        <v>105</v>
      </c>
      <c r="B110" s="31" t="s">
        <v>166</v>
      </c>
      <c r="C110" s="32" t="s">
        <v>25</v>
      </c>
      <c r="D110" s="33">
        <v>2</v>
      </c>
      <c r="E110" s="34">
        <v>585.34</v>
      </c>
      <c r="F110" s="45">
        <v>586.44000000000005</v>
      </c>
      <c r="G110" s="32" t="s">
        <v>27</v>
      </c>
      <c r="H110" s="37">
        <f>704.39/1.2</f>
        <v>586.99166666666667</v>
      </c>
      <c r="I110" s="38">
        <f t="shared" si="19"/>
        <v>1173.9833333333333</v>
      </c>
      <c r="J110" s="38" t="s">
        <v>28</v>
      </c>
      <c r="K110" s="37">
        <v>579.83000000000004</v>
      </c>
      <c r="L110" s="38">
        <f t="shared" si="11"/>
        <v>1159.6600000000001</v>
      </c>
      <c r="M110" s="32" t="s">
        <v>29</v>
      </c>
      <c r="N110" s="37">
        <v>594.08000000000004</v>
      </c>
      <c r="O110" s="38">
        <f t="shared" si="12"/>
        <v>1188.1600000000001</v>
      </c>
      <c r="P110" s="39">
        <f t="shared" si="13"/>
        <v>586.96722222222218</v>
      </c>
      <c r="Q110" s="40">
        <f t="shared" si="14"/>
        <v>-8.9821407782551432E-2</v>
      </c>
      <c r="R110" s="39">
        <f t="shared" si="15"/>
        <v>1172.8800000000001</v>
      </c>
      <c r="S110" s="41"/>
      <c r="U110" s="42">
        <f t="shared" si="16"/>
        <v>0</v>
      </c>
      <c r="V110" s="42">
        <f t="shared" si="17"/>
        <v>-1</v>
      </c>
      <c r="W110" s="42">
        <f t="shared" si="18"/>
        <v>1</v>
      </c>
    </row>
    <row r="111" spans="1:23" s="28" customFormat="1" ht="73.5" customHeight="1" x14ac:dyDescent="0.2">
      <c r="A111" s="30">
        <v>106</v>
      </c>
      <c r="B111" s="31" t="s">
        <v>167</v>
      </c>
      <c r="C111" s="32" t="s">
        <v>25</v>
      </c>
      <c r="D111" s="33">
        <v>4</v>
      </c>
      <c r="E111" s="34">
        <v>100102.2</v>
      </c>
      <c r="F111" s="45">
        <v>105450</v>
      </c>
      <c r="G111" s="32" t="s">
        <v>66</v>
      </c>
      <c r="H111" s="37">
        <f>122928.34/1.2</f>
        <v>102440.28333333334</v>
      </c>
      <c r="I111" s="38">
        <f t="shared" si="19"/>
        <v>409761.13333333336</v>
      </c>
      <c r="J111" s="37" t="s">
        <v>67</v>
      </c>
      <c r="K111" s="37">
        <f>126572.83/1.2</f>
        <v>105477.35833333334</v>
      </c>
      <c r="L111" s="38">
        <f t="shared" si="11"/>
        <v>421909.43333333335</v>
      </c>
      <c r="M111" s="38" t="s">
        <v>68</v>
      </c>
      <c r="N111" s="37">
        <v>108459.11</v>
      </c>
      <c r="O111" s="38">
        <f t="shared" si="12"/>
        <v>433836.44</v>
      </c>
      <c r="P111" s="39">
        <f t="shared" si="13"/>
        <v>105458.91722222221</v>
      </c>
      <c r="Q111" s="40">
        <f t="shared" si="14"/>
        <v>-8.4556360496463867E-3</v>
      </c>
      <c r="R111" s="39">
        <f t="shared" si="15"/>
        <v>421800</v>
      </c>
      <c r="S111" s="41"/>
      <c r="U111" s="42">
        <f t="shared" si="16"/>
        <v>-3</v>
      </c>
      <c r="V111" s="42">
        <f t="shared" si="17"/>
        <v>0</v>
      </c>
      <c r="W111" s="42">
        <f t="shared" si="18"/>
        <v>3</v>
      </c>
    </row>
    <row r="112" spans="1:23" s="28" customFormat="1" ht="73.5" customHeight="1" x14ac:dyDescent="0.2">
      <c r="A112" s="30">
        <v>107</v>
      </c>
      <c r="B112" s="31" t="s">
        <v>168</v>
      </c>
      <c r="C112" s="32" t="s">
        <v>25</v>
      </c>
      <c r="D112" s="33">
        <v>9</v>
      </c>
      <c r="E112" s="34">
        <v>109113.68</v>
      </c>
      <c r="F112" s="45">
        <v>115250.4</v>
      </c>
      <c r="G112" s="32" t="s">
        <v>66</v>
      </c>
      <c r="H112" s="37">
        <f>134032.46/1.2</f>
        <v>111693.71666666666</v>
      </c>
      <c r="I112" s="38">
        <f t="shared" si="19"/>
        <v>1005243.45</v>
      </c>
      <c r="J112" s="37" t="s">
        <v>67</v>
      </c>
      <c r="K112" s="37">
        <f>142081.19/1.2</f>
        <v>118400.99166666667</v>
      </c>
      <c r="L112" s="38">
        <f t="shared" si="11"/>
        <v>1065608.925</v>
      </c>
      <c r="M112" s="38" t="s">
        <v>68</v>
      </c>
      <c r="N112" s="37">
        <v>115771.47</v>
      </c>
      <c r="O112" s="38">
        <f t="shared" si="12"/>
        <v>1041943.23</v>
      </c>
      <c r="P112" s="39">
        <f t="shared" si="13"/>
        <v>115288.72611111111</v>
      </c>
      <c r="Q112" s="40">
        <f t="shared" si="14"/>
        <v>-3.3243589728087386E-2</v>
      </c>
      <c r="R112" s="39">
        <f t="shared" si="15"/>
        <v>1037253.6</v>
      </c>
      <c r="S112" s="41"/>
      <c r="U112" s="42">
        <f t="shared" si="16"/>
        <v>-3</v>
      </c>
      <c r="V112" s="42">
        <f t="shared" si="17"/>
        <v>3</v>
      </c>
      <c r="W112" s="42">
        <f t="shared" si="18"/>
        <v>0</v>
      </c>
    </row>
    <row r="113" spans="1:23" s="28" customFormat="1" ht="73.5" customHeight="1" x14ac:dyDescent="0.2">
      <c r="A113" s="30">
        <v>108</v>
      </c>
      <c r="B113" s="31" t="s">
        <v>169</v>
      </c>
      <c r="C113" s="32" t="s">
        <v>25</v>
      </c>
      <c r="D113" s="33">
        <v>4</v>
      </c>
      <c r="E113" s="34">
        <v>98486.85</v>
      </c>
      <c r="F113" s="45">
        <v>105203.9</v>
      </c>
      <c r="G113" s="32" t="s">
        <v>66</v>
      </c>
      <c r="H113" s="37">
        <f>121610.29/1.2</f>
        <v>101341.90833333333</v>
      </c>
      <c r="I113" s="38">
        <f t="shared" si="19"/>
        <v>405367.6333333333</v>
      </c>
      <c r="J113" s="37" t="s">
        <v>67</v>
      </c>
      <c r="K113" s="37">
        <f>125484.62/1.2</f>
        <v>104570.51666666666</v>
      </c>
      <c r="L113" s="38">
        <f t="shared" si="11"/>
        <v>418282.06666666665</v>
      </c>
      <c r="M113" s="38" t="s">
        <v>68</v>
      </c>
      <c r="N113" s="37">
        <v>109702.63</v>
      </c>
      <c r="O113" s="38">
        <f t="shared" si="12"/>
        <v>438810.52</v>
      </c>
      <c r="P113" s="39">
        <f t="shared" si="13"/>
        <v>105205.01833333333</v>
      </c>
      <c r="Q113" s="40">
        <f t="shared" si="14"/>
        <v>-1.063003791117012E-3</v>
      </c>
      <c r="R113" s="39">
        <f t="shared" si="15"/>
        <v>420815.6</v>
      </c>
      <c r="S113" s="41"/>
      <c r="U113" s="42">
        <f t="shared" si="16"/>
        <v>-4</v>
      </c>
      <c r="V113" s="42">
        <f t="shared" si="17"/>
        <v>-1</v>
      </c>
      <c r="W113" s="42">
        <f t="shared" si="18"/>
        <v>4</v>
      </c>
    </row>
    <row r="114" spans="1:23" s="28" customFormat="1" ht="73.5" customHeight="1" x14ac:dyDescent="0.2">
      <c r="A114" s="30">
        <v>109</v>
      </c>
      <c r="B114" s="31" t="s">
        <v>170</v>
      </c>
      <c r="C114" s="32" t="s">
        <v>25</v>
      </c>
      <c r="D114" s="33">
        <v>96</v>
      </c>
      <c r="E114" s="34">
        <v>17634.18</v>
      </c>
      <c r="F114" s="45">
        <v>23801.47</v>
      </c>
      <c r="G114" s="32" t="s">
        <v>56</v>
      </c>
      <c r="H114" s="37">
        <v>23917.54</v>
      </c>
      <c r="I114" s="38">
        <f t="shared" si="19"/>
        <v>2296083.84</v>
      </c>
      <c r="J114" s="32" t="s">
        <v>57</v>
      </c>
      <c r="K114" s="37">
        <v>24571.360000000001</v>
      </c>
      <c r="L114" s="38">
        <f t="shared" si="11"/>
        <v>2358850.5600000001</v>
      </c>
      <c r="M114" s="32" t="s">
        <v>119</v>
      </c>
      <c r="N114" s="37">
        <v>22927.08</v>
      </c>
      <c r="O114" s="38">
        <f t="shared" si="12"/>
        <v>2200999.6800000002</v>
      </c>
      <c r="P114" s="39">
        <f t="shared" si="13"/>
        <v>23805.326666666671</v>
      </c>
      <c r="Q114" s="40">
        <f t="shared" si="14"/>
        <v>-1.6200855886893351E-2</v>
      </c>
      <c r="R114" s="39">
        <f t="shared" si="15"/>
        <v>2284941.12</v>
      </c>
      <c r="S114" s="41"/>
      <c r="U114" s="42">
        <f t="shared" si="16"/>
        <v>0</v>
      </c>
      <c r="V114" s="42">
        <f t="shared" si="17"/>
        <v>3</v>
      </c>
      <c r="W114" s="42">
        <f t="shared" si="18"/>
        <v>-4</v>
      </c>
    </row>
    <row r="115" spans="1:23" s="28" customFormat="1" ht="73.5" customHeight="1" x14ac:dyDescent="0.2">
      <c r="A115" s="30">
        <v>110</v>
      </c>
      <c r="B115" s="31" t="s">
        <v>171</v>
      </c>
      <c r="C115" s="32" t="s">
        <v>25</v>
      </c>
      <c r="D115" s="33">
        <v>2</v>
      </c>
      <c r="E115" s="34" t="s">
        <v>26</v>
      </c>
      <c r="F115" s="45">
        <v>26380.87</v>
      </c>
      <c r="G115" s="32" t="s">
        <v>27</v>
      </c>
      <c r="H115" s="37">
        <f>29485.22/1.2</f>
        <v>24571.01666666667</v>
      </c>
      <c r="I115" s="38">
        <f t="shared" si="19"/>
        <v>49142.03333333334</v>
      </c>
      <c r="J115" s="38" t="s">
        <v>28</v>
      </c>
      <c r="K115" s="37">
        <f>33229.52/1.2</f>
        <v>27691.266666666666</v>
      </c>
      <c r="L115" s="38">
        <f t="shared" si="11"/>
        <v>55382.533333333333</v>
      </c>
      <c r="M115" s="32" t="s">
        <v>29</v>
      </c>
      <c r="N115" s="51">
        <v>26942.36</v>
      </c>
      <c r="O115" s="38">
        <f t="shared" si="12"/>
        <v>53884.72</v>
      </c>
      <c r="P115" s="39">
        <f t="shared" si="13"/>
        <v>26401.547777777781</v>
      </c>
      <c r="Q115" s="40">
        <f t="shared" si="14"/>
        <v>-7.8320324065188629E-2</v>
      </c>
      <c r="R115" s="39">
        <f t="shared" si="15"/>
        <v>52761.74</v>
      </c>
      <c r="S115" s="32"/>
      <c r="U115" s="42">
        <f t="shared" si="16"/>
        <v>-7</v>
      </c>
      <c r="V115" s="42">
        <f t="shared" si="17"/>
        <v>5</v>
      </c>
      <c r="W115" s="42">
        <f t="shared" si="18"/>
        <v>2</v>
      </c>
    </row>
    <row r="116" spans="1:23" s="28" customFormat="1" ht="73.5" customHeight="1" x14ac:dyDescent="0.2">
      <c r="A116" s="30">
        <v>111</v>
      </c>
      <c r="B116" s="31" t="s">
        <v>172</v>
      </c>
      <c r="C116" s="32" t="s">
        <v>25</v>
      </c>
      <c r="D116" s="33">
        <v>105</v>
      </c>
      <c r="E116" s="34" t="s">
        <v>26</v>
      </c>
      <c r="F116" s="45">
        <v>16</v>
      </c>
      <c r="G116" s="32" t="s">
        <v>27</v>
      </c>
      <c r="H116" s="37">
        <f>15.68/1.2</f>
        <v>13.066666666666666</v>
      </c>
      <c r="I116" s="38">
        <f t="shared" si="19"/>
        <v>1372</v>
      </c>
      <c r="J116" s="38" t="s">
        <v>28</v>
      </c>
      <c r="K116" s="37">
        <f>23.17/1.2</f>
        <v>19.308333333333337</v>
      </c>
      <c r="L116" s="38">
        <f t="shared" si="11"/>
        <v>2027.3750000000005</v>
      </c>
      <c r="M116" s="32" t="s">
        <v>29</v>
      </c>
      <c r="N116" s="37">
        <v>15.88</v>
      </c>
      <c r="O116" s="38">
        <f t="shared" si="12"/>
        <v>1667.4</v>
      </c>
      <c r="P116" s="39">
        <f t="shared" si="13"/>
        <v>16.085000000000001</v>
      </c>
      <c r="Q116" s="40">
        <f t="shared" si="14"/>
        <v>-0.52844264843021449</v>
      </c>
      <c r="R116" s="39">
        <f t="shared" si="15"/>
        <v>1680</v>
      </c>
      <c r="S116" s="41"/>
      <c r="U116" s="42">
        <f t="shared" si="16"/>
        <v>-19</v>
      </c>
      <c r="V116" s="42">
        <f t="shared" si="17"/>
        <v>20</v>
      </c>
      <c r="W116" s="42">
        <f t="shared" si="18"/>
        <v>-1</v>
      </c>
    </row>
    <row r="117" spans="1:23" s="28" customFormat="1" ht="73.5" customHeight="1" x14ac:dyDescent="0.2">
      <c r="A117" s="30">
        <v>112</v>
      </c>
      <c r="B117" s="31" t="s">
        <v>173</v>
      </c>
      <c r="C117" s="32" t="s">
        <v>25</v>
      </c>
      <c r="D117" s="33">
        <v>4</v>
      </c>
      <c r="E117" s="34" t="s">
        <v>26</v>
      </c>
      <c r="F117" s="45">
        <v>10739.64</v>
      </c>
      <c r="G117" s="37" t="s">
        <v>67</v>
      </c>
      <c r="H117" s="37">
        <f>12321.9/1.2</f>
        <v>10268.25</v>
      </c>
      <c r="I117" s="38">
        <f t="shared" si="19"/>
        <v>41073</v>
      </c>
      <c r="J117" s="32" t="s">
        <v>46</v>
      </c>
      <c r="K117" s="37">
        <v>11095.36</v>
      </c>
      <c r="L117" s="38">
        <f t="shared" si="11"/>
        <v>44381.440000000002</v>
      </c>
      <c r="M117" s="38" t="s">
        <v>68</v>
      </c>
      <c r="N117" s="37">
        <v>10873.97</v>
      </c>
      <c r="O117" s="38">
        <f t="shared" si="12"/>
        <v>43495.88</v>
      </c>
      <c r="P117" s="39">
        <f t="shared" si="13"/>
        <v>10745.86</v>
      </c>
      <c r="Q117" s="40">
        <f t="shared" si="14"/>
        <v>-5.7882756708167449E-2</v>
      </c>
      <c r="R117" s="39">
        <f t="shared" si="15"/>
        <v>42958.559999999998</v>
      </c>
      <c r="S117" s="41"/>
      <c r="U117" s="42">
        <f t="shared" si="16"/>
        <v>-4</v>
      </c>
      <c r="V117" s="42">
        <f t="shared" si="17"/>
        <v>3</v>
      </c>
      <c r="W117" s="42">
        <f t="shared" si="18"/>
        <v>1</v>
      </c>
    </row>
    <row r="118" spans="1:23" s="28" customFormat="1" ht="73.5" customHeight="1" x14ac:dyDescent="0.2">
      <c r="A118" s="30">
        <v>113</v>
      </c>
      <c r="B118" s="31" t="s">
        <v>174</v>
      </c>
      <c r="C118" s="32" t="s">
        <v>25</v>
      </c>
      <c r="D118" s="33">
        <v>15</v>
      </c>
      <c r="E118" s="34" t="s">
        <v>26</v>
      </c>
      <c r="F118" s="45">
        <v>11759.65</v>
      </c>
      <c r="G118" s="37" t="s">
        <v>67</v>
      </c>
      <c r="H118" s="37">
        <f>13514.04/1.2</f>
        <v>11261.7</v>
      </c>
      <c r="I118" s="38">
        <f t="shared" si="19"/>
        <v>168925.5</v>
      </c>
      <c r="J118" s="32" t="s">
        <v>46</v>
      </c>
      <c r="K118" s="37">
        <v>11983.18</v>
      </c>
      <c r="L118" s="38">
        <f t="shared" si="11"/>
        <v>179747.7</v>
      </c>
      <c r="M118" s="38" t="s">
        <v>68</v>
      </c>
      <c r="N118" s="37">
        <v>12054.31</v>
      </c>
      <c r="O118" s="38">
        <f t="shared" si="12"/>
        <v>180814.65</v>
      </c>
      <c r="P118" s="39">
        <f t="shared" si="13"/>
        <v>11766.396666666667</v>
      </c>
      <c r="Q118" s="40">
        <f t="shared" si="14"/>
        <v>-5.7338426179185831E-2</v>
      </c>
      <c r="R118" s="39">
        <f t="shared" si="15"/>
        <v>176394.75</v>
      </c>
      <c r="S118" s="41"/>
      <c r="U118" s="42">
        <f t="shared" si="16"/>
        <v>-4</v>
      </c>
      <c r="V118" s="42">
        <f t="shared" si="17"/>
        <v>2</v>
      </c>
      <c r="W118" s="42">
        <f t="shared" si="18"/>
        <v>2</v>
      </c>
    </row>
    <row r="119" spans="1:23" s="28" customFormat="1" ht="73.5" customHeight="1" x14ac:dyDescent="0.2">
      <c r="A119" s="30">
        <v>114</v>
      </c>
      <c r="B119" s="31" t="s">
        <v>175</v>
      </c>
      <c r="C119" s="32" t="s">
        <v>25</v>
      </c>
      <c r="D119" s="33">
        <v>9</v>
      </c>
      <c r="E119" s="34">
        <v>799.46</v>
      </c>
      <c r="F119" s="45">
        <v>853.15</v>
      </c>
      <c r="G119" s="32" t="s">
        <v>27</v>
      </c>
      <c r="H119" s="37">
        <f>961.27/1.2</f>
        <v>801.05833333333339</v>
      </c>
      <c r="I119" s="38">
        <f t="shared" si="19"/>
        <v>7209.5250000000005</v>
      </c>
      <c r="J119" s="38" t="s">
        <v>28</v>
      </c>
      <c r="K119" s="37">
        <f>1027.26/1.2</f>
        <v>856.05000000000007</v>
      </c>
      <c r="L119" s="38">
        <f t="shared" si="11"/>
        <v>7704.4500000000007</v>
      </c>
      <c r="M119" s="32" t="s">
        <v>29</v>
      </c>
      <c r="N119" s="37">
        <v>911.61</v>
      </c>
      <c r="O119" s="38">
        <f t="shared" si="12"/>
        <v>8204.49</v>
      </c>
      <c r="P119" s="39">
        <f t="shared" si="13"/>
        <v>856.23944444444453</v>
      </c>
      <c r="Q119" s="40">
        <f t="shared" si="14"/>
        <v>-0.36081547801725833</v>
      </c>
      <c r="R119" s="39">
        <f t="shared" si="15"/>
        <v>7678.3499999999995</v>
      </c>
      <c r="S119" s="41"/>
      <c r="U119" s="42">
        <f t="shared" si="16"/>
        <v>-6</v>
      </c>
      <c r="V119" s="42">
        <f t="shared" si="17"/>
        <v>0</v>
      </c>
      <c r="W119" s="42">
        <f t="shared" si="18"/>
        <v>6</v>
      </c>
    </row>
    <row r="120" spans="1:23" s="28" customFormat="1" ht="73.5" customHeight="1" x14ac:dyDescent="0.2">
      <c r="A120" s="30">
        <v>115</v>
      </c>
      <c r="B120" s="31" t="s">
        <v>176</v>
      </c>
      <c r="C120" s="32" t="s">
        <v>25</v>
      </c>
      <c r="D120" s="33">
        <v>6</v>
      </c>
      <c r="E120" s="34">
        <v>1026.3699999999999</v>
      </c>
      <c r="F120" s="45">
        <v>1193.4000000000001</v>
      </c>
      <c r="G120" s="32" t="s">
        <v>27</v>
      </c>
      <c r="H120" s="37">
        <f>1229.06/1.2</f>
        <v>1024.2166666666667</v>
      </c>
      <c r="I120" s="38">
        <f t="shared" si="19"/>
        <v>6145.3</v>
      </c>
      <c r="J120" s="38" t="s">
        <v>28</v>
      </c>
      <c r="K120" s="37">
        <f>1512.89/1.2</f>
        <v>1260.7416666666668</v>
      </c>
      <c r="L120" s="38">
        <f t="shared" si="11"/>
        <v>7564.4500000000007</v>
      </c>
      <c r="M120" s="32" t="s">
        <v>29</v>
      </c>
      <c r="N120" s="37">
        <v>1302.32</v>
      </c>
      <c r="O120" s="38">
        <f t="shared" si="12"/>
        <v>7813.92</v>
      </c>
      <c r="P120" s="39">
        <f t="shared" si="13"/>
        <v>1195.7594444444446</v>
      </c>
      <c r="Q120" s="40">
        <f t="shared" si="14"/>
        <v>-0.19731765075380281</v>
      </c>
      <c r="R120" s="39">
        <f t="shared" si="15"/>
        <v>7160.4000000000005</v>
      </c>
      <c r="S120" s="41"/>
      <c r="U120" s="42">
        <f t="shared" si="16"/>
        <v>-14</v>
      </c>
      <c r="V120" s="42">
        <f t="shared" si="17"/>
        <v>5</v>
      </c>
      <c r="W120" s="42">
        <f t="shared" si="18"/>
        <v>9</v>
      </c>
    </row>
    <row r="121" spans="1:23" s="28" customFormat="1" ht="73.5" customHeight="1" x14ac:dyDescent="0.2">
      <c r="A121" s="30">
        <v>116</v>
      </c>
      <c r="B121" s="31" t="s">
        <v>177</v>
      </c>
      <c r="C121" s="32" t="s">
        <v>25</v>
      </c>
      <c r="D121" s="33">
        <v>1</v>
      </c>
      <c r="E121" s="34">
        <v>1059.8499999999999</v>
      </c>
      <c r="F121" s="45">
        <v>1120.3</v>
      </c>
      <c r="G121" s="32" t="s">
        <v>27</v>
      </c>
      <c r="H121" s="37">
        <f>1283.51/1.2</f>
        <v>1069.5916666666667</v>
      </c>
      <c r="I121" s="38">
        <f t="shared" si="19"/>
        <v>1069.5916666666667</v>
      </c>
      <c r="J121" s="38" t="s">
        <v>28</v>
      </c>
      <c r="K121" s="37">
        <f>1330.68/1.2</f>
        <v>1108.9000000000001</v>
      </c>
      <c r="L121" s="38">
        <f t="shared" si="11"/>
        <v>1108.9000000000001</v>
      </c>
      <c r="M121" s="32" t="s">
        <v>29</v>
      </c>
      <c r="N121" s="37">
        <v>1187.8399999999999</v>
      </c>
      <c r="O121" s="38">
        <f t="shared" si="12"/>
        <v>1187.8399999999999</v>
      </c>
      <c r="P121" s="39">
        <f t="shared" si="13"/>
        <v>1122.1105555555557</v>
      </c>
      <c r="Q121" s="40">
        <f t="shared" si="14"/>
        <v>-0.16135268905472344</v>
      </c>
      <c r="R121" s="39">
        <f t="shared" si="15"/>
        <v>1120.3</v>
      </c>
      <c r="S121" s="41"/>
      <c r="U121" s="42">
        <f t="shared" si="16"/>
        <v>-5</v>
      </c>
      <c r="V121" s="42">
        <f t="shared" si="17"/>
        <v>-1</v>
      </c>
      <c r="W121" s="42">
        <f t="shared" si="18"/>
        <v>6</v>
      </c>
    </row>
    <row r="122" spans="1:23" s="28" customFormat="1" ht="73.5" customHeight="1" x14ac:dyDescent="0.2">
      <c r="A122" s="30">
        <v>117</v>
      </c>
      <c r="B122" s="31" t="s">
        <v>178</v>
      </c>
      <c r="C122" s="32" t="s">
        <v>25</v>
      </c>
      <c r="D122" s="33">
        <v>1</v>
      </c>
      <c r="E122" s="34">
        <v>3234.77</v>
      </c>
      <c r="F122" s="45">
        <v>3390.15</v>
      </c>
      <c r="G122" s="32" t="s">
        <v>27</v>
      </c>
      <c r="H122" s="37">
        <f>3848.77/1.2</f>
        <v>3207.3083333333334</v>
      </c>
      <c r="I122" s="38">
        <f t="shared" si="19"/>
        <v>3207.3083333333334</v>
      </c>
      <c r="J122" s="38" t="s">
        <v>28</v>
      </c>
      <c r="K122" s="37">
        <f>4213.88/1.2</f>
        <v>3511.5666666666671</v>
      </c>
      <c r="L122" s="38">
        <f t="shared" si="11"/>
        <v>3511.5666666666671</v>
      </c>
      <c r="M122" s="32" t="s">
        <v>29</v>
      </c>
      <c r="N122" s="37">
        <v>3461.03</v>
      </c>
      <c r="O122" s="38">
        <f t="shared" si="12"/>
        <v>3461.03</v>
      </c>
      <c r="P122" s="39">
        <f t="shared" si="13"/>
        <v>3393.3016666666667</v>
      </c>
      <c r="Q122" s="40">
        <f t="shared" si="14"/>
        <v>-9.2879059283959009E-2</v>
      </c>
      <c r="R122" s="39">
        <f t="shared" si="15"/>
        <v>3390.15</v>
      </c>
      <c r="S122" s="41"/>
      <c r="U122" s="42">
        <f t="shared" si="16"/>
        <v>-5</v>
      </c>
      <c r="V122" s="42">
        <f t="shared" si="17"/>
        <v>3</v>
      </c>
      <c r="W122" s="42">
        <f t="shared" si="18"/>
        <v>2</v>
      </c>
    </row>
    <row r="123" spans="1:23" s="28" customFormat="1" ht="73.5" customHeight="1" x14ac:dyDescent="0.2">
      <c r="A123" s="30">
        <v>118</v>
      </c>
      <c r="B123" s="31" t="s">
        <v>179</v>
      </c>
      <c r="C123" s="32" t="s">
        <v>25</v>
      </c>
      <c r="D123" s="33">
        <v>3</v>
      </c>
      <c r="E123" s="34">
        <v>2771.28</v>
      </c>
      <c r="F123" s="45">
        <v>2777.4</v>
      </c>
      <c r="G123" s="32" t="s">
        <v>27</v>
      </c>
      <c r="H123" s="37">
        <f>3306.94/1.2</f>
        <v>2755.7833333333333</v>
      </c>
      <c r="I123" s="38">
        <f t="shared" si="19"/>
        <v>8267.35</v>
      </c>
      <c r="J123" s="38" t="s">
        <v>28</v>
      </c>
      <c r="K123" s="37">
        <f>3452.2/1.2</f>
        <v>2876.8333333333335</v>
      </c>
      <c r="L123" s="38">
        <f t="shared" si="11"/>
        <v>8630.5</v>
      </c>
      <c r="M123" s="32" t="s">
        <v>29</v>
      </c>
      <c r="N123" s="37">
        <v>2703.98</v>
      </c>
      <c r="O123" s="38">
        <f t="shared" si="12"/>
        <v>8111.9400000000005</v>
      </c>
      <c r="P123" s="39">
        <f t="shared" si="13"/>
        <v>2778.8655555555556</v>
      </c>
      <c r="Q123" s="40">
        <f t="shared" si="14"/>
        <v>-5.2739347271611337E-2</v>
      </c>
      <c r="R123" s="39">
        <f t="shared" si="15"/>
        <v>8332.2000000000007</v>
      </c>
      <c r="S123" s="41"/>
      <c r="U123" s="42">
        <f t="shared" si="16"/>
        <v>-1</v>
      </c>
      <c r="V123" s="42">
        <f t="shared" si="17"/>
        <v>4</v>
      </c>
      <c r="W123" s="42">
        <f t="shared" si="18"/>
        <v>-3</v>
      </c>
    </row>
    <row r="124" spans="1:23" s="28" customFormat="1" ht="73.5" customHeight="1" x14ac:dyDescent="0.2">
      <c r="A124" s="30">
        <v>119</v>
      </c>
      <c r="B124" s="31" t="s">
        <v>180</v>
      </c>
      <c r="C124" s="32" t="s">
        <v>25</v>
      </c>
      <c r="D124" s="33" t="s">
        <v>181</v>
      </c>
      <c r="E124" s="34">
        <v>5096.3100000000004</v>
      </c>
      <c r="F124" s="45">
        <v>5200</v>
      </c>
      <c r="G124" s="32" t="s">
        <v>27</v>
      </c>
      <c r="H124" s="37">
        <f>6026.51/1.2</f>
        <v>5022.0916666666672</v>
      </c>
      <c r="I124" s="38">
        <f t="shared" si="19"/>
        <v>140618.56666666668</v>
      </c>
      <c r="J124" s="38" t="s">
        <v>28</v>
      </c>
      <c r="K124" s="37">
        <f>6712.45/1.2</f>
        <v>5593.708333333333</v>
      </c>
      <c r="L124" s="38">
        <f t="shared" si="11"/>
        <v>156623.83333333331</v>
      </c>
      <c r="M124" s="32" t="s">
        <v>29</v>
      </c>
      <c r="N124" s="37">
        <v>5007.33</v>
      </c>
      <c r="O124" s="38">
        <f t="shared" si="12"/>
        <v>140205.24</v>
      </c>
      <c r="P124" s="39">
        <f t="shared" si="13"/>
        <v>5207.71</v>
      </c>
      <c r="Q124" s="40">
        <f t="shared" si="14"/>
        <v>-0.14804971859031468</v>
      </c>
      <c r="R124" s="39">
        <f t="shared" si="15"/>
        <v>145600</v>
      </c>
      <c r="S124" s="41"/>
      <c r="U124" s="42">
        <f t="shared" si="16"/>
        <v>-4</v>
      </c>
      <c r="V124" s="42">
        <f t="shared" si="17"/>
        <v>7</v>
      </c>
      <c r="W124" s="42">
        <f t="shared" si="18"/>
        <v>-4</v>
      </c>
    </row>
    <row r="125" spans="1:23" s="28" customFormat="1" ht="73.5" customHeight="1" x14ac:dyDescent="0.2">
      <c r="A125" s="30">
        <v>120</v>
      </c>
      <c r="B125" s="31" t="s">
        <v>182</v>
      </c>
      <c r="C125" s="32" t="s">
        <v>25</v>
      </c>
      <c r="D125" s="33">
        <v>1</v>
      </c>
      <c r="E125" s="34">
        <v>3295.17</v>
      </c>
      <c r="F125" s="45">
        <v>3320.5</v>
      </c>
      <c r="G125" s="32" t="s">
        <v>27</v>
      </c>
      <c r="H125" s="37">
        <f>3946.52/1.2</f>
        <v>3288.7666666666669</v>
      </c>
      <c r="I125" s="38">
        <f t="shared" si="19"/>
        <v>3288.7666666666669</v>
      </c>
      <c r="J125" s="38" t="s">
        <v>28</v>
      </c>
      <c r="K125" s="37">
        <f>3861.14/1.2</f>
        <v>3217.6166666666668</v>
      </c>
      <c r="L125" s="38">
        <f t="shared" si="11"/>
        <v>3217.6166666666668</v>
      </c>
      <c r="M125" s="32" t="s">
        <v>29</v>
      </c>
      <c r="N125" s="37">
        <v>3471.09</v>
      </c>
      <c r="O125" s="38">
        <f t="shared" si="12"/>
        <v>3471.09</v>
      </c>
      <c r="P125" s="39">
        <f t="shared" si="13"/>
        <v>3325.8244444444445</v>
      </c>
      <c r="Q125" s="40">
        <f t="shared" si="14"/>
        <v>-0.16009397168689077</v>
      </c>
      <c r="R125" s="39">
        <f t="shared" si="15"/>
        <v>3320.5</v>
      </c>
      <c r="S125" s="41"/>
      <c r="U125" s="42">
        <f t="shared" si="16"/>
        <v>-1</v>
      </c>
      <c r="V125" s="42">
        <f t="shared" si="17"/>
        <v>-3</v>
      </c>
      <c r="W125" s="42">
        <f t="shared" si="18"/>
        <v>4</v>
      </c>
    </row>
    <row r="126" spans="1:23" s="28" customFormat="1" ht="73.5" customHeight="1" x14ac:dyDescent="0.2">
      <c r="A126" s="30">
        <v>121</v>
      </c>
      <c r="B126" s="31" t="s">
        <v>183</v>
      </c>
      <c r="C126" s="32" t="s">
        <v>25</v>
      </c>
      <c r="D126" s="33">
        <v>60</v>
      </c>
      <c r="E126" s="34" t="s">
        <v>26</v>
      </c>
      <c r="F126" s="45">
        <v>13200.55</v>
      </c>
      <c r="G126" s="32" t="s">
        <v>27</v>
      </c>
      <c r="H126" s="37">
        <f>15720.65/1.2</f>
        <v>13100.541666666666</v>
      </c>
      <c r="I126" s="38">
        <f t="shared" si="19"/>
        <v>786032.5</v>
      </c>
      <c r="J126" s="38" t="s">
        <v>28</v>
      </c>
      <c r="K126" s="37">
        <f>16167.67/1.2</f>
        <v>13473.058333333334</v>
      </c>
      <c r="L126" s="38">
        <f t="shared" si="11"/>
        <v>808383.5</v>
      </c>
      <c r="M126" s="32" t="s">
        <v>29</v>
      </c>
      <c r="N126" s="37">
        <v>13042.21</v>
      </c>
      <c r="O126" s="38">
        <f t="shared" si="12"/>
        <v>782532.6</v>
      </c>
      <c r="P126" s="39">
        <f t="shared" si="13"/>
        <v>13205.269999999999</v>
      </c>
      <c r="Q126" s="40">
        <f t="shared" si="14"/>
        <v>-3.5743305513619816E-2</v>
      </c>
      <c r="R126" s="39">
        <f t="shared" si="15"/>
        <v>792033</v>
      </c>
      <c r="S126" s="41"/>
      <c r="U126" s="42">
        <f t="shared" si="16"/>
        <v>-1</v>
      </c>
      <c r="V126" s="42">
        <f t="shared" si="17"/>
        <v>2</v>
      </c>
      <c r="W126" s="42">
        <f t="shared" si="18"/>
        <v>-1</v>
      </c>
    </row>
    <row r="127" spans="1:23" s="28" customFormat="1" ht="73.5" customHeight="1" x14ac:dyDescent="0.2">
      <c r="A127" s="30">
        <v>122</v>
      </c>
      <c r="B127" s="31" t="s">
        <v>184</v>
      </c>
      <c r="C127" s="32" t="s">
        <v>25</v>
      </c>
      <c r="D127" s="33">
        <v>5</v>
      </c>
      <c r="E127" s="34">
        <v>1769.59</v>
      </c>
      <c r="F127" s="45">
        <v>1825</v>
      </c>
      <c r="G127" s="32" t="s">
        <v>27</v>
      </c>
      <c r="H127" s="37">
        <f>2172.67/1.2</f>
        <v>1810.5583333333334</v>
      </c>
      <c r="I127" s="38">
        <f t="shared" si="19"/>
        <v>9052.7916666666679</v>
      </c>
      <c r="J127" s="38" t="s">
        <v>28</v>
      </c>
      <c r="K127" s="37">
        <f>2232.5/1.2</f>
        <v>1860.4166666666667</v>
      </c>
      <c r="L127" s="38">
        <f t="shared" si="11"/>
        <v>9302.0833333333339</v>
      </c>
      <c r="M127" s="32" t="s">
        <v>29</v>
      </c>
      <c r="N127" s="37">
        <v>1807.53</v>
      </c>
      <c r="O127" s="38">
        <f t="shared" si="12"/>
        <v>9037.65</v>
      </c>
      <c r="P127" s="39">
        <f t="shared" si="13"/>
        <v>1826.1683333333333</v>
      </c>
      <c r="Q127" s="40">
        <f t="shared" si="14"/>
        <v>-6.3977307677916428E-2</v>
      </c>
      <c r="R127" s="39">
        <f t="shared" si="15"/>
        <v>9125</v>
      </c>
      <c r="S127" s="41"/>
      <c r="U127" s="42">
        <f t="shared" si="16"/>
        <v>-1</v>
      </c>
      <c r="V127" s="42">
        <f t="shared" si="17"/>
        <v>2</v>
      </c>
      <c r="W127" s="42">
        <f t="shared" si="18"/>
        <v>-1</v>
      </c>
    </row>
    <row r="128" spans="1:23" s="28" customFormat="1" ht="73.5" customHeight="1" x14ac:dyDescent="0.2">
      <c r="A128" s="30">
        <v>123</v>
      </c>
      <c r="B128" s="31" t="s">
        <v>185</v>
      </c>
      <c r="C128" s="32" t="s">
        <v>25</v>
      </c>
      <c r="D128" s="33">
        <v>4</v>
      </c>
      <c r="E128" s="34">
        <v>62.24</v>
      </c>
      <c r="F128" s="45">
        <v>65.3</v>
      </c>
      <c r="G128" s="32" t="s">
        <v>27</v>
      </c>
      <c r="H128" s="37">
        <f>76.58/1.2</f>
        <v>63.81666666666667</v>
      </c>
      <c r="I128" s="38">
        <f t="shared" si="19"/>
        <v>255.26666666666668</v>
      </c>
      <c r="J128" s="38" t="s">
        <v>28</v>
      </c>
      <c r="K128" s="37">
        <f>75.56/1.2</f>
        <v>62.966666666666669</v>
      </c>
      <c r="L128" s="38">
        <f t="shared" si="11"/>
        <v>251.86666666666667</v>
      </c>
      <c r="M128" s="32" t="s">
        <v>29</v>
      </c>
      <c r="N128" s="37">
        <v>70.62</v>
      </c>
      <c r="O128" s="38">
        <f t="shared" si="12"/>
        <v>282.48</v>
      </c>
      <c r="P128" s="39">
        <f t="shared" si="13"/>
        <v>65.801111111111112</v>
      </c>
      <c r="Q128" s="40">
        <f t="shared" si="14"/>
        <v>-0.76155417841644635</v>
      </c>
      <c r="R128" s="39">
        <f t="shared" si="15"/>
        <v>261.2</v>
      </c>
      <c r="S128" s="41"/>
      <c r="U128" s="42">
        <f t="shared" si="16"/>
        <v>-3</v>
      </c>
      <c r="V128" s="42">
        <f t="shared" si="17"/>
        <v>-4</v>
      </c>
      <c r="W128" s="42">
        <f t="shared" si="18"/>
        <v>7</v>
      </c>
    </row>
    <row r="129" spans="1:23" s="28" customFormat="1" ht="73.5" customHeight="1" x14ac:dyDescent="0.2">
      <c r="A129" s="30">
        <v>124</v>
      </c>
      <c r="B129" s="31" t="s">
        <v>186</v>
      </c>
      <c r="C129" s="32" t="s">
        <v>25</v>
      </c>
      <c r="D129" s="33">
        <v>2</v>
      </c>
      <c r="E129" s="34" t="s">
        <v>26</v>
      </c>
      <c r="F129" s="45">
        <v>65.010000000000005</v>
      </c>
      <c r="G129" s="32" t="s">
        <v>27</v>
      </c>
      <c r="H129" s="37">
        <f>74.03/1.2</f>
        <v>61.69166666666667</v>
      </c>
      <c r="I129" s="38">
        <f t="shared" si="19"/>
        <v>123.38333333333334</v>
      </c>
      <c r="J129" s="38" t="s">
        <v>28</v>
      </c>
      <c r="K129" s="37">
        <f>76.66/1.2</f>
        <v>63.883333333333333</v>
      </c>
      <c r="L129" s="38">
        <f t="shared" si="11"/>
        <v>127.76666666666667</v>
      </c>
      <c r="M129" s="32" t="s">
        <v>29</v>
      </c>
      <c r="N129" s="37">
        <v>69.739999999999995</v>
      </c>
      <c r="O129" s="38">
        <f t="shared" si="12"/>
        <v>139.47999999999999</v>
      </c>
      <c r="P129" s="39">
        <f t="shared" si="13"/>
        <v>65.105000000000004</v>
      </c>
      <c r="Q129" s="40">
        <f t="shared" si="14"/>
        <v>-0.14591813224789973</v>
      </c>
      <c r="R129" s="39">
        <f t="shared" si="15"/>
        <v>130.02000000000001</v>
      </c>
      <c r="S129" s="41"/>
      <c r="U129" s="42">
        <f t="shared" si="16"/>
        <v>-5</v>
      </c>
      <c r="V129" s="42">
        <f t="shared" si="17"/>
        <v>-2</v>
      </c>
      <c r="W129" s="42">
        <f t="shared" si="18"/>
        <v>7</v>
      </c>
    </row>
    <row r="130" spans="1:23" s="28" customFormat="1" ht="73.5" customHeight="1" x14ac:dyDescent="0.2">
      <c r="A130" s="30">
        <v>125</v>
      </c>
      <c r="B130" s="31" t="s">
        <v>187</v>
      </c>
      <c r="C130" s="32" t="s">
        <v>25</v>
      </c>
      <c r="D130" s="33">
        <v>4</v>
      </c>
      <c r="E130" s="34" t="s">
        <v>26</v>
      </c>
      <c r="F130" s="45">
        <v>133.1</v>
      </c>
      <c r="G130" s="32" t="s">
        <v>27</v>
      </c>
      <c r="H130" s="37">
        <f>149.48/1.2</f>
        <v>124.56666666666666</v>
      </c>
      <c r="I130" s="38">
        <f t="shared" si="19"/>
        <v>498.26666666666665</v>
      </c>
      <c r="J130" s="38" t="s">
        <v>28</v>
      </c>
      <c r="K130" s="37">
        <f>167.56/1.2</f>
        <v>139.63333333333335</v>
      </c>
      <c r="L130" s="38">
        <f t="shared" si="11"/>
        <v>558.53333333333342</v>
      </c>
      <c r="M130" s="32" t="s">
        <v>29</v>
      </c>
      <c r="N130" s="37">
        <v>136.08000000000001</v>
      </c>
      <c r="O130" s="38">
        <f t="shared" si="12"/>
        <v>544.32000000000005</v>
      </c>
      <c r="P130" s="39">
        <f t="shared" si="13"/>
        <v>133.4266666666667</v>
      </c>
      <c r="Q130" s="40">
        <f t="shared" si="14"/>
        <v>-0.2448286199660572</v>
      </c>
      <c r="R130" s="39">
        <f t="shared" si="15"/>
        <v>532.4</v>
      </c>
      <c r="S130" s="41"/>
      <c r="U130" s="42">
        <f t="shared" si="16"/>
        <v>-7</v>
      </c>
      <c r="V130" s="42">
        <f t="shared" si="17"/>
        <v>5</v>
      </c>
      <c r="W130" s="42">
        <f t="shared" si="18"/>
        <v>2</v>
      </c>
    </row>
    <row r="131" spans="1:23" s="28" customFormat="1" ht="73.5" customHeight="1" x14ac:dyDescent="0.2">
      <c r="A131" s="30">
        <v>126</v>
      </c>
      <c r="B131" s="31" t="s">
        <v>188</v>
      </c>
      <c r="C131" s="32" t="s">
        <v>53</v>
      </c>
      <c r="D131" s="33">
        <v>58.65</v>
      </c>
      <c r="E131" s="34">
        <v>917.04</v>
      </c>
      <c r="F131" s="45">
        <v>1090.4000000000001</v>
      </c>
      <c r="G131" s="36" t="s">
        <v>90</v>
      </c>
      <c r="H131" s="37">
        <f>1238.89/1.2</f>
        <v>1032.4083333333335</v>
      </c>
      <c r="I131" s="38">
        <f t="shared" si="19"/>
        <v>60550.748750000013</v>
      </c>
      <c r="J131" s="36" t="s">
        <v>189</v>
      </c>
      <c r="K131" s="37">
        <f>1320.83/1.2</f>
        <v>1100.6916666666666</v>
      </c>
      <c r="L131" s="38">
        <f t="shared" si="11"/>
        <v>64555.566249999996</v>
      </c>
      <c r="M131" s="36" t="s">
        <v>149</v>
      </c>
      <c r="N131" s="37">
        <f>1385.5/1.2</f>
        <v>1154.5833333333335</v>
      </c>
      <c r="O131" s="38">
        <f t="shared" si="12"/>
        <v>67716.3125</v>
      </c>
      <c r="P131" s="39">
        <f t="shared" si="13"/>
        <v>1095.8944444444446</v>
      </c>
      <c r="Q131" s="40">
        <f t="shared" si="14"/>
        <v>-0.50136621024937256</v>
      </c>
      <c r="R131" s="39">
        <f t="shared" si="15"/>
        <v>63951.960000000006</v>
      </c>
      <c r="S131" s="52"/>
      <c r="T131" s="53"/>
      <c r="U131" s="42">
        <f t="shared" si="16"/>
        <v>-6</v>
      </c>
      <c r="V131" s="42">
        <f t="shared" si="17"/>
        <v>0</v>
      </c>
      <c r="W131" s="42">
        <f t="shared" si="18"/>
        <v>5</v>
      </c>
    </row>
    <row r="132" spans="1:23" s="28" customFormat="1" ht="73.5" customHeight="1" x14ac:dyDescent="0.2">
      <c r="A132" s="30">
        <v>127</v>
      </c>
      <c r="B132" s="31" t="s">
        <v>190</v>
      </c>
      <c r="C132" s="32" t="s">
        <v>53</v>
      </c>
      <c r="D132" s="33" t="s">
        <v>191</v>
      </c>
      <c r="E132" s="34">
        <v>1562.5</v>
      </c>
      <c r="F132" s="45">
        <v>2710.82</v>
      </c>
      <c r="G132" s="36" t="s">
        <v>90</v>
      </c>
      <c r="H132" s="37">
        <f>3111.11/1.2</f>
        <v>2592.5916666666667</v>
      </c>
      <c r="I132" s="38">
        <f t="shared" ref="I132:I163" si="20">D132*H132</f>
        <v>2851.8508333333334</v>
      </c>
      <c r="J132" s="36" t="s">
        <v>189</v>
      </c>
      <c r="K132" s="37">
        <f>3185.77/1.2</f>
        <v>2654.8083333333334</v>
      </c>
      <c r="L132" s="38">
        <f t="shared" si="11"/>
        <v>2920.2891666666669</v>
      </c>
      <c r="M132" s="36" t="s">
        <v>149</v>
      </c>
      <c r="N132" s="37">
        <f>3480.8/1.2</f>
        <v>2900.666666666667</v>
      </c>
      <c r="O132" s="38">
        <f t="shared" si="12"/>
        <v>3190.733333333334</v>
      </c>
      <c r="P132" s="39">
        <f t="shared" si="13"/>
        <v>2716.0222222222224</v>
      </c>
      <c r="Q132" s="40">
        <f t="shared" si="14"/>
        <v>-0.19153827901915577</v>
      </c>
      <c r="R132" s="39">
        <f t="shared" si="15"/>
        <v>2981.9020000000005</v>
      </c>
      <c r="S132" s="52"/>
      <c r="U132" s="42">
        <f t="shared" si="16"/>
        <v>-5</v>
      </c>
      <c r="V132" s="42">
        <f t="shared" si="17"/>
        <v>-2</v>
      </c>
      <c r="W132" s="42">
        <f t="shared" si="18"/>
        <v>7</v>
      </c>
    </row>
    <row r="133" spans="1:23" s="28" customFormat="1" ht="73.5" customHeight="1" x14ac:dyDescent="0.2">
      <c r="A133" s="30">
        <v>128</v>
      </c>
      <c r="B133" s="31" t="s">
        <v>192</v>
      </c>
      <c r="C133" s="32" t="s">
        <v>53</v>
      </c>
      <c r="D133" s="33" t="s">
        <v>193</v>
      </c>
      <c r="E133" s="34">
        <v>1779.17</v>
      </c>
      <c r="F133" s="45">
        <v>2701.65</v>
      </c>
      <c r="G133" s="36" t="s">
        <v>90</v>
      </c>
      <c r="H133" s="37">
        <f>3166.67/1.2</f>
        <v>2638.8916666666669</v>
      </c>
      <c r="I133" s="38">
        <f t="shared" si="20"/>
        <v>8180.5641666666679</v>
      </c>
      <c r="J133" s="36" t="s">
        <v>189</v>
      </c>
      <c r="K133" s="37">
        <f>3135.29/1.2</f>
        <v>2612.7416666666668</v>
      </c>
      <c r="L133" s="38">
        <f t="shared" si="11"/>
        <v>8099.4991666666674</v>
      </c>
      <c r="M133" s="36" t="s">
        <v>149</v>
      </c>
      <c r="N133" s="37">
        <f>3514.09/1.2</f>
        <v>2928.4083333333338</v>
      </c>
      <c r="O133" s="38">
        <f t="shared" si="12"/>
        <v>9078.065833333334</v>
      </c>
      <c r="P133" s="39">
        <f t="shared" si="13"/>
        <v>2726.6805555555557</v>
      </c>
      <c r="Q133" s="40">
        <f t="shared" si="14"/>
        <v>-0.91798635907518644</v>
      </c>
      <c r="R133" s="39">
        <f t="shared" si="15"/>
        <v>8375.1149999999998</v>
      </c>
      <c r="S133" s="52"/>
      <c r="U133" s="42">
        <f t="shared" si="16"/>
        <v>-3</v>
      </c>
      <c r="V133" s="42">
        <f t="shared" si="17"/>
        <v>-4</v>
      </c>
      <c r="W133" s="42">
        <f t="shared" si="18"/>
        <v>7</v>
      </c>
    </row>
    <row r="134" spans="1:23" s="28" customFormat="1" ht="73.5" customHeight="1" x14ac:dyDescent="0.2">
      <c r="A134" s="30">
        <v>129</v>
      </c>
      <c r="B134" s="31" t="s">
        <v>194</v>
      </c>
      <c r="C134" s="32" t="s">
        <v>53</v>
      </c>
      <c r="D134" s="33">
        <v>10</v>
      </c>
      <c r="E134" s="34">
        <v>1270.3699999999999</v>
      </c>
      <c r="F134" s="45">
        <v>1478.6</v>
      </c>
      <c r="G134" s="36" t="s">
        <v>90</v>
      </c>
      <c r="H134" s="37">
        <f>1725.55/1.2</f>
        <v>1437.9583333333333</v>
      </c>
      <c r="I134" s="38">
        <f t="shared" si="20"/>
        <v>14379.583333333332</v>
      </c>
      <c r="J134" s="36" t="s">
        <v>189</v>
      </c>
      <c r="K134" s="37">
        <f>1741.12/1.2</f>
        <v>1450.9333333333334</v>
      </c>
      <c r="L134" s="38">
        <f t="shared" si="11"/>
        <v>14509.333333333334</v>
      </c>
      <c r="M134" s="36" t="s">
        <v>149</v>
      </c>
      <c r="N134" s="37">
        <f>1865.66/1.2</f>
        <v>1554.7166666666667</v>
      </c>
      <c r="O134" s="38">
        <f t="shared" si="12"/>
        <v>15547.166666666668</v>
      </c>
      <c r="P134" s="39">
        <f t="shared" si="13"/>
        <v>1481.2027777777778</v>
      </c>
      <c r="Q134" s="40">
        <f t="shared" si="14"/>
        <v>-0.17572055742986947</v>
      </c>
      <c r="R134" s="39">
        <f t="shared" si="15"/>
        <v>14786</v>
      </c>
      <c r="S134" s="52"/>
      <c r="U134" s="42">
        <f t="shared" si="16"/>
        <v>-3</v>
      </c>
      <c r="V134" s="42">
        <f t="shared" si="17"/>
        <v>-2</v>
      </c>
      <c r="W134" s="42">
        <f t="shared" si="18"/>
        <v>5</v>
      </c>
    </row>
    <row r="135" spans="1:23" s="28" customFormat="1" ht="73.5" customHeight="1" x14ac:dyDescent="0.2">
      <c r="A135" s="30">
        <v>130</v>
      </c>
      <c r="B135" s="31" t="s">
        <v>195</v>
      </c>
      <c r="C135" s="32" t="s">
        <v>53</v>
      </c>
      <c r="D135" s="33">
        <v>15</v>
      </c>
      <c r="E135" s="34">
        <v>1323.15</v>
      </c>
      <c r="F135" s="45">
        <v>1369.87</v>
      </c>
      <c r="G135" s="36" t="s">
        <v>90</v>
      </c>
      <c r="H135" s="37">
        <f>1505.56/1.2</f>
        <v>1254.6333333333334</v>
      </c>
      <c r="I135" s="38">
        <f t="shared" si="20"/>
        <v>18819.5</v>
      </c>
      <c r="J135" s="36" t="s">
        <v>189</v>
      </c>
      <c r="K135" s="37">
        <f>1637.46/1.2</f>
        <v>1364.5500000000002</v>
      </c>
      <c r="L135" s="38">
        <f t="shared" si="11"/>
        <v>20468.250000000004</v>
      </c>
      <c r="M135" s="36" t="s">
        <v>149</v>
      </c>
      <c r="N135" s="37">
        <f>1805.2/1.2</f>
        <v>1504.3333333333335</v>
      </c>
      <c r="O135" s="38">
        <f t="shared" si="12"/>
        <v>22565.000000000004</v>
      </c>
      <c r="P135" s="39">
        <f t="shared" si="13"/>
        <v>1374.5055555555555</v>
      </c>
      <c r="Q135" s="40">
        <f t="shared" si="14"/>
        <v>-0.33725258779924161</v>
      </c>
      <c r="R135" s="39">
        <f t="shared" si="15"/>
        <v>20548.05</v>
      </c>
      <c r="S135" s="52"/>
      <c r="U135" s="42">
        <f t="shared" si="16"/>
        <v>-9</v>
      </c>
      <c r="V135" s="42">
        <f t="shared" si="17"/>
        <v>-1</v>
      </c>
      <c r="W135" s="42">
        <f t="shared" si="18"/>
        <v>9</v>
      </c>
    </row>
    <row r="136" spans="1:23" s="28" customFormat="1" ht="73.5" customHeight="1" x14ac:dyDescent="0.2">
      <c r="A136" s="30">
        <v>131</v>
      </c>
      <c r="B136" s="31" t="s">
        <v>196</v>
      </c>
      <c r="C136" s="32" t="s">
        <v>53</v>
      </c>
      <c r="D136" s="33" t="s">
        <v>191</v>
      </c>
      <c r="E136" s="34">
        <v>1349.17</v>
      </c>
      <c r="F136" s="45">
        <v>1878.3</v>
      </c>
      <c r="G136" s="36" t="s">
        <v>90</v>
      </c>
      <c r="H136" s="37">
        <f>2222.22/1.2</f>
        <v>1851.85</v>
      </c>
      <c r="I136" s="38">
        <f t="shared" si="20"/>
        <v>2037.0350000000001</v>
      </c>
      <c r="J136" s="36" t="s">
        <v>189</v>
      </c>
      <c r="K136" s="37">
        <f>2269.73/1.2</f>
        <v>1891.4416666666668</v>
      </c>
      <c r="L136" s="38">
        <f t="shared" si="11"/>
        <v>2080.5858333333335</v>
      </c>
      <c r="M136" s="36" t="s">
        <v>149</v>
      </c>
      <c r="N136" s="37">
        <f>2294.14/1.2</f>
        <v>1911.7833333333333</v>
      </c>
      <c r="O136" s="38">
        <f t="shared" si="12"/>
        <v>2102.9616666666666</v>
      </c>
      <c r="P136" s="39">
        <f t="shared" si="13"/>
        <v>1885.0250000000003</v>
      </c>
      <c r="Q136" s="40">
        <f t="shared" si="14"/>
        <v>-0.35675919417515445</v>
      </c>
      <c r="R136" s="39">
        <f t="shared" si="15"/>
        <v>2066.13</v>
      </c>
      <c r="S136" s="52"/>
      <c r="U136" s="42">
        <f t="shared" si="16"/>
        <v>-2</v>
      </c>
      <c r="V136" s="42">
        <f t="shared" si="17"/>
        <v>0</v>
      </c>
      <c r="W136" s="42">
        <f t="shared" si="18"/>
        <v>1</v>
      </c>
    </row>
    <row r="137" spans="1:23" s="28" customFormat="1" ht="73.5" customHeight="1" x14ac:dyDescent="0.2">
      <c r="A137" s="30">
        <v>132</v>
      </c>
      <c r="B137" s="31" t="s">
        <v>197</v>
      </c>
      <c r="C137" s="32" t="s">
        <v>45</v>
      </c>
      <c r="D137" s="33">
        <v>450</v>
      </c>
      <c r="E137" s="34" t="s">
        <v>26</v>
      </c>
      <c r="F137" s="45">
        <v>452.31</v>
      </c>
      <c r="G137" s="32" t="s">
        <v>198</v>
      </c>
      <c r="H137" s="37">
        <f>12465/1.2/25</f>
        <v>415.5</v>
      </c>
      <c r="I137" s="38">
        <f t="shared" si="20"/>
        <v>186975</v>
      </c>
      <c r="J137" s="36" t="s">
        <v>189</v>
      </c>
      <c r="K137" s="37">
        <f>526.16/1.2</f>
        <v>438.46666666666664</v>
      </c>
      <c r="L137" s="38">
        <f t="shared" si="11"/>
        <v>197310</v>
      </c>
      <c r="M137" s="38" t="s">
        <v>41</v>
      </c>
      <c r="N137" s="37">
        <v>509.48</v>
      </c>
      <c r="O137" s="38">
        <f t="shared" si="12"/>
        <v>229266</v>
      </c>
      <c r="P137" s="39">
        <f t="shared" si="13"/>
        <v>454.48222222222222</v>
      </c>
      <c r="Q137" s="40">
        <f t="shared" si="14"/>
        <v>-0.47795537779255426</v>
      </c>
      <c r="R137" s="39">
        <f t="shared" si="15"/>
        <v>203539.5</v>
      </c>
      <c r="S137" s="41"/>
      <c r="U137" s="42">
        <f t="shared" si="16"/>
        <v>-9</v>
      </c>
      <c r="V137" s="42">
        <f t="shared" si="17"/>
        <v>-4</v>
      </c>
      <c r="W137" s="42">
        <f t="shared" si="18"/>
        <v>12</v>
      </c>
    </row>
    <row r="138" spans="1:23" s="28" customFormat="1" ht="73.5" customHeight="1" x14ac:dyDescent="0.2">
      <c r="A138" s="30">
        <v>133</v>
      </c>
      <c r="B138" s="31" t="s">
        <v>199</v>
      </c>
      <c r="C138" s="32" t="s">
        <v>25</v>
      </c>
      <c r="D138" s="33">
        <v>2</v>
      </c>
      <c r="E138" s="34" t="s">
        <v>26</v>
      </c>
      <c r="F138" s="45">
        <v>789.34</v>
      </c>
      <c r="G138" s="32" t="s">
        <v>27</v>
      </c>
      <c r="H138" s="37">
        <f>898.07/1.2</f>
        <v>748.39166666666677</v>
      </c>
      <c r="I138" s="38">
        <f t="shared" si="20"/>
        <v>1496.7833333333335</v>
      </c>
      <c r="J138" s="38" t="s">
        <v>28</v>
      </c>
      <c r="K138" s="37">
        <f>987.35/1.2</f>
        <v>822.79166666666674</v>
      </c>
      <c r="L138" s="38">
        <f t="shared" si="11"/>
        <v>1645.5833333333335</v>
      </c>
      <c r="M138" s="32" t="s">
        <v>29</v>
      </c>
      <c r="N138" s="37">
        <v>801.16</v>
      </c>
      <c r="O138" s="38">
        <f t="shared" si="12"/>
        <v>1602.32</v>
      </c>
      <c r="P138" s="39">
        <f t="shared" si="13"/>
        <v>790.78111111111104</v>
      </c>
      <c r="Q138" s="40">
        <f t="shared" si="14"/>
        <v>-0.18223893955764936</v>
      </c>
      <c r="R138" s="39">
        <f t="shared" si="15"/>
        <v>1578.68</v>
      </c>
      <c r="S138" s="41"/>
      <c r="U138" s="42">
        <f t="shared" si="16"/>
        <v>-5</v>
      </c>
      <c r="V138" s="42">
        <f t="shared" si="17"/>
        <v>4</v>
      </c>
      <c r="W138" s="42">
        <f t="shared" si="18"/>
        <v>1</v>
      </c>
    </row>
    <row r="139" spans="1:23" s="28" customFormat="1" ht="73.5" customHeight="1" x14ac:dyDescent="0.2">
      <c r="A139" s="30">
        <v>134</v>
      </c>
      <c r="B139" s="31" t="s">
        <v>200</v>
      </c>
      <c r="C139" s="32" t="s">
        <v>25</v>
      </c>
      <c r="D139" s="33">
        <v>36</v>
      </c>
      <c r="E139" s="34" t="s">
        <v>26</v>
      </c>
      <c r="F139" s="45">
        <v>329.75</v>
      </c>
      <c r="G139" s="32" t="s">
        <v>27</v>
      </c>
      <c r="H139" s="37">
        <f>356.62/1.2</f>
        <v>297.18333333333334</v>
      </c>
      <c r="I139" s="38">
        <f t="shared" si="20"/>
        <v>10698.6</v>
      </c>
      <c r="J139" s="38" t="s">
        <v>28</v>
      </c>
      <c r="K139" s="37">
        <f>442.12/1.2</f>
        <v>368.43333333333334</v>
      </c>
      <c r="L139" s="38">
        <f t="shared" si="11"/>
        <v>13263.6</v>
      </c>
      <c r="M139" s="32" t="s">
        <v>29</v>
      </c>
      <c r="N139" s="37">
        <v>335.45</v>
      </c>
      <c r="O139" s="38">
        <f t="shared" si="12"/>
        <v>12076.199999999999</v>
      </c>
      <c r="P139" s="39">
        <f t="shared" si="13"/>
        <v>333.68888888888887</v>
      </c>
      <c r="Q139" s="40">
        <f t="shared" si="14"/>
        <v>-1.1804075652637067</v>
      </c>
      <c r="R139" s="39">
        <f t="shared" si="15"/>
        <v>11871</v>
      </c>
      <c r="S139" s="41"/>
      <c r="U139" s="42">
        <f t="shared" si="16"/>
        <v>-11</v>
      </c>
      <c r="V139" s="42">
        <f t="shared" si="17"/>
        <v>10</v>
      </c>
      <c r="W139" s="42">
        <f t="shared" si="18"/>
        <v>1</v>
      </c>
    </row>
    <row r="140" spans="1:23" s="28" customFormat="1" ht="99.75" customHeight="1" x14ac:dyDescent="0.2">
      <c r="A140" s="30">
        <v>135</v>
      </c>
      <c r="B140" s="31" t="s">
        <v>201</v>
      </c>
      <c r="C140" s="32" t="s">
        <v>45</v>
      </c>
      <c r="D140" s="33">
        <v>140</v>
      </c>
      <c r="E140" s="34">
        <v>387.5</v>
      </c>
      <c r="F140" s="45">
        <v>429.98</v>
      </c>
      <c r="G140" s="32" t="s">
        <v>202</v>
      </c>
      <c r="H140" s="37">
        <f>10220/25</f>
        <v>408.8</v>
      </c>
      <c r="I140" s="38">
        <f t="shared" si="20"/>
        <v>57232</v>
      </c>
      <c r="J140" s="32" t="s">
        <v>46</v>
      </c>
      <c r="K140" s="37">
        <v>456.73</v>
      </c>
      <c r="L140" s="38">
        <f t="shared" ref="L140:L203" si="21">D140*K140</f>
        <v>63942.200000000004</v>
      </c>
      <c r="M140" s="32" t="s">
        <v>57</v>
      </c>
      <c r="N140" s="37">
        <v>428.41</v>
      </c>
      <c r="O140" s="38">
        <f t="shared" ref="O140:O203" si="22">D140*N140</f>
        <v>59977.4</v>
      </c>
      <c r="P140" s="39">
        <f t="shared" ref="P140:P203" si="23">AVERAGE(H140,K140,N140)</f>
        <v>431.31333333333333</v>
      </c>
      <c r="Q140" s="40">
        <f t="shared" ref="Q140:Q203" si="24">F140*100/P140-100</f>
        <v>-0.30913334466822562</v>
      </c>
      <c r="R140" s="39">
        <f t="shared" ref="R140:R203" si="25">D140*F140</f>
        <v>60197.200000000004</v>
      </c>
      <c r="S140" s="41"/>
      <c r="U140" s="42">
        <f t="shared" ref="U140:U203" si="26">ROUND(H140*100/P140-100,0)</f>
        <v>-5</v>
      </c>
      <c r="V140" s="42">
        <f t="shared" ref="V140:V203" si="27">ROUND(K140*100/P140-100,0)</f>
        <v>6</v>
      </c>
      <c r="W140" s="42">
        <f t="shared" ref="W140:W203" si="28">ROUND(N140*100/P140-100,0)</f>
        <v>-1</v>
      </c>
    </row>
    <row r="141" spans="1:23" s="28" customFormat="1" ht="95.25" customHeight="1" x14ac:dyDescent="0.2">
      <c r="A141" s="30">
        <v>136</v>
      </c>
      <c r="B141" s="31" t="s">
        <v>203</v>
      </c>
      <c r="C141" s="32" t="s">
        <v>45</v>
      </c>
      <c r="D141" s="33">
        <v>12</v>
      </c>
      <c r="E141" s="34">
        <v>808.33</v>
      </c>
      <c r="F141" s="45">
        <v>905.66</v>
      </c>
      <c r="G141" s="32" t="s">
        <v>202</v>
      </c>
      <c r="H141" s="37">
        <f>21931.67/25</f>
        <v>877.26679999999988</v>
      </c>
      <c r="I141" s="38">
        <f t="shared" si="20"/>
        <v>10527.201599999999</v>
      </c>
      <c r="J141" s="32" t="s">
        <v>46</v>
      </c>
      <c r="K141" s="37">
        <v>954.02</v>
      </c>
      <c r="L141" s="38">
        <f t="shared" si="21"/>
        <v>11448.24</v>
      </c>
      <c r="M141" s="32" t="s">
        <v>57</v>
      </c>
      <c r="N141" s="37">
        <v>893.4</v>
      </c>
      <c r="O141" s="38">
        <f t="shared" si="22"/>
        <v>10720.8</v>
      </c>
      <c r="P141" s="39">
        <f t="shared" si="23"/>
        <v>908.22893333333332</v>
      </c>
      <c r="Q141" s="40">
        <f t="shared" si="24"/>
        <v>-0.28285085830782464</v>
      </c>
      <c r="R141" s="39">
        <f t="shared" si="25"/>
        <v>10867.92</v>
      </c>
      <c r="S141" s="41"/>
      <c r="U141" s="42">
        <f t="shared" si="26"/>
        <v>-3</v>
      </c>
      <c r="V141" s="42">
        <f t="shared" si="27"/>
        <v>5</v>
      </c>
      <c r="W141" s="42">
        <f t="shared" si="28"/>
        <v>-2</v>
      </c>
    </row>
    <row r="142" spans="1:23" s="28" customFormat="1" ht="73.5" customHeight="1" x14ac:dyDescent="0.2">
      <c r="A142" s="30">
        <v>137</v>
      </c>
      <c r="B142" s="31" t="s">
        <v>204</v>
      </c>
      <c r="C142" s="32" t="s">
        <v>25</v>
      </c>
      <c r="D142" s="33">
        <v>12</v>
      </c>
      <c r="E142" s="34" t="s">
        <v>26</v>
      </c>
      <c r="F142" s="45">
        <v>653.71</v>
      </c>
      <c r="G142" s="32" t="s">
        <v>27</v>
      </c>
      <c r="H142" s="37">
        <f>723.24/1.2</f>
        <v>602.70000000000005</v>
      </c>
      <c r="I142" s="38">
        <f t="shared" si="20"/>
        <v>7232.4000000000005</v>
      </c>
      <c r="J142" s="38" t="s">
        <v>28</v>
      </c>
      <c r="K142" s="37">
        <f>857.27/1.2</f>
        <v>714.39166666666665</v>
      </c>
      <c r="L142" s="38">
        <f t="shared" si="21"/>
        <v>8572.7000000000007</v>
      </c>
      <c r="M142" s="32" t="s">
        <v>29</v>
      </c>
      <c r="N142" s="37">
        <v>652.02</v>
      </c>
      <c r="O142" s="38">
        <f t="shared" si="22"/>
        <v>7824.24</v>
      </c>
      <c r="P142" s="39">
        <f t="shared" si="23"/>
        <v>656.3705555555556</v>
      </c>
      <c r="Q142" s="40">
        <f t="shared" si="24"/>
        <v>-0.4053435263109435</v>
      </c>
      <c r="R142" s="39">
        <f t="shared" si="25"/>
        <v>7844.52</v>
      </c>
      <c r="S142" s="41"/>
      <c r="U142" s="42">
        <f t="shared" si="26"/>
        <v>-8</v>
      </c>
      <c r="V142" s="42">
        <f t="shared" si="27"/>
        <v>9</v>
      </c>
      <c r="W142" s="42">
        <f t="shared" si="28"/>
        <v>-1</v>
      </c>
    </row>
    <row r="143" spans="1:23" s="28" customFormat="1" ht="73.5" customHeight="1" x14ac:dyDescent="0.2">
      <c r="A143" s="30">
        <v>138</v>
      </c>
      <c r="B143" s="31" t="s">
        <v>205</v>
      </c>
      <c r="C143" s="32" t="s">
        <v>25</v>
      </c>
      <c r="D143" s="33">
        <v>35</v>
      </c>
      <c r="E143" s="34" t="s">
        <v>26</v>
      </c>
      <c r="F143" s="45">
        <v>113.54</v>
      </c>
      <c r="G143" s="32" t="s">
        <v>27</v>
      </c>
      <c r="H143" s="37">
        <f>118.77/1.2</f>
        <v>98.974999999999994</v>
      </c>
      <c r="I143" s="38">
        <f t="shared" si="20"/>
        <v>3464.125</v>
      </c>
      <c r="J143" s="38" t="s">
        <v>28</v>
      </c>
      <c r="K143" s="37">
        <f>135.22/1.2</f>
        <v>112.68333333333334</v>
      </c>
      <c r="L143" s="38">
        <f t="shared" si="21"/>
        <v>3943.916666666667</v>
      </c>
      <c r="M143" s="32" t="s">
        <v>29</v>
      </c>
      <c r="N143" s="37">
        <v>135.37</v>
      </c>
      <c r="O143" s="38">
        <f t="shared" si="22"/>
        <v>4737.95</v>
      </c>
      <c r="P143" s="39">
        <f t="shared" si="23"/>
        <v>115.6761111111111</v>
      </c>
      <c r="Q143" s="40">
        <f t="shared" si="24"/>
        <v>-1.846631158839088</v>
      </c>
      <c r="R143" s="39">
        <f t="shared" si="25"/>
        <v>3973.9</v>
      </c>
      <c r="S143" s="41"/>
      <c r="U143" s="42">
        <f t="shared" si="26"/>
        <v>-14</v>
      </c>
      <c r="V143" s="42">
        <f t="shared" si="27"/>
        <v>-3</v>
      </c>
      <c r="W143" s="42">
        <f t="shared" si="28"/>
        <v>17</v>
      </c>
    </row>
    <row r="144" spans="1:23" s="28" customFormat="1" ht="73.5" customHeight="1" x14ac:dyDescent="0.2">
      <c r="A144" s="30">
        <v>139</v>
      </c>
      <c r="B144" s="31" t="s">
        <v>206</v>
      </c>
      <c r="C144" s="32" t="s">
        <v>25</v>
      </c>
      <c r="D144" s="33">
        <v>20</v>
      </c>
      <c r="E144" s="34">
        <v>221.17</v>
      </c>
      <c r="F144" s="45">
        <v>242.64</v>
      </c>
      <c r="G144" s="32" t="s">
        <v>27</v>
      </c>
      <c r="H144" s="37">
        <f>283.32/1.2</f>
        <v>236.1</v>
      </c>
      <c r="I144" s="38">
        <f t="shared" si="20"/>
        <v>4722</v>
      </c>
      <c r="J144" s="38" t="s">
        <v>28</v>
      </c>
      <c r="K144" s="37">
        <f>320.12/1.2</f>
        <v>266.76666666666671</v>
      </c>
      <c r="L144" s="38">
        <f t="shared" si="21"/>
        <v>5335.3333333333339</v>
      </c>
      <c r="M144" s="32" t="s">
        <v>29</v>
      </c>
      <c r="N144" s="37">
        <v>231.89</v>
      </c>
      <c r="O144" s="38">
        <f t="shared" si="22"/>
        <v>4637.7999999999993</v>
      </c>
      <c r="P144" s="39">
        <f t="shared" si="23"/>
        <v>244.91888888888889</v>
      </c>
      <c r="Q144" s="40">
        <f t="shared" si="24"/>
        <v>-0.93046677584868576</v>
      </c>
      <c r="R144" s="39">
        <f t="shared" si="25"/>
        <v>4852.7999999999993</v>
      </c>
      <c r="S144" s="41"/>
      <c r="U144" s="42">
        <f t="shared" si="26"/>
        <v>-4</v>
      </c>
      <c r="V144" s="42">
        <f t="shared" si="27"/>
        <v>9</v>
      </c>
      <c r="W144" s="42">
        <f t="shared" si="28"/>
        <v>-5</v>
      </c>
    </row>
    <row r="145" spans="1:23" s="28" customFormat="1" ht="73.5" customHeight="1" x14ac:dyDescent="0.2">
      <c r="A145" s="30">
        <v>140</v>
      </c>
      <c r="B145" s="31" t="s">
        <v>207</v>
      </c>
      <c r="C145" s="32" t="s">
        <v>25</v>
      </c>
      <c r="D145" s="33">
        <v>356</v>
      </c>
      <c r="E145" s="34">
        <v>148.41</v>
      </c>
      <c r="F145" s="45">
        <v>228.33</v>
      </c>
      <c r="G145" s="32" t="s">
        <v>27</v>
      </c>
      <c r="H145" s="37">
        <f>219.61/1.2</f>
        <v>183.00833333333335</v>
      </c>
      <c r="I145" s="38">
        <f t="shared" si="20"/>
        <v>65150.966666666674</v>
      </c>
      <c r="J145" s="38" t="s">
        <v>28</v>
      </c>
      <c r="K145" s="37">
        <f>287.78/1.2</f>
        <v>239.81666666666666</v>
      </c>
      <c r="L145" s="38">
        <f t="shared" si="21"/>
        <v>85374.733333333337</v>
      </c>
      <c r="M145" s="32" t="s">
        <v>29</v>
      </c>
      <c r="N145" s="37">
        <v>266.51</v>
      </c>
      <c r="O145" s="38">
        <f t="shared" si="22"/>
        <v>94877.56</v>
      </c>
      <c r="P145" s="39">
        <f t="shared" si="23"/>
        <v>229.77833333333334</v>
      </c>
      <c r="Q145" s="40">
        <f t="shared" si="24"/>
        <v>-0.63031762495738519</v>
      </c>
      <c r="R145" s="39">
        <f t="shared" si="25"/>
        <v>81285.48000000001</v>
      </c>
      <c r="S145" s="41"/>
      <c r="U145" s="42">
        <f t="shared" si="26"/>
        <v>-20</v>
      </c>
      <c r="V145" s="42">
        <f t="shared" si="27"/>
        <v>4</v>
      </c>
      <c r="W145" s="42">
        <f t="shared" si="28"/>
        <v>16</v>
      </c>
    </row>
    <row r="146" spans="1:23" s="28" customFormat="1" ht="73.5" customHeight="1" x14ac:dyDescent="0.2">
      <c r="A146" s="30">
        <v>141</v>
      </c>
      <c r="B146" s="31" t="s">
        <v>208</v>
      </c>
      <c r="C146" s="32" t="s">
        <v>25</v>
      </c>
      <c r="D146" s="33" t="s">
        <v>209</v>
      </c>
      <c r="E146" s="34">
        <v>201.62</v>
      </c>
      <c r="F146" s="45">
        <v>233.64</v>
      </c>
      <c r="G146" s="32" t="s">
        <v>27</v>
      </c>
      <c r="H146" s="37">
        <f>276.58/1.2</f>
        <v>230.48333333333332</v>
      </c>
      <c r="I146" s="38">
        <f t="shared" si="20"/>
        <v>61769.533333333333</v>
      </c>
      <c r="J146" s="38" t="s">
        <v>28</v>
      </c>
      <c r="K146" s="37">
        <f>267.66/1.2</f>
        <v>223.05000000000004</v>
      </c>
      <c r="L146" s="38">
        <f t="shared" si="21"/>
        <v>59777.400000000009</v>
      </c>
      <c r="M146" s="32" t="s">
        <v>29</v>
      </c>
      <c r="N146" s="37">
        <v>248.97</v>
      </c>
      <c r="O146" s="38">
        <f t="shared" si="22"/>
        <v>66723.960000000006</v>
      </c>
      <c r="P146" s="39">
        <f t="shared" si="23"/>
        <v>234.16777777777779</v>
      </c>
      <c r="Q146" s="40">
        <f t="shared" si="24"/>
        <v>-0.22538445843673571</v>
      </c>
      <c r="R146" s="39">
        <f t="shared" si="25"/>
        <v>62615.519999999997</v>
      </c>
      <c r="S146" s="41"/>
      <c r="U146" s="42">
        <f t="shared" si="26"/>
        <v>-2</v>
      </c>
      <c r="V146" s="42">
        <f t="shared" si="27"/>
        <v>-5</v>
      </c>
      <c r="W146" s="42">
        <f t="shared" si="28"/>
        <v>6</v>
      </c>
    </row>
    <row r="147" spans="1:23" s="28" customFormat="1" ht="73.5" customHeight="1" x14ac:dyDescent="0.2">
      <c r="A147" s="30">
        <v>142</v>
      </c>
      <c r="B147" s="31" t="s">
        <v>210</v>
      </c>
      <c r="C147" s="32" t="s">
        <v>25</v>
      </c>
      <c r="D147" s="33">
        <v>200</v>
      </c>
      <c r="E147" s="34">
        <v>250.93</v>
      </c>
      <c r="F147" s="45">
        <v>325.77999999999997</v>
      </c>
      <c r="G147" s="32" t="s">
        <v>27</v>
      </c>
      <c r="H147" s="37">
        <f>364.29/1.2</f>
        <v>303.57500000000005</v>
      </c>
      <c r="I147" s="38">
        <f t="shared" si="20"/>
        <v>60715.000000000007</v>
      </c>
      <c r="J147" s="38" t="s">
        <v>28</v>
      </c>
      <c r="K147" s="37">
        <f>361.37/1.2</f>
        <v>301.14166666666671</v>
      </c>
      <c r="L147" s="38">
        <f t="shared" si="21"/>
        <v>60228.333333333343</v>
      </c>
      <c r="M147" s="32" t="s">
        <v>29</v>
      </c>
      <c r="N147" s="37">
        <v>374.02</v>
      </c>
      <c r="O147" s="38">
        <f t="shared" si="22"/>
        <v>74804</v>
      </c>
      <c r="P147" s="39">
        <f t="shared" si="23"/>
        <v>326.24555555555554</v>
      </c>
      <c r="Q147" s="40">
        <f t="shared" si="24"/>
        <v>-0.14270096484925432</v>
      </c>
      <c r="R147" s="39">
        <f t="shared" si="25"/>
        <v>65155.999999999993</v>
      </c>
      <c r="S147" s="41"/>
      <c r="U147" s="42">
        <f t="shared" si="26"/>
        <v>-7</v>
      </c>
      <c r="V147" s="42">
        <f t="shared" si="27"/>
        <v>-8</v>
      </c>
      <c r="W147" s="42">
        <f t="shared" si="28"/>
        <v>15</v>
      </c>
    </row>
    <row r="148" spans="1:23" s="28" customFormat="1" ht="73.5" customHeight="1" x14ac:dyDescent="0.2">
      <c r="A148" s="30">
        <v>143</v>
      </c>
      <c r="B148" s="31" t="s">
        <v>211</v>
      </c>
      <c r="C148" s="32" t="s">
        <v>25</v>
      </c>
      <c r="D148" s="33">
        <v>40</v>
      </c>
      <c r="E148" s="34">
        <v>814.79</v>
      </c>
      <c r="F148" s="35">
        <v>1233.75</v>
      </c>
      <c r="G148" s="32" t="s">
        <v>27</v>
      </c>
      <c r="H148" s="37">
        <f>1201.84/1.2</f>
        <v>1001.5333333333333</v>
      </c>
      <c r="I148" s="38">
        <f t="shared" si="20"/>
        <v>40061.333333333328</v>
      </c>
      <c r="J148" s="38" t="s">
        <v>28</v>
      </c>
      <c r="K148" s="37">
        <f>1674.32/1.2</f>
        <v>1395.2666666666667</v>
      </c>
      <c r="L148" s="38">
        <f t="shared" si="21"/>
        <v>55810.666666666664</v>
      </c>
      <c r="M148" s="32" t="s">
        <v>29</v>
      </c>
      <c r="N148" s="37">
        <v>1306.33</v>
      </c>
      <c r="O148" s="38">
        <f t="shared" si="22"/>
        <v>52253.2</v>
      </c>
      <c r="P148" s="39">
        <f t="shared" si="23"/>
        <v>1234.3766666666668</v>
      </c>
      <c r="Q148" s="40">
        <f t="shared" si="24"/>
        <v>-5.0767863942127178E-2</v>
      </c>
      <c r="R148" s="39">
        <f t="shared" si="25"/>
        <v>49350</v>
      </c>
      <c r="S148" s="41"/>
      <c r="U148" s="42">
        <f t="shared" si="26"/>
        <v>-19</v>
      </c>
      <c r="V148" s="42">
        <f t="shared" si="27"/>
        <v>13</v>
      </c>
      <c r="W148" s="42">
        <f t="shared" si="28"/>
        <v>6</v>
      </c>
    </row>
    <row r="149" spans="1:23" s="28" customFormat="1" ht="73.5" customHeight="1" x14ac:dyDescent="0.2">
      <c r="A149" s="30">
        <v>144</v>
      </c>
      <c r="B149" s="31" t="s">
        <v>212</v>
      </c>
      <c r="C149" s="32" t="s">
        <v>25</v>
      </c>
      <c r="D149" s="33">
        <v>30</v>
      </c>
      <c r="E149" s="34">
        <v>883.22</v>
      </c>
      <c r="F149" s="35">
        <v>1098.76</v>
      </c>
      <c r="G149" s="32" t="s">
        <v>27</v>
      </c>
      <c r="H149" s="37">
        <f>1199.31/1.2</f>
        <v>999.42499999999995</v>
      </c>
      <c r="I149" s="38">
        <f t="shared" si="20"/>
        <v>29982.75</v>
      </c>
      <c r="J149" s="38" t="s">
        <v>28</v>
      </c>
      <c r="K149" s="37">
        <f>1269.16/1.2</f>
        <v>1057.6333333333334</v>
      </c>
      <c r="L149" s="38">
        <f t="shared" si="21"/>
        <v>31729.000000000004</v>
      </c>
      <c r="M149" s="32" t="s">
        <v>29</v>
      </c>
      <c r="N149" s="37">
        <v>1244.25</v>
      </c>
      <c r="O149" s="38">
        <f t="shared" si="22"/>
        <v>37327.5</v>
      </c>
      <c r="P149" s="39">
        <f t="shared" si="23"/>
        <v>1100.4361111111111</v>
      </c>
      <c r="Q149" s="40">
        <f t="shared" si="24"/>
        <v>-0.15231335051507244</v>
      </c>
      <c r="R149" s="39">
        <f t="shared" si="25"/>
        <v>32962.800000000003</v>
      </c>
      <c r="S149" s="41"/>
      <c r="U149" s="42">
        <f t="shared" si="26"/>
        <v>-9</v>
      </c>
      <c r="V149" s="42">
        <f t="shared" si="27"/>
        <v>-4</v>
      </c>
      <c r="W149" s="42">
        <f t="shared" si="28"/>
        <v>13</v>
      </c>
    </row>
    <row r="150" spans="1:23" s="28" customFormat="1" ht="73.5" customHeight="1" x14ac:dyDescent="0.2">
      <c r="A150" s="30">
        <v>145</v>
      </c>
      <c r="B150" s="31" t="s">
        <v>213</v>
      </c>
      <c r="C150" s="32" t="s">
        <v>25</v>
      </c>
      <c r="D150" s="33">
        <v>118</v>
      </c>
      <c r="E150" s="34">
        <v>924.46</v>
      </c>
      <c r="F150" s="35">
        <v>951.47</v>
      </c>
      <c r="G150" s="32" t="s">
        <v>27</v>
      </c>
      <c r="H150" s="37">
        <f>1115.69/1.2</f>
        <v>929.74166666666679</v>
      </c>
      <c r="I150" s="38">
        <f t="shared" si="20"/>
        <v>109709.51666666668</v>
      </c>
      <c r="J150" s="38" t="s">
        <v>28</v>
      </c>
      <c r="K150" s="37">
        <f>1208.38/1.2</f>
        <v>1006.9833333333335</v>
      </c>
      <c r="L150" s="38">
        <f t="shared" si="21"/>
        <v>118824.03333333335</v>
      </c>
      <c r="M150" s="32" t="s">
        <v>29</v>
      </c>
      <c r="N150" s="37">
        <v>921.17</v>
      </c>
      <c r="O150" s="38">
        <f t="shared" si="22"/>
        <v>108698.06</v>
      </c>
      <c r="P150" s="39">
        <f t="shared" si="23"/>
        <v>952.63166666666677</v>
      </c>
      <c r="Q150" s="40">
        <f t="shared" si="24"/>
        <v>-0.12194289853196949</v>
      </c>
      <c r="R150" s="39">
        <f t="shared" si="25"/>
        <v>112273.46</v>
      </c>
      <c r="S150" s="41"/>
      <c r="U150" s="42">
        <f t="shared" si="26"/>
        <v>-2</v>
      </c>
      <c r="V150" s="42">
        <f t="shared" si="27"/>
        <v>6</v>
      </c>
      <c r="W150" s="42">
        <f t="shared" si="28"/>
        <v>-3</v>
      </c>
    </row>
    <row r="151" spans="1:23" s="28" customFormat="1" ht="73.5" customHeight="1" x14ac:dyDescent="0.2">
      <c r="A151" s="30">
        <v>146</v>
      </c>
      <c r="B151" s="31" t="s">
        <v>214</v>
      </c>
      <c r="C151" s="32" t="s">
        <v>25</v>
      </c>
      <c r="D151" s="33">
        <v>425</v>
      </c>
      <c r="E151" s="34">
        <v>1151.7</v>
      </c>
      <c r="F151" s="35">
        <v>1254.32</v>
      </c>
      <c r="G151" s="32" t="s">
        <v>27</v>
      </c>
      <c r="H151" s="37">
        <f>1382.75/1.2</f>
        <v>1152.2916666666667</v>
      </c>
      <c r="I151" s="38">
        <f t="shared" si="20"/>
        <v>489723.95833333337</v>
      </c>
      <c r="J151" s="38" t="s">
        <v>28</v>
      </c>
      <c r="K151" s="37">
        <f>1595.17/1.2</f>
        <v>1329.3083333333334</v>
      </c>
      <c r="L151" s="38">
        <f t="shared" si="21"/>
        <v>564956.04166666674</v>
      </c>
      <c r="M151" s="32" t="s">
        <v>29</v>
      </c>
      <c r="N151" s="37">
        <v>1288.6300000000001</v>
      </c>
      <c r="O151" s="38">
        <f t="shared" si="22"/>
        <v>547667.75</v>
      </c>
      <c r="P151" s="39">
        <f t="shared" si="23"/>
        <v>1256.7433333333336</v>
      </c>
      <c r="Q151" s="40">
        <f t="shared" si="24"/>
        <v>-0.19282643233968599</v>
      </c>
      <c r="R151" s="39">
        <f t="shared" si="25"/>
        <v>533086</v>
      </c>
      <c r="S151" s="41"/>
      <c r="U151" s="42">
        <f t="shared" si="26"/>
        <v>-8</v>
      </c>
      <c r="V151" s="42">
        <f t="shared" si="27"/>
        <v>6</v>
      </c>
      <c r="W151" s="42">
        <f t="shared" si="28"/>
        <v>3</v>
      </c>
    </row>
    <row r="152" spans="1:23" s="28" customFormat="1" ht="73.5" customHeight="1" x14ac:dyDescent="0.2">
      <c r="A152" s="30">
        <v>147</v>
      </c>
      <c r="B152" s="31" t="s">
        <v>215</v>
      </c>
      <c r="C152" s="32" t="s">
        <v>25</v>
      </c>
      <c r="D152" s="33">
        <v>20</v>
      </c>
      <c r="E152" s="34">
        <v>1503.52</v>
      </c>
      <c r="F152" s="35">
        <v>1529.66</v>
      </c>
      <c r="G152" s="32" t="s">
        <v>27</v>
      </c>
      <c r="H152" s="37">
        <f>1801.3/1.2</f>
        <v>1501.0833333333333</v>
      </c>
      <c r="I152" s="38">
        <f t="shared" si="20"/>
        <v>30021.666666666664</v>
      </c>
      <c r="J152" s="38" t="s">
        <v>28</v>
      </c>
      <c r="K152" s="37">
        <f>1933.26/1.2</f>
        <v>1611.05</v>
      </c>
      <c r="L152" s="38">
        <f t="shared" si="21"/>
        <v>32221</v>
      </c>
      <c r="M152" s="32" t="s">
        <v>29</v>
      </c>
      <c r="N152" s="37">
        <v>1482.09</v>
      </c>
      <c r="O152" s="38">
        <f t="shared" si="22"/>
        <v>29641.8</v>
      </c>
      <c r="P152" s="39">
        <f t="shared" si="23"/>
        <v>1531.4077777777777</v>
      </c>
      <c r="Q152" s="40">
        <f t="shared" si="24"/>
        <v>-0.11412882990015305</v>
      </c>
      <c r="R152" s="39">
        <f t="shared" si="25"/>
        <v>30593.200000000001</v>
      </c>
      <c r="S152" s="41"/>
      <c r="U152" s="42">
        <f t="shared" si="26"/>
        <v>-2</v>
      </c>
      <c r="V152" s="42">
        <f t="shared" si="27"/>
        <v>5</v>
      </c>
      <c r="W152" s="42">
        <f t="shared" si="28"/>
        <v>-3</v>
      </c>
    </row>
    <row r="153" spans="1:23" s="28" customFormat="1" ht="73.5" customHeight="1" x14ac:dyDescent="0.2">
      <c r="A153" s="30">
        <v>148</v>
      </c>
      <c r="B153" s="31" t="s">
        <v>216</v>
      </c>
      <c r="C153" s="32" t="s">
        <v>25</v>
      </c>
      <c r="D153" s="33">
        <v>250</v>
      </c>
      <c r="E153" s="34">
        <v>422.19</v>
      </c>
      <c r="F153" s="35">
        <v>469.64</v>
      </c>
      <c r="G153" s="32" t="s">
        <v>27</v>
      </c>
      <c r="H153" s="37">
        <f>508.15/1.2</f>
        <v>423.45833333333331</v>
      </c>
      <c r="I153" s="38">
        <f t="shared" si="20"/>
        <v>105864.58333333333</v>
      </c>
      <c r="J153" s="38" t="s">
        <v>28</v>
      </c>
      <c r="K153" s="37">
        <f>585.8/1.2</f>
        <v>488.16666666666663</v>
      </c>
      <c r="L153" s="38">
        <f t="shared" si="21"/>
        <v>122041.66666666666</v>
      </c>
      <c r="M153" s="32" t="s">
        <v>29</v>
      </c>
      <c r="N153" s="37">
        <v>501.33</v>
      </c>
      <c r="O153" s="38">
        <f t="shared" si="22"/>
        <v>125332.5</v>
      </c>
      <c r="P153" s="39">
        <f t="shared" si="23"/>
        <v>470.98499999999996</v>
      </c>
      <c r="Q153" s="40">
        <f t="shared" si="24"/>
        <v>-0.28557172733738412</v>
      </c>
      <c r="R153" s="39">
        <f t="shared" si="25"/>
        <v>117410</v>
      </c>
      <c r="S153" s="41"/>
      <c r="U153" s="42">
        <f t="shared" si="26"/>
        <v>-10</v>
      </c>
      <c r="V153" s="42">
        <f t="shared" si="27"/>
        <v>4</v>
      </c>
      <c r="W153" s="42">
        <f t="shared" si="28"/>
        <v>6</v>
      </c>
    </row>
    <row r="154" spans="1:23" s="28" customFormat="1" ht="73.5" customHeight="1" x14ac:dyDescent="0.2">
      <c r="A154" s="30">
        <v>149</v>
      </c>
      <c r="B154" s="31" t="s">
        <v>217</v>
      </c>
      <c r="C154" s="32" t="s">
        <v>25</v>
      </c>
      <c r="D154" s="33">
        <v>15</v>
      </c>
      <c r="E154" s="34">
        <v>1835.44</v>
      </c>
      <c r="F154" s="35">
        <v>1847.48</v>
      </c>
      <c r="G154" s="32" t="s">
        <v>27</v>
      </c>
      <c r="H154" s="37">
        <f>2200.3/1.2</f>
        <v>1833.5833333333335</v>
      </c>
      <c r="I154" s="38">
        <f t="shared" si="20"/>
        <v>27503.750000000004</v>
      </c>
      <c r="J154" s="38" t="s">
        <v>28</v>
      </c>
      <c r="K154" s="37">
        <f>2162.38/1.2</f>
        <v>1801.9833333333336</v>
      </c>
      <c r="L154" s="38">
        <f t="shared" si="21"/>
        <v>27029.750000000004</v>
      </c>
      <c r="M154" s="32" t="s">
        <v>29</v>
      </c>
      <c r="N154" s="37">
        <v>1912.41</v>
      </c>
      <c r="O154" s="38">
        <f t="shared" si="22"/>
        <v>28686.15</v>
      </c>
      <c r="P154" s="39">
        <f t="shared" si="23"/>
        <v>1849.3255555555559</v>
      </c>
      <c r="Q154" s="40">
        <f t="shared" si="24"/>
        <v>-9.9796141896788981E-2</v>
      </c>
      <c r="R154" s="39">
        <f t="shared" si="25"/>
        <v>27712.2</v>
      </c>
      <c r="S154" s="41"/>
      <c r="U154" s="42">
        <f t="shared" si="26"/>
        <v>-1</v>
      </c>
      <c r="V154" s="42">
        <f t="shared" si="27"/>
        <v>-3</v>
      </c>
      <c r="W154" s="42">
        <f t="shared" si="28"/>
        <v>3</v>
      </c>
    </row>
    <row r="155" spans="1:23" s="28" customFormat="1" ht="73.5" customHeight="1" x14ac:dyDescent="0.2">
      <c r="A155" s="30">
        <v>150</v>
      </c>
      <c r="B155" s="31" t="s">
        <v>218</v>
      </c>
      <c r="C155" s="32" t="s">
        <v>25</v>
      </c>
      <c r="D155" s="33">
        <v>14</v>
      </c>
      <c r="E155" s="34">
        <v>118.92</v>
      </c>
      <c r="F155" s="35">
        <v>130.55000000000001</v>
      </c>
      <c r="G155" s="32" t="s">
        <v>27</v>
      </c>
      <c r="H155" s="37">
        <f>149.23/1.2</f>
        <v>124.35833333333333</v>
      </c>
      <c r="I155" s="38">
        <f t="shared" si="20"/>
        <v>1741.0166666666667</v>
      </c>
      <c r="J155" s="38" t="s">
        <v>28</v>
      </c>
      <c r="K155" s="37">
        <f>144.07/1.2</f>
        <v>120.05833333333334</v>
      </c>
      <c r="L155" s="38">
        <f t="shared" si="21"/>
        <v>1680.8166666666666</v>
      </c>
      <c r="M155" s="32" t="s">
        <v>29</v>
      </c>
      <c r="N155" s="37">
        <v>151.36000000000001</v>
      </c>
      <c r="O155" s="38">
        <f t="shared" si="22"/>
        <v>2119.04</v>
      </c>
      <c r="P155" s="39">
        <f t="shared" si="23"/>
        <v>131.92555555555558</v>
      </c>
      <c r="Q155" s="40">
        <f t="shared" si="24"/>
        <v>-1.0426755830308423</v>
      </c>
      <c r="R155" s="39">
        <f t="shared" si="25"/>
        <v>1827.7000000000003</v>
      </c>
      <c r="S155" s="41"/>
      <c r="U155" s="42">
        <f t="shared" si="26"/>
        <v>-6</v>
      </c>
      <c r="V155" s="42">
        <f t="shared" si="27"/>
        <v>-9</v>
      </c>
      <c r="W155" s="42">
        <f t="shared" si="28"/>
        <v>15</v>
      </c>
    </row>
    <row r="156" spans="1:23" s="28" customFormat="1" ht="73.5" customHeight="1" x14ac:dyDescent="0.2">
      <c r="A156" s="30">
        <v>151</v>
      </c>
      <c r="B156" s="31" t="s">
        <v>219</v>
      </c>
      <c r="C156" s="32" t="s">
        <v>25</v>
      </c>
      <c r="D156" s="33" t="s">
        <v>220</v>
      </c>
      <c r="E156" s="34">
        <v>274.17</v>
      </c>
      <c r="F156" s="35">
        <v>275.68</v>
      </c>
      <c r="G156" s="32" t="s">
        <v>27</v>
      </c>
      <c r="H156" s="37">
        <f>326.58/1.2</f>
        <v>272.14999999999998</v>
      </c>
      <c r="I156" s="38">
        <f t="shared" si="20"/>
        <v>339643.19999999995</v>
      </c>
      <c r="J156" s="38" t="s">
        <v>28</v>
      </c>
      <c r="K156" s="37">
        <f>350.12/1.2</f>
        <v>291.76666666666671</v>
      </c>
      <c r="L156" s="38">
        <f t="shared" si="21"/>
        <v>364124.80000000005</v>
      </c>
      <c r="M156" s="32" t="s">
        <v>29</v>
      </c>
      <c r="N156" s="37">
        <v>265.08999999999997</v>
      </c>
      <c r="O156" s="38">
        <f t="shared" si="22"/>
        <v>330832.31999999995</v>
      </c>
      <c r="P156" s="39">
        <f t="shared" si="23"/>
        <v>276.33555555555557</v>
      </c>
      <c r="Q156" s="40">
        <f t="shared" si="24"/>
        <v>-0.23723170702287177</v>
      </c>
      <c r="R156" s="39">
        <f t="shared" si="25"/>
        <v>344048.64000000001</v>
      </c>
      <c r="S156" s="41"/>
      <c r="U156" s="42">
        <f t="shared" si="26"/>
        <v>-2</v>
      </c>
      <c r="V156" s="42">
        <f t="shared" si="27"/>
        <v>6</v>
      </c>
      <c r="W156" s="42">
        <f t="shared" si="28"/>
        <v>-4</v>
      </c>
    </row>
    <row r="157" spans="1:23" s="28" customFormat="1" ht="73.5" customHeight="1" x14ac:dyDescent="0.2">
      <c r="A157" s="30">
        <v>152</v>
      </c>
      <c r="B157" s="31" t="s">
        <v>221</v>
      </c>
      <c r="C157" s="32" t="s">
        <v>25</v>
      </c>
      <c r="D157" s="33">
        <v>20</v>
      </c>
      <c r="E157" s="34">
        <v>255.69</v>
      </c>
      <c r="F157" s="35">
        <v>264.47000000000003</v>
      </c>
      <c r="G157" s="32" t="s">
        <v>27</v>
      </c>
      <c r="H157" s="37">
        <f>307.21/1.2</f>
        <v>256.00833333333333</v>
      </c>
      <c r="I157" s="38">
        <f t="shared" si="20"/>
        <v>5120.1666666666661</v>
      </c>
      <c r="J157" s="38" t="s">
        <v>28</v>
      </c>
      <c r="K157" s="37">
        <f>304.61/1.2</f>
        <v>253.8416666666667</v>
      </c>
      <c r="L157" s="38">
        <f t="shared" si="21"/>
        <v>5076.8333333333339</v>
      </c>
      <c r="M157" s="32" t="s">
        <v>29</v>
      </c>
      <c r="N157" s="37">
        <v>287.67</v>
      </c>
      <c r="O157" s="38">
        <f t="shared" si="22"/>
        <v>5753.4000000000005</v>
      </c>
      <c r="P157" s="39">
        <f t="shared" si="23"/>
        <v>265.83999999999997</v>
      </c>
      <c r="Q157" s="40">
        <f t="shared" si="24"/>
        <v>-0.51534757749020343</v>
      </c>
      <c r="R157" s="39">
        <f t="shared" si="25"/>
        <v>5289.4000000000005</v>
      </c>
      <c r="S157" s="41"/>
      <c r="U157" s="42">
        <f t="shared" si="26"/>
        <v>-4</v>
      </c>
      <c r="V157" s="42">
        <f t="shared" si="27"/>
        <v>-5</v>
      </c>
      <c r="W157" s="42">
        <f t="shared" si="28"/>
        <v>8</v>
      </c>
    </row>
    <row r="158" spans="1:23" s="28" customFormat="1" ht="73.5" customHeight="1" x14ac:dyDescent="0.2">
      <c r="A158" s="30">
        <v>153</v>
      </c>
      <c r="B158" s="31" t="s">
        <v>222</v>
      </c>
      <c r="C158" s="32" t="s">
        <v>25</v>
      </c>
      <c r="D158" s="33">
        <v>100</v>
      </c>
      <c r="E158" s="34">
        <v>389.92</v>
      </c>
      <c r="F158" s="35">
        <v>398.01</v>
      </c>
      <c r="G158" s="32" t="s">
        <v>27</v>
      </c>
      <c r="H158" s="37">
        <f>463.67/1.2</f>
        <v>386.39166666666671</v>
      </c>
      <c r="I158" s="38">
        <f t="shared" si="20"/>
        <v>38639.166666666672</v>
      </c>
      <c r="J158" s="38" t="s">
        <v>28</v>
      </c>
      <c r="K158" s="37">
        <f>475.33/1.2</f>
        <v>396.10833333333335</v>
      </c>
      <c r="L158" s="38">
        <f t="shared" si="21"/>
        <v>39610.833333333336</v>
      </c>
      <c r="M158" s="32" t="s">
        <v>29</v>
      </c>
      <c r="N158" s="37">
        <v>412.28</v>
      </c>
      <c r="O158" s="38">
        <f t="shared" si="22"/>
        <v>41228</v>
      </c>
      <c r="P158" s="39">
        <f t="shared" si="23"/>
        <v>398.26</v>
      </c>
      <c r="Q158" s="40">
        <f t="shared" si="24"/>
        <v>-6.2773062823282544E-2</v>
      </c>
      <c r="R158" s="39">
        <f t="shared" si="25"/>
        <v>39801</v>
      </c>
      <c r="S158" s="41"/>
      <c r="U158" s="42">
        <f t="shared" si="26"/>
        <v>-3</v>
      </c>
      <c r="V158" s="42">
        <f t="shared" si="27"/>
        <v>-1</v>
      </c>
      <c r="W158" s="42">
        <f t="shared" si="28"/>
        <v>4</v>
      </c>
    </row>
    <row r="159" spans="1:23" s="28" customFormat="1" ht="73.5" customHeight="1" x14ac:dyDescent="0.2">
      <c r="A159" s="30">
        <v>154</v>
      </c>
      <c r="B159" s="31" t="s">
        <v>223</v>
      </c>
      <c r="C159" s="32" t="s">
        <v>25</v>
      </c>
      <c r="D159" s="33">
        <v>35</v>
      </c>
      <c r="E159" s="34">
        <v>442.33</v>
      </c>
      <c r="F159" s="35">
        <v>560.24</v>
      </c>
      <c r="G159" s="32" t="s">
        <v>27</v>
      </c>
      <c r="H159" s="37">
        <f>628.4/1.2</f>
        <v>523.66666666666663</v>
      </c>
      <c r="I159" s="38">
        <f t="shared" si="20"/>
        <v>18328.333333333332</v>
      </c>
      <c r="J159" s="38" t="s">
        <v>28</v>
      </c>
      <c r="K159" s="37">
        <f>707.8/1.2</f>
        <v>589.83333333333337</v>
      </c>
      <c r="L159" s="38">
        <f t="shared" si="21"/>
        <v>20644.166666666668</v>
      </c>
      <c r="M159" s="32" t="s">
        <v>29</v>
      </c>
      <c r="N159" s="37">
        <v>574.41</v>
      </c>
      <c r="O159" s="38">
        <f t="shared" si="22"/>
        <v>20104.349999999999</v>
      </c>
      <c r="P159" s="39">
        <f t="shared" si="23"/>
        <v>562.63666666666666</v>
      </c>
      <c r="Q159" s="40">
        <f t="shared" si="24"/>
        <v>-0.42597057900006519</v>
      </c>
      <c r="R159" s="39">
        <f t="shared" si="25"/>
        <v>19608.400000000001</v>
      </c>
      <c r="S159" s="41"/>
      <c r="U159" s="42">
        <f t="shared" si="26"/>
        <v>-7</v>
      </c>
      <c r="V159" s="42">
        <f t="shared" si="27"/>
        <v>5</v>
      </c>
      <c r="W159" s="42">
        <f t="shared" si="28"/>
        <v>2</v>
      </c>
    </row>
    <row r="160" spans="1:23" s="28" customFormat="1" ht="73.5" customHeight="1" x14ac:dyDescent="0.2">
      <c r="A160" s="30">
        <v>155</v>
      </c>
      <c r="B160" s="31" t="s">
        <v>224</v>
      </c>
      <c r="C160" s="32" t="s">
        <v>25</v>
      </c>
      <c r="D160" s="33">
        <v>20</v>
      </c>
      <c r="E160" s="34">
        <v>659.27</v>
      </c>
      <c r="F160" s="35">
        <v>662.34</v>
      </c>
      <c r="G160" s="32" t="s">
        <v>27</v>
      </c>
      <c r="H160" s="37">
        <f>786.17/1.2</f>
        <v>655.14166666666665</v>
      </c>
      <c r="I160" s="38">
        <f t="shared" si="20"/>
        <v>13102.833333333332</v>
      </c>
      <c r="J160" s="38" t="s">
        <v>28</v>
      </c>
      <c r="K160" s="37">
        <f>780.48/1.2</f>
        <v>650.40000000000009</v>
      </c>
      <c r="L160" s="38">
        <f t="shared" si="21"/>
        <v>13008.000000000002</v>
      </c>
      <c r="M160" s="32" t="s">
        <v>29</v>
      </c>
      <c r="N160" s="37">
        <v>688.63</v>
      </c>
      <c r="O160" s="38">
        <f t="shared" si="22"/>
        <v>13772.6</v>
      </c>
      <c r="P160" s="39">
        <f t="shared" si="23"/>
        <v>664.72388888888884</v>
      </c>
      <c r="Q160" s="40">
        <f t="shared" si="24"/>
        <v>-0.35862843636830632</v>
      </c>
      <c r="R160" s="39">
        <f t="shared" si="25"/>
        <v>13246.800000000001</v>
      </c>
      <c r="S160" s="41"/>
      <c r="U160" s="42">
        <f t="shared" si="26"/>
        <v>-1</v>
      </c>
      <c r="V160" s="42">
        <f t="shared" si="27"/>
        <v>-2</v>
      </c>
      <c r="W160" s="42">
        <f t="shared" si="28"/>
        <v>4</v>
      </c>
    </row>
    <row r="161" spans="1:25" s="28" customFormat="1" ht="73.5" customHeight="1" x14ac:dyDescent="0.2">
      <c r="A161" s="30">
        <v>156</v>
      </c>
      <c r="B161" s="31" t="s">
        <v>225</v>
      </c>
      <c r="C161" s="32" t="s">
        <v>25</v>
      </c>
      <c r="D161" s="33">
        <v>40</v>
      </c>
      <c r="E161" s="34">
        <v>204.48</v>
      </c>
      <c r="F161" s="35">
        <v>244.58</v>
      </c>
      <c r="G161" s="32" t="s">
        <v>27</v>
      </c>
      <c r="H161" s="37">
        <f>242.87/1.2</f>
        <v>202.39166666666668</v>
      </c>
      <c r="I161" s="38">
        <f t="shared" si="20"/>
        <v>8095.666666666667</v>
      </c>
      <c r="J161" s="38" t="s">
        <v>28</v>
      </c>
      <c r="K161" s="37">
        <f>341.51/1.2</f>
        <v>284.5916666666667</v>
      </c>
      <c r="L161" s="38">
        <f t="shared" si="21"/>
        <v>11383.666666666668</v>
      </c>
      <c r="M161" s="32" t="s">
        <v>29</v>
      </c>
      <c r="N161" s="37">
        <v>251.07</v>
      </c>
      <c r="O161" s="38">
        <f t="shared" si="22"/>
        <v>10042.799999999999</v>
      </c>
      <c r="P161" s="39">
        <f t="shared" si="23"/>
        <v>246.01777777777775</v>
      </c>
      <c r="Q161" s="40">
        <f t="shared" si="24"/>
        <v>-0.58442027676409225</v>
      </c>
      <c r="R161" s="39">
        <f t="shared" si="25"/>
        <v>9783.2000000000007</v>
      </c>
      <c r="S161" s="41"/>
      <c r="U161" s="42">
        <f t="shared" si="26"/>
        <v>-18</v>
      </c>
      <c r="V161" s="42">
        <f t="shared" si="27"/>
        <v>16</v>
      </c>
      <c r="W161" s="42">
        <f t="shared" si="28"/>
        <v>2</v>
      </c>
    </row>
    <row r="162" spans="1:25" s="28" customFormat="1" ht="73.5" customHeight="1" x14ac:dyDescent="0.2">
      <c r="A162" s="30">
        <v>157</v>
      </c>
      <c r="B162" s="31" t="s">
        <v>226</v>
      </c>
      <c r="C162" s="32" t="s">
        <v>25</v>
      </c>
      <c r="D162" s="33">
        <v>25</v>
      </c>
      <c r="E162" s="34">
        <v>185.82</v>
      </c>
      <c r="F162" s="35">
        <v>205.99</v>
      </c>
      <c r="G162" s="32" t="s">
        <v>27</v>
      </c>
      <c r="H162" s="37">
        <f>222.01/1.2</f>
        <v>185.00833333333333</v>
      </c>
      <c r="I162" s="38">
        <f t="shared" si="20"/>
        <v>4625.208333333333</v>
      </c>
      <c r="J162" s="38" t="s">
        <v>28</v>
      </c>
      <c r="K162" s="37">
        <f>280.49/1.2</f>
        <v>233.74166666666667</v>
      </c>
      <c r="L162" s="38">
        <f t="shared" si="21"/>
        <v>5843.541666666667</v>
      </c>
      <c r="M162" s="32" t="s">
        <v>29</v>
      </c>
      <c r="N162" s="37">
        <v>203.98</v>
      </c>
      <c r="O162" s="38">
        <f t="shared" si="22"/>
        <v>5099.5</v>
      </c>
      <c r="P162" s="39">
        <f t="shared" si="23"/>
        <v>207.57666666666668</v>
      </c>
      <c r="Q162" s="40">
        <f t="shared" si="24"/>
        <v>-0.76437621441074555</v>
      </c>
      <c r="R162" s="39">
        <f t="shared" si="25"/>
        <v>5149.75</v>
      </c>
      <c r="S162" s="41"/>
      <c r="U162" s="42">
        <f t="shared" si="26"/>
        <v>-11</v>
      </c>
      <c r="V162" s="42">
        <f t="shared" si="27"/>
        <v>13</v>
      </c>
      <c r="W162" s="42">
        <f t="shared" si="28"/>
        <v>-2</v>
      </c>
    </row>
    <row r="163" spans="1:25" s="28" customFormat="1" ht="73.5" customHeight="1" x14ac:dyDescent="0.2">
      <c r="A163" s="30">
        <v>158</v>
      </c>
      <c r="B163" s="31" t="s">
        <v>227</v>
      </c>
      <c r="C163" s="32" t="s">
        <v>25</v>
      </c>
      <c r="D163" s="33">
        <v>60</v>
      </c>
      <c r="E163" s="34">
        <v>32.39</v>
      </c>
      <c r="F163" s="35">
        <v>48.03</v>
      </c>
      <c r="G163" s="32" t="s">
        <v>27</v>
      </c>
      <c r="H163" s="37">
        <f>48.91/1.2</f>
        <v>40.758333333333333</v>
      </c>
      <c r="I163" s="38">
        <f t="shared" si="20"/>
        <v>2445.5</v>
      </c>
      <c r="J163" s="38" t="s">
        <v>28</v>
      </c>
      <c r="K163" s="37">
        <f>69.67/1.2</f>
        <v>58.058333333333337</v>
      </c>
      <c r="L163" s="38">
        <f t="shared" si="21"/>
        <v>3483.5</v>
      </c>
      <c r="M163" s="32" t="s">
        <v>29</v>
      </c>
      <c r="N163" s="37">
        <v>49.5</v>
      </c>
      <c r="O163" s="38">
        <f t="shared" si="22"/>
        <v>2970</v>
      </c>
      <c r="P163" s="39">
        <f t="shared" si="23"/>
        <v>49.43888888888889</v>
      </c>
      <c r="Q163" s="40">
        <f t="shared" si="24"/>
        <v>-2.8497583998202032</v>
      </c>
      <c r="R163" s="39">
        <f t="shared" si="25"/>
        <v>2881.8</v>
      </c>
      <c r="S163" s="41"/>
      <c r="U163" s="42">
        <f t="shared" si="26"/>
        <v>-18</v>
      </c>
      <c r="V163" s="42">
        <f t="shared" si="27"/>
        <v>17</v>
      </c>
      <c r="W163" s="42">
        <f t="shared" si="28"/>
        <v>0</v>
      </c>
    </row>
    <row r="164" spans="1:25" s="28" customFormat="1" ht="73.5" customHeight="1" x14ac:dyDescent="0.2">
      <c r="A164" s="30">
        <v>159</v>
      </c>
      <c r="B164" s="31" t="s">
        <v>228</v>
      </c>
      <c r="C164" s="32" t="s">
        <v>25</v>
      </c>
      <c r="D164" s="33">
        <v>19</v>
      </c>
      <c r="E164" s="34">
        <v>237.08</v>
      </c>
      <c r="F164" s="35">
        <v>321.56</v>
      </c>
      <c r="G164" s="32" t="s">
        <v>27</v>
      </c>
      <c r="H164" s="37">
        <f>369.48/1.2</f>
        <v>307.90000000000003</v>
      </c>
      <c r="I164" s="38">
        <f t="shared" ref="I164:I195" si="29">D164*H164</f>
        <v>5850.1</v>
      </c>
      <c r="J164" s="38" t="s">
        <v>28</v>
      </c>
      <c r="K164" s="37">
        <f>366.65/1.2</f>
        <v>305.54166666666669</v>
      </c>
      <c r="L164" s="38">
        <f t="shared" si="21"/>
        <v>5805.291666666667</v>
      </c>
      <c r="M164" s="32" t="s">
        <v>29</v>
      </c>
      <c r="N164" s="37">
        <v>361.22</v>
      </c>
      <c r="O164" s="38">
        <f t="shared" si="22"/>
        <v>6863.18</v>
      </c>
      <c r="P164" s="39">
        <f t="shared" si="23"/>
        <v>324.88722222222225</v>
      </c>
      <c r="Q164" s="40">
        <f t="shared" si="24"/>
        <v>-1.0241160607869091</v>
      </c>
      <c r="R164" s="39">
        <f t="shared" si="25"/>
        <v>6109.64</v>
      </c>
      <c r="S164" s="41"/>
      <c r="U164" s="42">
        <f t="shared" si="26"/>
        <v>-5</v>
      </c>
      <c r="V164" s="42">
        <f t="shared" si="27"/>
        <v>-6</v>
      </c>
      <c r="W164" s="42">
        <f t="shared" si="28"/>
        <v>11</v>
      </c>
    </row>
    <row r="165" spans="1:25" s="28" customFormat="1" ht="73.5" customHeight="1" x14ac:dyDescent="0.2">
      <c r="A165" s="30">
        <v>160</v>
      </c>
      <c r="B165" s="31" t="s">
        <v>229</v>
      </c>
      <c r="C165" s="32" t="s">
        <v>45</v>
      </c>
      <c r="D165" s="33" t="s">
        <v>230</v>
      </c>
      <c r="E165" s="34">
        <v>2603.12</v>
      </c>
      <c r="F165" s="35">
        <v>8050.5</v>
      </c>
      <c r="G165" s="32" t="s">
        <v>231</v>
      </c>
      <c r="H165" s="37">
        <f>9362.18/1.2</f>
        <v>7801.8166666666675</v>
      </c>
      <c r="I165" s="38">
        <f t="shared" si="29"/>
        <v>429099.91666666669</v>
      </c>
      <c r="J165" s="32" t="s">
        <v>46</v>
      </c>
      <c r="K165" s="37">
        <v>7956.2</v>
      </c>
      <c r="L165" s="38">
        <f t="shared" si="21"/>
        <v>437591</v>
      </c>
      <c r="M165" s="32" t="s">
        <v>58</v>
      </c>
      <c r="N165" s="37">
        <v>8400.2999999999993</v>
      </c>
      <c r="O165" s="38">
        <f t="shared" si="22"/>
        <v>462016.49999999994</v>
      </c>
      <c r="P165" s="39">
        <f t="shared" si="23"/>
        <v>8052.7722222222219</v>
      </c>
      <c r="Q165" s="40">
        <f t="shared" si="24"/>
        <v>-2.8216645889372671E-2</v>
      </c>
      <c r="R165" s="39">
        <f t="shared" si="25"/>
        <v>442777.5</v>
      </c>
      <c r="S165" s="41"/>
      <c r="U165" s="42">
        <f t="shared" si="26"/>
        <v>-3</v>
      </c>
      <c r="V165" s="42">
        <f t="shared" si="27"/>
        <v>-1</v>
      </c>
      <c r="W165" s="42">
        <f t="shared" si="28"/>
        <v>4</v>
      </c>
    </row>
    <row r="166" spans="1:25" s="28" customFormat="1" ht="73.5" customHeight="1" x14ac:dyDescent="0.2">
      <c r="A166" s="30">
        <v>161</v>
      </c>
      <c r="B166" s="31" t="s">
        <v>232</v>
      </c>
      <c r="C166" s="32" t="s">
        <v>25</v>
      </c>
      <c r="D166" s="33" t="s">
        <v>233</v>
      </c>
      <c r="E166" s="34">
        <v>85.37</v>
      </c>
      <c r="F166" s="35">
        <v>164.05</v>
      </c>
      <c r="G166" s="32" t="s">
        <v>39</v>
      </c>
      <c r="H166" s="37">
        <v>153.05000000000001</v>
      </c>
      <c r="I166" s="38">
        <f t="shared" si="29"/>
        <v>26324.600000000002</v>
      </c>
      <c r="J166" s="38" t="s">
        <v>28</v>
      </c>
      <c r="K166" s="37">
        <v>159.37</v>
      </c>
      <c r="L166" s="38">
        <f t="shared" si="21"/>
        <v>27411.64</v>
      </c>
      <c r="M166" s="38" t="s">
        <v>46</v>
      </c>
      <c r="N166" s="37">
        <v>181.06</v>
      </c>
      <c r="O166" s="38">
        <f t="shared" si="22"/>
        <v>31142.32</v>
      </c>
      <c r="P166" s="39">
        <f t="shared" si="23"/>
        <v>164.49333333333334</v>
      </c>
      <c r="Q166" s="40">
        <f t="shared" si="24"/>
        <v>-0.26951446867147411</v>
      </c>
      <c r="R166" s="39">
        <f t="shared" si="25"/>
        <v>28216.600000000002</v>
      </c>
      <c r="S166" s="41"/>
      <c r="U166" s="42">
        <f t="shared" si="26"/>
        <v>-7</v>
      </c>
      <c r="V166" s="42">
        <f t="shared" si="27"/>
        <v>-3</v>
      </c>
      <c r="W166" s="42">
        <f t="shared" si="28"/>
        <v>10</v>
      </c>
    </row>
    <row r="167" spans="1:25" s="28" customFormat="1" ht="73.5" customHeight="1" x14ac:dyDescent="0.2">
      <c r="A167" s="30">
        <v>162</v>
      </c>
      <c r="B167" s="31" t="s">
        <v>234</v>
      </c>
      <c r="C167" s="32" t="s">
        <v>45</v>
      </c>
      <c r="D167" s="33" t="s">
        <v>235</v>
      </c>
      <c r="E167" s="34">
        <v>6333.33</v>
      </c>
      <c r="F167" s="35">
        <v>6388.4</v>
      </c>
      <c r="G167" s="32" t="s">
        <v>231</v>
      </c>
      <c r="H167" s="37">
        <f>7648.2/1.2</f>
        <v>6373.5</v>
      </c>
      <c r="I167" s="38">
        <f t="shared" si="29"/>
        <v>236456.85</v>
      </c>
      <c r="J167" s="32" t="s">
        <v>236</v>
      </c>
      <c r="K167" s="37">
        <f>7548/1.2</f>
        <v>6290</v>
      </c>
      <c r="L167" s="38">
        <f t="shared" si="21"/>
        <v>233359</v>
      </c>
      <c r="M167" s="32" t="s">
        <v>58</v>
      </c>
      <c r="N167" s="37">
        <v>6504.5</v>
      </c>
      <c r="O167" s="38">
        <f t="shared" si="22"/>
        <v>241316.95</v>
      </c>
      <c r="P167" s="39">
        <f t="shared" si="23"/>
        <v>6389.333333333333</v>
      </c>
      <c r="Q167" s="40">
        <f t="shared" si="24"/>
        <v>-1.4607679465768797E-2</v>
      </c>
      <c r="R167" s="39">
        <f t="shared" si="25"/>
        <v>237009.63999999998</v>
      </c>
      <c r="S167" s="41"/>
      <c r="U167" s="42">
        <f t="shared" si="26"/>
        <v>0</v>
      </c>
      <c r="V167" s="42">
        <f t="shared" si="27"/>
        <v>-2</v>
      </c>
      <c r="W167" s="42">
        <f t="shared" si="28"/>
        <v>2</v>
      </c>
    </row>
    <row r="168" spans="1:25" s="28" customFormat="1" ht="73.5" customHeight="1" x14ac:dyDescent="0.2">
      <c r="A168" s="30">
        <v>163</v>
      </c>
      <c r="B168" s="31" t="s">
        <v>237</v>
      </c>
      <c r="C168" s="32" t="s">
        <v>147</v>
      </c>
      <c r="D168" s="33" t="s">
        <v>238</v>
      </c>
      <c r="E168" s="34">
        <v>15.83</v>
      </c>
      <c r="F168" s="35">
        <v>14.72</v>
      </c>
      <c r="G168" s="32" t="s">
        <v>231</v>
      </c>
      <c r="H168" s="37">
        <f>18.73/1.2</f>
        <v>15.608333333333334</v>
      </c>
      <c r="I168" s="38">
        <f t="shared" si="29"/>
        <v>38240.416666666672</v>
      </c>
      <c r="J168" s="32" t="s">
        <v>236</v>
      </c>
      <c r="K168" s="37">
        <f>16.5/1.2</f>
        <v>13.75</v>
      </c>
      <c r="L168" s="38">
        <f t="shared" si="21"/>
        <v>33687.5</v>
      </c>
      <c r="M168" s="32" t="s">
        <v>58</v>
      </c>
      <c r="N168" s="37">
        <v>15.03</v>
      </c>
      <c r="O168" s="38">
        <f t="shared" si="22"/>
        <v>36823.5</v>
      </c>
      <c r="P168" s="39">
        <f t="shared" si="23"/>
        <v>14.796111111111111</v>
      </c>
      <c r="Q168" s="40">
        <f t="shared" si="24"/>
        <v>-0.51439942927946447</v>
      </c>
      <c r="R168" s="39">
        <f t="shared" si="25"/>
        <v>36064</v>
      </c>
      <c r="S168" s="41"/>
      <c r="U168" s="42">
        <f t="shared" si="26"/>
        <v>5</v>
      </c>
      <c r="V168" s="42">
        <f t="shared" si="27"/>
        <v>-7</v>
      </c>
      <c r="W168" s="42">
        <f t="shared" si="28"/>
        <v>2</v>
      </c>
    </row>
    <row r="169" spans="1:25" s="28" customFormat="1" ht="73.5" customHeight="1" x14ac:dyDescent="0.2">
      <c r="A169" s="30">
        <v>164</v>
      </c>
      <c r="B169" s="31" t="s">
        <v>239</v>
      </c>
      <c r="C169" s="32" t="s">
        <v>147</v>
      </c>
      <c r="D169" s="33">
        <v>65</v>
      </c>
      <c r="E169" s="34">
        <v>6.42</v>
      </c>
      <c r="F169" s="35">
        <v>6</v>
      </c>
      <c r="G169" s="32" t="s">
        <v>231</v>
      </c>
      <c r="H169" s="37">
        <f>7.12/1.2</f>
        <v>5.9333333333333336</v>
      </c>
      <c r="I169" s="38">
        <f t="shared" si="29"/>
        <v>385.66666666666669</v>
      </c>
      <c r="J169" s="32" t="s">
        <v>236</v>
      </c>
      <c r="K169" s="37">
        <f>6.91/1.2</f>
        <v>5.7583333333333337</v>
      </c>
      <c r="L169" s="38">
        <f t="shared" si="21"/>
        <v>374.29166666666669</v>
      </c>
      <c r="M169" s="32" t="s">
        <v>58</v>
      </c>
      <c r="N169" s="37">
        <v>6.37</v>
      </c>
      <c r="O169" s="38">
        <f t="shared" si="22"/>
        <v>414.05</v>
      </c>
      <c r="P169" s="39">
        <f t="shared" si="23"/>
        <v>6.0205555555555561</v>
      </c>
      <c r="Q169" s="40">
        <f t="shared" si="24"/>
        <v>-0.34142290301744538</v>
      </c>
      <c r="R169" s="39">
        <f t="shared" si="25"/>
        <v>390</v>
      </c>
      <c r="S169" s="41"/>
      <c r="U169" s="42">
        <f t="shared" si="26"/>
        <v>-1</v>
      </c>
      <c r="V169" s="42">
        <f t="shared" si="27"/>
        <v>-4</v>
      </c>
      <c r="W169" s="42">
        <f t="shared" si="28"/>
        <v>6</v>
      </c>
    </row>
    <row r="170" spans="1:25" s="28" customFormat="1" ht="73.5" customHeight="1" x14ac:dyDescent="0.2">
      <c r="A170" s="30">
        <v>165</v>
      </c>
      <c r="B170" s="31" t="s">
        <v>240</v>
      </c>
      <c r="C170" s="32" t="s">
        <v>147</v>
      </c>
      <c r="D170" s="33" t="s">
        <v>241</v>
      </c>
      <c r="E170" s="34">
        <v>8.33</v>
      </c>
      <c r="F170" s="35">
        <v>7.6</v>
      </c>
      <c r="G170" s="32" t="s">
        <v>231</v>
      </c>
      <c r="H170" s="37">
        <f>8.7/1.2</f>
        <v>7.25</v>
      </c>
      <c r="I170" s="38">
        <f t="shared" si="29"/>
        <v>2900</v>
      </c>
      <c r="J170" s="32" t="s">
        <v>236</v>
      </c>
      <c r="K170" s="37">
        <f>9.03/1.2</f>
        <v>7.5249999999999995</v>
      </c>
      <c r="L170" s="38">
        <f t="shared" si="21"/>
        <v>3010</v>
      </c>
      <c r="M170" s="32" t="s">
        <v>58</v>
      </c>
      <c r="N170" s="37">
        <v>8.1199999999999992</v>
      </c>
      <c r="O170" s="38">
        <f t="shared" si="22"/>
        <v>3247.9999999999995</v>
      </c>
      <c r="P170" s="39">
        <f t="shared" si="23"/>
        <v>7.631666666666665</v>
      </c>
      <c r="Q170" s="40">
        <f t="shared" si="24"/>
        <v>-0.4149377593360839</v>
      </c>
      <c r="R170" s="39">
        <f t="shared" si="25"/>
        <v>3040</v>
      </c>
      <c r="S170" s="41"/>
      <c r="U170" s="42">
        <f t="shared" si="26"/>
        <v>-5</v>
      </c>
      <c r="V170" s="42">
        <f t="shared" si="27"/>
        <v>-1</v>
      </c>
      <c r="W170" s="42">
        <f t="shared" si="28"/>
        <v>6</v>
      </c>
    </row>
    <row r="171" spans="1:25" s="28" customFormat="1" ht="73.5" customHeight="1" x14ac:dyDescent="0.2">
      <c r="A171" s="30">
        <v>167</v>
      </c>
      <c r="B171" s="31" t="s">
        <v>242</v>
      </c>
      <c r="C171" s="32" t="s">
        <v>147</v>
      </c>
      <c r="D171" s="33" t="s">
        <v>243</v>
      </c>
      <c r="E171" s="34">
        <v>10.33</v>
      </c>
      <c r="F171" s="35">
        <v>9.52</v>
      </c>
      <c r="G171" s="32" t="s">
        <v>231</v>
      </c>
      <c r="H171" s="37">
        <f>11.28/1.2</f>
        <v>9.4</v>
      </c>
      <c r="I171" s="38">
        <f t="shared" si="29"/>
        <v>188</v>
      </c>
      <c r="J171" s="32" t="s">
        <v>236</v>
      </c>
      <c r="K171" s="37">
        <f>11.14/1.2</f>
        <v>9.283333333333335</v>
      </c>
      <c r="L171" s="38">
        <f t="shared" si="21"/>
        <v>185.66666666666669</v>
      </c>
      <c r="M171" s="32" t="s">
        <v>58</v>
      </c>
      <c r="N171" s="37">
        <v>9.9700000000000006</v>
      </c>
      <c r="O171" s="38">
        <f t="shared" si="22"/>
        <v>199.4</v>
      </c>
      <c r="P171" s="39">
        <f t="shared" si="23"/>
        <v>9.551111111111112</v>
      </c>
      <c r="Q171" s="40">
        <f t="shared" si="24"/>
        <v>-0.32573289902281033</v>
      </c>
      <c r="R171" s="39">
        <f t="shared" si="25"/>
        <v>190.39999999999998</v>
      </c>
      <c r="S171" s="41"/>
      <c r="U171" s="42">
        <f t="shared" si="26"/>
        <v>-2</v>
      </c>
      <c r="V171" s="42">
        <f t="shared" si="27"/>
        <v>-3</v>
      </c>
      <c r="W171" s="42">
        <f t="shared" si="28"/>
        <v>4</v>
      </c>
    </row>
    <row r="172" spans="1:25" s="28" customFormat="1" ht="73.5" customHeight="1" x14ac:dyDescent="0.2">
      <c r="A172" s="30">
        <v>168</v>
      </c>
      <c r="B172" s="31" t="s">
        <v>244</v>
      </c>
      <c r="C172" s="32" t="s">
        <v>147</v>
      </c>
      <c r="D172" s="33" t="s">
        <v>245</v>
      </c>
      <c r="E172" s="34">
        <v>4.67</v>
      </c>
      <c r="F172" s="35">
        <v>6.79</v>
      </c>
      <c r="G172" s="32" t="s">
        <v>231</v>
      </c>
      <c r="H172" s="37">
        <f>6.62/1.2</f>
        <v>5.5166666666666666</v>
      </c>
      <c r="I172" s="38">
        <f t="shared" si="29"/>
        <v>3310</v>
      </c>
      <c r="J172" s="32" t="s">
        <v>236</v>
      </c>
      <c r="K172" s="37">
        <f>8.58/1.2</f>
        <v>7.15</v>
      </c>
      <c r="L172" s="38">
        <f t="shared" si="21"/>
        <v>4290</v>
      </c>
      <c r="M172" s="32" t="s">
        <v>58</v>
      </c>
      <c r="N172" s="37">
        <v>7.83</v>
      </c>
      <c r="O172" s="38">
        <f t="shared" si="22"/>
        <v>4698</v>
      </c>
      <c r="P172" s="39">
        <f t="shared" si="23"/>
        <v>6.8322222222222235</v>
      </c>
      <c r="Q172" s="40">
        <f t="shared" si="24"/>
        <v>-0.61798666449831785</v>
      </c>
      <c r="R172" s="39">
        <f t="shared" si="25"/>
        <v>4074</v>
      </c>
      <c r="S172" s="41"/>
      <c r="U172" s="42">
        <f t="shared" si="26"/>
        <v>-19</v>
      </c>
      <c r="V172" s="42">
        <f t="shared" si="27"/>
        <v>5</v>
      </c>
      <c r="W172" s="42">
        <f t="shared" si="28"/>
        <v>15</v>
      </c>
    </row>
    <row r="173" spans="1:25" s="28" customFormat="1" ht="73.5" customHeight="1" x14ac:dyDescent="0.2">
      <c r="A173" s="30">
        <v>169</v>
      </c>
      <c r="B173" s="31" t="s">
        <v>246</v>
      </c>
      <c r="C173" s="32" t="s">
        <v>45</v>
      </c>
      <c r="D173" s="33" t="s">
        <v>247</v>
      </c>
      <c r="E173" s="34">
        <v>3225</v>
      </c>
      <c r="F173" s="35">
        <v>2210.44</v>
      </c>
      <c r="G173" s="36" t="s">
        <v>248</v>
      </c>
      <c r="H173" s="37">
        <f>8990/4</f>
        <v>2247.5</v>
      </c>
      <c r="I173" s="38">
        <f t="shared" si="29"/>
        <v>26970</v>
      </c>
      <c r="J173" s="32" t="s">
        <v>249</v>
      </c>
      <c r="K173" s="37">
        <f>10015/4</f>
        <v>2503.75</v>
      </c>
      <c r="L173" s="38">
        <f t="shared" si="21"/>
        <v>30045</v>
      </c>
      <c r="M173" s="32" t="s">
        <v>250</v>
      </c>
      <c r="N173" s="37">
        <v>1898.75</v>
      </c>
      <c r="O173" s="38">
        <f t="shared" si="22"/>
        <v>22785</v>
      </c>
      <c r="P173" s="39">
        <f t="shared" si="23"/>
        <v>2216.6666666666665</v>
      </c>
      <c r="Q173" s="40">
        <f t="shared" si="24"/>
        <v>-0.28090225563909144</v>
      </c>
      <c r="R173" s="39">
        <f t="shared" si="25"/>
        <v>26525.279999999999</v>
      </c>
      <c r="S173" s="41"/>
      <c r="U173" s="42">
        <f t="shared" si="26"/>
        <v>1</v>
      </c>
      <c r="V173" s="42">
        <f t="shared" si="27"/>
        <v>13</v>
      </c>
      <c r="W173" s="42">
        <f t="shared" si="28"/>
        <v>-14</v>
      </c>
    </row>
    <row r="174" spans="1:25" s="28" customFormat="1" ht="73.5" hidden="1" customHeight="1" x14ac:dyDescent="0.2">
      <c r="A174" s="30">
        <v>170</v>
      </c>
      <c r="B174" s="31" t="s">
        <v>251</v>
      </c>
      <c r="C174" s="32" t="s">
        <v>147</v>
      </c>
      <c r="D174" s="33">
        <v>60</v>
      </c>
      <c r="E174" s="34">
        <v>369.24</v>
      </c>
      <c r="F174" s="35">
        <v>480.56</v>
      </c>
      <c r="G174" s="32" t="s">
        <v>27</v>
      </c>
      <c r="H174" s="37">
        <f>542.05/1.2</f>
        <v>451.70833333333331</v>
      </c>
      <c r="I174" s="38">
        <f t="shared" si="29"/>
        <v>27102.5</v>
      </c>
      <c r="J174" s="38" t="s">
        <v>28</v>
      </c>
      <c r="K174" s="37">
        <f>586.87/1.2</f>
        <v>489.05833333333334</v>
      </c>
      <c r="L174" s="38">
        <f t="shared" si="21"/>
        <v>29343.5</v>
      </c>
      <c r="M174" s="38" t="s">
        <v>29</v>
      </c>
      <c r="N174" s="37">
        <v>506.22</v>
      </c>
      <c r="O174" s="38">
        <f t="shared" si="22"/>
        <v>30373.200000000001</v>
      </c>
      <c r="P174" s="39">
        <f t="shared" si="23"/>
        <v>482.32888888888891</v>
      </c>
      <c r="Q174" s="40">
        <f t="shared" si="24"/>
        <v>-0.36673915447275363</v>
      </c>
      <c r="R174" s="39">
        <f t="shared" si="25"/>
        <v>28833.599999999999</v>
      </c>
      <c r="S174" s="47" t="s">
        <v>116</v>
      </c>
      <c r="U174" s="42">
        <f t="shared" si="26"/>
        <v>-6</v>
      </c>
      <c r="V174" s="42">
        <f t="shared" si="27"/>
        <v>1</v>
      </c>
      <c r="W174" s="42">
        <f t="shared" si="28"/>
        <v>5</v>
      </c>
      <c r="Y174" s="28">
        <v>166</v>
      </c>
    </row>
    <row r="175" spans="1:25" s="28" customFormat="1" ht="73.5" customHeight="1" x14ac:dyDescent="0.2">
      <c r="A175" s="30">
        <v>171</v>
      </c>
      <c r="B175" s="31" t="s">
        <v>252</v>
      </c>
      <c r="C175" s="32" t="s">
        <v>45</v>
      </c>
      <c r="D175" s="33">
        <v>180</v>
      </c>
      <c r="E175" s="34">
        <v>457.81</v>
      </c>
      <c r="F175" s="35">
        <v>383.82</v>
      </c>
      <c r="G175" s="32" t="s">
        <v>253</v>
      </c>
      <c r="H175" s="37">
        <v>385.11</v>
      </c>
      <c r="I175" s="38">
        <f t="shared" si="29"/>
        <v>69319.8</v>
      </c>
      <c r="J175" s="32" t="s">
        <v>254</v>
      </c>
      <c r="K175" s="37">
        <f>462/1.2</f>
        <v>385</v>
      </c>
      <c r="L175" s="38">
        <f t="shared" si="21"/>
        <v>69300</v>
      </c>
      <c r="M175" s="32" t="s">
        <v>255</v>
      </c>
      <c r="N175" s="37">
        <f>462.13/1.2</f>
        <v>385.10833333333335</v>
      </c>
      <c r="O175" s="38">
        <f t="shared" si="22"/>
        <v>69319.5</v>
      </c>
      <c r="P175" s="39">
        <f t="shared" si="23"/>
        <v>385.07277777777773</v>
      </c>
      <c r="Q175" s="40">
        <f t="shared" si="24"/>
        <v>-0.32533532622258576</v>
      </c>
      <c r="R175" s="39">
        <f t="shared" si="25"/>
        <v>69087.600000000006</v>
      </c>
      <c r="S175" s="41"/>
      <c r="U175" s="42">
        <f t="shared" si="26"/>
        <v>0</v>
      </c>
      <c r="V175" s="42">
        <f t="shared" si="27"/>
        <v>0</v>
      </c>
      <c r="W175" s="42">
        <f t="shared" si="28"/>
        <v>0</v>
      </c>
    </row>
    <row r="176" spans="1:25" s="28" customFormat="1" ht="73.5" customHeight="1" x14ac:dyDescent="0.2">
      <c r="A176" s="30">
        <v>172</v>
      </c>
      <c r="B176" s="31" t="s">
        <v>256</v>
      </c>
      <c r="C176" s="32" t="s">
        <v>25</v>
      </c>
      <c r="D176" s="33">
        <v>1580</v>
      </c>
      <c r="E176" s="34">
        <v>94.72</v>
      </c>
      <c r="F176" s="35">
        <v>254.67</v>
      </c>
      <c r="G176" s="32" t="s">
        <v>27</v>
      </c>
      <c r="H176" s="37">
        <f>246.91/1.2</f>
        <v>205.75833333333333</v>
      </c>
      <c r="I176" s="38">
        <f t="shared" si="29"/>
        <v>325098.16666666663</v>
      </c>
      <c r="J176" s="38" t="s">
        <v>28</v>
      </c>
      <c r="K176" s="37">
        <f>350.39/1.2</f>
        <v>291.99166666666667</v>
      </c>
      <c r="L176" s="38">
        <f t="shared" si="21"/>
        <v>461346.83333333337</v>
      </c>
      <c r="M176" s="38" t="s">
        <v>29</v>
      </c>
      <c r="N176" s="37">
        <v>268.85000000000002</v>
      </c>
      <c r="O176" s="38">
        <f t="shared" si="22"/>
        <v>424783.00000000006</v>
      </c>
      <c r="P176" s="39">
        <f t="shared" si="23"/>
        <v>255.53333333333333</v>
      </c>
      <c r="Q176" s="40">
        <f t="shared" si="24"/>
        <v>-0.33785546569266955</v>
      </c>
      <c r="R176" s="39">
        <f t="shared" si="25"/>
        <v>402378.6</v>
      </c>
      <c r="S176" s="41"/>
      <c r="U176" s="42">
        <f t="shared" si="26"/>
        <v>-19</v>
      </c>
      <c r="V176" s="42">
        <f t="shared" si="27"/>
        <v>14</v>
      </c>
      <c r="W176" s="42">
        <f t="shared" si="28"/>
        <v>5</v>
      </c>
    </row>
    <row r="177" spans="1:23" s="28" customFormat="1" ht="73.5" customHeight="1" x14ac:dyDescent="0.2">
      <c r="A177" s="30">
        <v>173</v>
      </c>
      <c r="B177" s="31" t="s">
        <v>257</v>
      </c>
      <c r="C177" s="32" t="s">
        <v>45</v>
      </c>
      <c r="D177" s="33">
        <v>13</v>
      </c>
      <c r="E177" s="34">
        <v>97.04</v>
      </c>
      <c r="F177" s="35">
        <v>98.56</v>
      </c>
      <c r="G177" s="32" t="s">
        <v>258</v>
      </c>
      <c r="H177" s="37">
        <v>98.67</v>
      </c>
      <c r="I177" s="38">
        <f t="shared" si="29"/>
        <v>1282.71</v>
      </c>
      <c r="J177" s="32" t="s">
        <v>259</v>
      </c>
      <c r="K177" s="37">
        <f>117.62/1.2</f>
        <v>98.01666666666668</v>
      </c>
      <c r="L177" s="38">
        <f t="shared" si="21"/>
        <v>1274.2166666666669</v>
      </c>
      <c r="M177" s="38" t="s">
        <v>68</v>
      </c>
      <c r="N177" s="37">
        <v>100.23</v>
      </c>
      <c r="O177" s="38">
        <f t="shared" si="22"/>
        <v>1302.99</v>
      </c>
      <c r="P177" s="39">
        <f t="shared" si="23"/>
        <v>98.972222222222229</v>
      </c>
      <c r="Q177" s="40">
        <f t="shared" si="24"/>
        <v>-0.4165029469548216</v>
      </c>
      <c r="R177" s="39">
        <f t="shared" si="25"/>
        <v>1281.28</v>
      </c>
      <c r="S177" s="41"/>
      <c r="U177" s="42">
        <f t="shared" si="26"/>
        <v>0</v>
      </c>
      <c r="V177" s="42">
        <f t="shared" si="27"/>
        <v>-1</v>
      </c>
      <c r="W177" s="42">
        <f t="shared" si="28"/>
        <v>1</v>
      </c>
    </row>
    <row r="178" spans="1:23" s="28" customFormat="1" ht="73.5" customHeight="1" x14ac:dyDescent="0.2">
      <c r="A178" s="30">
        <v>174</v>
      </c>
      <c r="B178" s="31" t="s">
        <v>260</v>
      </c>
      <c r="C178" s="32" t="s">
        <v>45</v>
      </c>
      <c r="D178" s="33">
        <v>3</v>
      </c>
      <c r="E178" s="34">
        <v>124.67</v>
      </c>
      <c r="F178" s="35">
        <v>395.42</v>
      </c>
      <c r="G178" s="32" t="s">
        <v>261</v>
      </c>
      <c r="H178" s="37">
        <f>460/1.2</f>
        <v>383.33333333333337</v>
      </c>
      <c r="I178" s="38">
        <f t="shared" si="29"/>
        <v>1150</v>
      </c>
      <c r="J178" s="32" t="s">
        <v>46</v>
      </c>
      <c r="K178" s="37">
        <v>426.92</v>
      </c>
      <c r="L178" s="38">
        <f t="shared" si="21"/>
        <v>1280.76</v>
      </c>
      <c r="M178" s="32" t="s">
        <v>57</v>
      </c>
      <c r="N178" s="37">
        <v>378.8</v>
      </c>
      <c r="O178" s="38">
        <f t="shared" si="22"/>
        <v>1136.4000000000001</v>
      </c>
      <c r="P178" s="39">
        <f t="shared" si="23"/>
        <v>396.35111111111109</v>
      </c>
      <c r="Q178" s="40">
        <f t="shared" si="24"/>
        <v>-0.23492077731303596</v>
      </c>
      <c r="R178" s="39">
        <f t="shared" si="25"/>
        <v>1186.26</v>
      </c>
      <c r="S178" s="41"/>
      <c r="U178" s="42">
        <f t="shared" si="26"/>
        <v>-3</v>
      </c>
      <c r="V178" s="42">
        <f t="shared" si="27"/>
        <v>8</v>
      </c>
      <c r="W178" s="42">
        <f t="shared" si="28"/>
        <v>-4</v>
      </c>
    </row>
    <row r="179" spans="1:23" s="28" customFormat="1" ht="73.5" customHeight="1" x14ac:dyDescent="0.2">
      <c r="A179" s="30">
        <v>175</v>
      </c>
      <c r="B179" s="31" t="s">
        <v>262</v>
      </c>
      <c r="C179" s="32" t="s">
        <v>45</v>
      </c>
      <c r="D179" s="33">
        <v>26.4</v>
      </c>
      <c r="E179" s="34">
        <v>9491.6200000000008</v>
      </c>
      <c r="F179" s="35">
        <v>12311.49</v>
      </c>
      <c r="G179" s="36" t="s">
        <v>90</v>
      </c>
      <c r="H179" s="37">
        <f>13658.48/1.2</f>
        <v>11382.066666666668</v>
      </c>
      <c r="I179" s="38">
        <f t="shared" si="29"/>
        <v>300486.56</v>
      </c>
      <c r="J179" s="32" t="s">
        <v>46</v>
      </c>
      <c r="K179" s="37">
        <v>13004.1</v>
      </c>
      <c r="L179" s="38">
        <f t="shared" si="21"/>
        <v>343308.24</v>
      </c>
      <c r="M179" s="32" t="s">
        <v>58</v>
      </c>
      <c r="N179" s="37">
        <v>12560.4</v>
      </c>
      <c r="O179" s="38">
        <f t="shared" si="22"/>
        <v>331594.56</v>
      </c>
      <c r="P179" s="39">
        <f t="shared" si="23"/>
        <v>12315.522222222222</v>
      </c>
      <c r="Q179" s="40">
        <f t="shared" si="24"/>
        <v>-3.2740976383010434E-2</v>
      </c>
      <c r="R179" s="39">
        <f t="shared" si="25"/>
        <v>325023.33599999995</v>
      </c>
      <c r="S179" s="41"/>
      <c r="U179" s="42">
        <f t="shared" si="26"/>
        <v>-8</v>
      </c>
      <c r="V179" s="42">
        <f t="shared" si="27"/>
        <v>6</v>
      </c>
      <c r="W179" s="42">
        <f t="shared" si="28"/>
        <v>2</v>
      </c>
    </row>
    <row r="180" spans="1:23" s="28" customFormat="1" ht="73.5" customHeight="1" x14ac:dyDescent="0.2">
      <c r="A180" s="30">
        <v>176</v>
      </c>
      <c r="B180" s="31" t="s">
        <v>263</v>
      </c>
      <c r="C180" s="32" t="s">
        <v>25</v>
      </c>
      <c r="D180" s="33">
        <v>69</v>
      </c>
      <c r="E180" s="34" t="s">
        <v>26</v>
      </c>
      <c r="F180" s="35">
        <v>1431.87</v>
      </c>
      <c r="G180" s="32" t="s">
        <v>27</v>
      </c>
      <c r="H180" s="37">
        <f>1609.9/1.2</f>
        <v>1341.5833333333335</v>
      </c>
      <c r="I180" s="38">
        <f t="shared" si="29"/>
        <v>92569.250000000015</v>
      </c>
      <c r="J180" s="38" t="s">
        <v>28</v>
      </c>
      <c r="K180" s="37">
        <f>1748.87/1.2</f>
        <v>1457.3916666666667</v>
      </c>
      <c r="L180" s="38">
        <f t="shared" si="21"/>
        <v>100560.02499999999</v>
      </c>
      <c r="M180" s="38" t="s">
        <v>29</v>
      </c>
      <c r="N180" s="37">
        <v>1503.09</v>
      </c>
      <c r="O180" s="38">
        <f t="shared" si="22"/>
        <v>103713.20999999999</v>
      </c>
      <c r="P180" s="39">
        <f t="shared" si="23"/>
        <v>1434.0216666666668</v>
      </c>
      <c r="Q180" s="40">
        <f t="shared" si="24"/>
        <v>-0.15004422294875042</v>
      </c>
      <c r="R180" s="39">
        <f t="shared" si="25"/>
        <v>98799.03</v>
      </c>
      <c r="S180" s="41"/>
      <c r="U180" s="42">
        <f t="shared" si="26"/>
        <v>-6</v>
      </c>
      <c r="V180" s="42">
        <f t="shared" si="27"/>
        <v>2</v>
      </c>
      <c r="W180" s="42">
        <f t="shared" si="28"/>
        <v>5</v>
      </c>
    </row>
    <row r="181" spans="1:23" s="28" customFormat="1" ht="73.5" customHeight="1" x14ac:dyDescent="0.2">
      <c r="A181" s="30">
        <v>177</v>
      </c>
      <c r="B181" s="31" t="s">
        <v>264</v>
      </c>
      <c r="C181" s="32" t="s">
        <v>25</v>
      </c>
      <c r="D181" s="33">
        <v>78</v>
      </c>
      <c r="E181" s="34">
        <v>28.31</v>
      </c>
      <c r="F181" s="35">
        <v>40.01</v>
      </c>
      <c r="G181" s="32" t="s">
        <v>27</v>
      </c>
      <c r="H181" s="37">
        <f>45.64/1.2</f>
        <v>38.033333333333339</v>
      </c>
      <c r="I181" s="38">
        <f t="shared" si="29"/>
        <v>2966.6000000000004</v>
      </c>
      <c r="J181" s="38" t="s">
        <v>28</v>
      </c>
      <c r="K181" s="37">
        <f>44.54/1.2</f>
        <v>37.116666666666667</v>
      </c>
      <c r="L181" s="38">
        <f t="shared" si="21"/>
        <v>2895.1</v>
      </c>
      <c r="M181" s="38" t="s">
        <v>29</v>
      </c>
      <c r="N181" s="37">
        <v>45.47</v>
      </c>
      <c r="O181" s="38">
        <f t="shared" si="22"/>
        <v>3546.66</v>
      </c>
      <c r="P181" s="39">
        <f t="shared" si="23"/>
        <v>40.206666666666671</v>
      </c>
      <c r="Q181" s="40">
        <f t="shared" si="24"/>
        <v>-0.48913944619467031</v>
      </c>
      <c r="R181" s="39">
        <f t="shared" si="25"/>
        <v>3120.7799999999997</v>
      </c>
      <c r="S181" s="41"/>
      <c r="U181" s="42">
        <f t="shared" si="26"/>
        <v>-5</v>
      </c>
      <c r="V181" s="42">
        <f t="shared" si="27"/>
        <v>-8</v>
      </c>
      <c r="W181" s="42">
        <f t="shared" si="28"/>
        <v>13</v>
      </c>
    </row>
    <row r="182" spans="1:23" s="28" customFormat="1" ht="73.5" customHeight="1" x14ac:dyDescent="0.2">
      <c r="A182" s="30">
        <v>178</v>
      </c>
      <c r="B182" s="31" t="s">
        <v>265</v>
      </c>
      <c r="C182" s="32" t="s">
        <v>25</v>
      </c>
      <c r="D182" s="33">
        <v>1</v>
      </c>
      <c r="E182" s="34">
        <v>451.72</v>
      </c>
      <c r="F182" s="35">
        <v>539.74</v>
      </c>
      <c r="G182" s="32" t="s">
        <v>27</v>
      </c>
      <c r="H182" s="37">
        <f>628.74/1.2</f>
        <v>523.95000000000005</v>
      </c>
      <c r="I182" s="38">
        <f t="shared" si="29"/>
        <v>523.95000000000005</v>
      </c>
      <c r="J182" s="38" t="s">
        <v>28</v>
      </c>
      <c r="K182" s="37">
        <f>697.44/1.2</f>
        <v>581.20000000000005</v>
      </c>
      <c r="L182" s="38">
        <f t="shared" si="21"/>
        <v>581.20000000000005</v>
      </c>
      <c r="M182" s="38" t="s">
        <v>29</v>
      </c>
      <c r="N182" s="37">
        <v>520.80999999999995</v>
      </c>
      <c r="O182" s="38">
        <f t="shared" si="22"/>
        <v>520.80999999999995</v>
      </c>
      <c r="P182" s="39">
        <f t="shared" si="23"/>
        <v>541.98666666666668</v>
      </c>
      <c r="Q182" s="40">
        <f t="shared" si="24"/>
        <v>-0.41452434254225068</v>
      </c>
      <c r="R182" s="39">
        <f t="shared" si="25"/>
        <v>539.74</v>
      </c>
      <c r="S182" s="41"/>
      <c r="U182" s="42">
        <f t="shared" si="26"/>
        <v>-3</v>
      </c>
      <c r="V182" s="42">
        <f t="shared" si="27"/>
        <v>7</v>
      </c>
      <c r="W182" s="42">
        <f t="shared" si="28"/>
        <v>-4</v>
      </c>
    </row>
    <row r="183" spans="1:23" s="28" customFormat="1" ht="73.5" customHeight="1" x14ac:dyDescent="0.2">
      <c r="A183" s="30">
        <v>179</v>
      </c>
      <c r="B183" s="31" t="s">
        <v>266</v>
      </c>
      <c r="C183" s="32" t="s">
        <v>25</v>
      </c>
      <c r="D183" s="33">
        <v>100</v>
      </c>
      <c r="E183" s="34">
        <v>0.89</v>
      </c>
      <c r="F183" s="35">
        <v>1.28</v>
      </c>
      <c r="G183" s="32" t="s">
        <v>27</v>
      </c>
      <c r="H183" s="37">
        <f>62.47/50/1.2</f>
        <v>1.0411666666666668</v>
      </c>
      <c r="I183" s="38">
        <f t="shared" si="29"/>
        <v>104.11666666666667</v>
      </c>
      <c r="J183" s="38" t="s">
        <v>28</v>
      </c>
      <c r="K183" s="37">
        <f>1.66/1.2</f>
        <v>1.3833333333333333</v>
      </c>
      <c r="L183" s="38">
        <f t="shared" si="21"/>
        <v>138.33333333333334</v>
      </c>
      <c r="M183" s="38" t="s">
        <v>29</v>
      </c>
      <c r="N183" s="37">
        <v>1.46</v>
      </c>
      <c r="O183" s="38">
        <f t="shared" si="22"/>
        <v>146</v>
      </c>
      <c r="P183" s="39">
        <f t="shared" si="23"/>
        <v>1.2948333333333333</v>
      </c>
      <c r="Q183" s="40">
        <f t="shared" si="24"/>
        <v>-1.1455785815420256</v>
      </c>
      <c r="R183" s="39">
        <f t="shared" si="25"/>
        <v>128</v>
      </c>
      <c r="S183" s="41"/>
      <c r="U183" s="42">
        <f t="shared" si="26"/>
        <v>-20</v>
      </c>
      <c r="V183" s="42">
        <f t="shared" si="27"/>
        <v>7</v>
      </c>
      <c r="W183" s="42">
        <f t="shared" si="28"/>
        <v>13</v>
      </c>
    </row>
    <row r="184" spans="1:23" s="28" customFormat="1" ht="73.5" customHeight="1" x14ac:dyDescent="0.2">
      <c r="A184" s="30">
        <v>180</v>
      </c>
      <c r="B184" s="31" t="s">
        <v>267</v>
      </c>
      <c r="C184" s="32" t="s">
        <v>25</v>
      </c>
      <c r="D184" s="33">
        <v>26</v>
      </c>
      <c r="E184" s="34" t="s">
        <v>26</v>
      </c>
      <c r="F184" s="35">
        <v>22.15</v>
      </c>
      <c r="G184" s="32" t="s">
        <v>27</v>
      </c>
      <c r="H184" s="37">
        <f>21.83/1.2</f>
        <v>18.191666666666666</v>
      </c>
      <c r="I184" s="38">
        <f t="shared" si="29"/>
        <v>472.98333333333335</v>
      </c>
      <c r="J184" s="38" t="s">
        <v>28</v>
      </c>
      <c r="K184" s="37">
        <f>27.18/1.2</f>
        <v>22.650000000000002</v>
      </c>
      <c r="L184" s="38">
        <f t="shared" si="21"/>
        <v>588.90000000000009</v>
      </c>
      <c r="M184" s="38" t="s">
        <v>29</v>
      </c>
      <c r="N184" s="37">
        <v>26.07</v>
      </c>
      <c r="O184" s="38">
        <f t="shared" si="22"/>
        <v>677.82</v>
      </c>
      <c r="P184" s="39">
        <f t="shared" si="23"/>
        <v>22.303888888888888</v>
      </c>
      <c r="Q184" s="40">
        <f t="shared" si="24"/>
        <v>-0.68996438090019296</v>
      </c>
      <c r="R184" s="39">
        <f t="shared" si="25"/>
        <v>575.9</v>
      </c>
      <c r="S184" s="41"/>
      <c r="U184" s="42">
        <f t="shared" si="26"/>
        <v>-18</v>
      </c>
      <c r="V184" s="42">
        <f t="shared" si="27"/>
        <v>2</v>
      </c>
      <c r="W184" s="42">
        <f t="shared" si="28"/>
        <v>17</v>
      </c>
    </row>
    <row r="185" spans="1:23" s="28" customFormat="1" ht="73.5" customHeight="1" x14ac:dyDescent="0.2">
      <c r="A185" s="30">
        <v>181</v>
      </c>
      <c r="B185" s="31" t="s">
        <v>268</v>
      </c>
      <c r="C185" s="32" t="s">
        <v>25</v>
      </c>
      <c r="D185" s="33">
        <v>8</v>
      </c>
      <c r="E185" s="34">
        <v>462.83</v>
      </c>
      <c r="F185" s="35">
        <v>569.91</v>
      </c>
      <c r="G185" s="32" t="s">
        <v>57</v>
      </c>
      <c r="H185" s="37">
        <v>518.54</v>
      </c>
      <c r="I185" s="38">
        <f t="shared" si="29"/>
        <v>4148.32</v>
      </c>
      <c r="J185" s="32" t="s">
        <v>46</v>
      </c>
      <c r="K185" s="37">
        <v>554.70000000000005</v>
      </c>
      <c r="L185" s="38">
        <f t="shared" si="21"/>
        <v>4437.6000000000004</v>
      </c>
      <c r="M185" s="38" t="s">
        <v>41</v>
      </c>
      <c r="N185" s="37">
        <v>640.79999999999995</v>
      </c>
      <c r="O185" s="38">
        <f t="shared" si="22"/>
        <v>5126.3999999999996</v>
      </c>
      <c r="P185" s="39">
        <f t="shared" si="23"/>
        <v>571.34666666666669</v>
      </c>
      <c r="Q185" s="40">
        <f t="shared" si="24"/>
        <v>-0.25145270822152099</v>
      </c>
      <c r="R185" s="39">
        <f t="shared" si="25"/>
        <v>4559.28</v>
      </c>
      <c r="S185" s="41"/>
      <c r="U185" s="42">
        <f t="shared" si="26"/>
        <v>-9</v>
      </c>
      <c r="V185" s="42">
        <f t="shared" si="27"/>
        <v>-3</v>
      </c>
      <c r="W185" s="42">
        <f t="shared" si="28"/>
        <v>12</v>
      </c>
    </row>
    <row r="186" spans="1:23" s="28" customFormat="1" ht="73.5" customHeight="1" x14ac:dyDescent="0.2">
      <c r="A186" s="30">
        <v>182</v>
      </c>
      <c r="B186" s="31" t="s">
        <v>269</v>
      </c>
      <c r="C186" s="32" t="s">
        <v>45</v>
      </c>
      <c r="D186" s="33">
        <v>48</v>
      </c>
      <c r="E186" s="34">
        <v>2917.37</v>
      </c>
      <c r="F186" s="35">
        <v>4556.9399999999996</v>
      </c>
      <c r="G186" s="32" t="s">
        <v>270</v>
      </c>
      <c r="H186" s="37">
        <v>4125</v>
      </c>
      <c r="I186" s="38">
        <f t="shared" si="29"/>
        <v>198000</v>
      </c>
      <c r="J186" s="32" t="s">
        <v>271</v>
      </c>
      <c r="K186" s="37">
        <v>4583.33</v>
      </c>
      <c r="L186" s="38">
        <f t="shared" si="21"/>
        <v>219999.84</v>
      </c>
      <c r="M186" s="32" t="s">
        <v>272</v>
      </c>
      <c r="N186" s="37">
        <v>4970.33</v>
      </c>
      <c r="O186" s="38">
        <f t="shared" si="22"/>
        <v>238575.84</v>
      </c>
      <c r="P186" s="39">
        <f t="shared" si="23"/>
        <v>4559.5533333333333</v>
      </c>
      <c r="Q186" s="40">
        <f t="shared" si="24"/>
        <v>-5.7315555763508996E-2</v>
      </c>
      <c r="R186" s="39">
        <f t="shared" si="25"/>
        <v>218733.12</v>
      </c>
      <c r="S186" s="41"/>
      <c r="U186" s="42">
        <f t="shared" si="26"/>
        <v>-10</v>
      </c>
      <c r="V186" s="42">
        <f t="shared" si="27"/>
        <v>1</v>
      </c>
      <c r="W186" s="42">
        <f t="shared" si="28"/>
        <v>9</v>
      </c>
    </row>
    <row r="187" spans="1:23" s="28" customFormat="1" ht="73.5" customHeight="1" x14ac:dyDescent="0.2">
      <c r="A187" s="30">
        <v>183</v>
      </c>
      <c r="B187" s="31" t="s">
        <v>273</v>
      </c>
      <c r="C187" s="32" t="s">
        <v>45</v>
      </c>
      <c r="D187" s="33">
        <v>16</v>
      </c>
      <c r="E187" s="34">
        <v>781.69</v>
      </c>
      <c r="F187" s="35">
        <v>1229.54</v>
      </c>
      <c r="G187" s="32" t="s">
        <v>274</v>
      </c>
      <c r="H187" s="37">
        <v>980</v>
      </c>
      <c r="I187" s="38">
        <f t="shared" si="29"/>
        <v>15680</v>
      </c>
      <c r="J187" s="32" t="s">
        <v>275</v>
      </c>
      <c r="K187" s="37">
        <v>1450</v>
      </c>
      <c r="L187" s="38">
        <f t="shared" si="21"/>
        <v>23200</v>
      </c>
      <c r="M187" s="38" t="s">
        <v>41</v>
      </c>
      <c r="N187" s="37">
        <v>1263</v>
      </c>
      <c r="O187" s="38">
        <f t="shared" si="22"/>
        <v>20208</v>
      </c>
      <c r="P187" s="39">
        <f t="shared" si="23"/>
        <v>1231</v>
      </c>
      <c r="Q187" s="40">
        <f t="shared" si="24"/>
        <v>-0.11860276198213171</v>
      </c>
      <c r="R187" s="39">
        <f t="shared" si="25"/>
        <v>19672.64</v>
      </c>
      <c r="S187" s="41"/>
      <c r="U187" s="42">
        <f t="shared" si="26"/>
        <v>-20</v>
      </c>
      <c r="V187" s="42">
        <f t="shared" si="27"/>
        <v>18</v>
      </c>
      <c r="W187" s="42">
        <f t="shared" si="28"/>
        <v>3</v>
      </c>
    </row>
    <row r="188" spans="1:23" s="28" customFormat="1" ht="73.5" customHeight="1" x14ac:dyDescent="0.2">
      <c r="A188" s="30">
        <v>184</v>
      </c>
      <c r="B188" s="31" t="s">
        <v>276</v>
      </c>
      <c r="C188" s="32" t="s">
        <v>53</v>
      </c>
      <c r="D188" s="33">
        <v>500</v>
      </c>
      <c r="E188" s="34">
        <v>203.84</v>
      </c>
      <c r="F188" s="35">
        <v>482.37</v>
      </c>
      <c r="G188" s="32" t="s">
        <v>277</v>
      </c>
      <c r="H188" s="37">
        <f>625/1.2</f>
        <v>520.83333333333337</v>
      </c>
      <c r="I188" s="38">
        <f t="shared" si="29"/>
        <v>260416.66666666669</v>
      </c>
      <c r="J188" s="32" t="s">
        <v>46</v>
      </c>
      <c r="K188" s="37">
        <v>479</v>
      </c>
      <c r="L188" s="38">
        <f t="shared" si="21"/>
        <v>239500</v>
      </c>
      <c r="M188" s="32" t="s">
        <v>278</v>
      </c>
      <c r="N188" s="37">
        <f>10800/20/1.2</f>
        <v>450</v>
      </c>
      <c r="O188" s="38">
        <f t="shared" si="22"/>
        <v>225000</v>
      </c>
      <c r="P188" s="39">
        <f t="shared" si="23"/>
        <v>483.27777777777783</v>
      </c>
      <c r="Q188" s="40">
        <f t="shared" si="24"/>
        <v>-0.18783768249224408</v>
      </c>
      <c r="R188" s="39">
        <f t="shared" si="25"/>
        <v>241185</v>
      </c>
      <c r="S188" s="41"/>
      <c r="U188" s="42">
        <f t="shared" si="26"/>
        <v>8</v>
      </c>
      <c r="V188" s="42">
        <f t="shared" si="27"/>
        <v>-1</v>
      </c>
      <c r="W188" s="42">
        <f t="shared" si="28"/>
        <v>-7</v>
      </c>
    </row>
    <row r="189" spans="1:23" s="28" customFormat="1" ht="73.5" customHeight="1" x14ac:dyDescent="0.2">
      <c r="A189" s="30">
        <v>185</v>
      </c>
      <c r="B189" s="31" t="s">
        <v>279</v>
      </c>
      <c r="C189" s="32" t="s">
        <v>45</v>
      </c>
      <c r="D189" s="33" t="s">
        <v>280</v>
      </c>
      <c r="E189" s="34">
        <v>25632.43</v>
      </c>
      <c r="F189" s="35">
        <v>28855.3</v>
      </c>
      <c r="G189" s="32" t="s">
        <v>281</v>
      </c>
      <c r="H189" s="37">
        <f>(1630*1000/50)/1.2</f>
        <v>27166.666666666668</v>
      </c>
      <c r="I189" s="38">
        <f t="shared" si="29"/>
        <v>13583.333333333334</v>
      </c>
      <c r="J189" s="32" t="s">
        <v>58</v>
      </c>
      <c r="K189" s="37">
        <v>30052.39</v>
      </c>
      <c r="L189" s="54">
        <f t="shared" si="21"/>
        <v>15026.195</v>
      </c>
      <c r="M189" s="38" t="s">
        <v>29</v>
      </c>
      <c r="N189" s="37">
        <v>29361.09</v>
      </c>
      <c r="O189" s="38">
        <f t="shared" si="22"/>
        <v>14680.545</v>
      </c>
      <c r="P189" s="39">
        <f t="shared" si="23"/>
        <v>28860.04888888889</v>
      </c>
      <c r="Q189" s="40">
        <f t="shared" si="24"/>
        <v>-1.6454888580312854E-2</v>
      </c>
      <c r="R189" s="39">
        <f t="shared" si="25"/>
        <v>14427.65</v>
      </c>
      <c r="S189" s="41"/>
      <c r="U189" s="42">
        <f t="shared" si="26"/>
        <v>-6</v>
      </c>
      <c r="V189" s="42">
        <f t="shared" si="27"/>
        <v>4</v>
      </c>
      <c r="W189" s="42">
        <f t="shared" si="28"/>
        <v>2</v>
      </c>
    </row>
    <row r="190" spans="1:23" s="28" customFormat="1" ht="73.5" customHeight="1" x14ac:dyDescent="0.2">
      <c r="A190" s="30">
        <v>186</v>
      </c>
      <c r="B190" s="31" t="s">
        <v>282</v>
      </c>
      <c r="C190" s="32" t="s">
        <v>25</v>
      </c>
      <c r="D190" s="33">
        <v>10</v>
      </c>
      <c r="E190" s="34">
        <v>114.38</v>
      </c>
      <c r="F190" s="35">
        <v>154.38</v>
      </c>
      <c r="G190" s="32" t="s">
        <v>27</v>
      </c>
      <c r="H190" s="37">
        <f>159.09/1.2</f>
        <v>132.57500000000002</v>
      </c>
      <c r="I190" s="38">
        <f t="shared" si="29"/>
        <v>1325.7500000000002</v>
      </c>
      <c r="J190" s="38" t="s">
        <v>28</v>
      </c>
      <c r="K190" s="37">
        <v>173.53</v>
      </c>
      <c r="L190" s="38">
        <f t="shared" si="21"/>
        <v>1735.3</v>
      </c>
      <c r="M190" s="38" t="s">
        <v>29</v>
      </c>
      <c r="N190" s="37">
        <v>159.82</v>
      </c>
      <c r="O190" s="38">
        <f t="shared" si="22"/>
        <v>1598.1999999999998</v>
      </c>
      <c r="P190" s="39">
        <f t="shared" si="23"/>
        <v>155.30833333333334</v>
      </c>
      <c r="Q190" s="40">
        <f t="shared" si="24"/>
        <v>-0.59773568707410618</v>
      </c>
      <c r="R190" s="39">
        <f t="shared" si="25"/>
        <v>1543.8</v>
      </c>
      <c r="S190" s="41"/>
      <c r="U190" s="42">
        <f t="shared" si="26"/>
        <v>-15</v>
      </c>
      <c r="V190" s="42">
        <f t="shared" si="27"/>
        <v>12</v>
      </c>
      <c r="W190" s="42">
        <f t="shared" si="28"/>
        <v>3</v>
      </c>
    </row>
    <row r="191" spans="1:23" s="28" customFormat="1" ht="73.5" customHeight="1" x14ac:dyDescent="0.2">
      <c r="A191" s="30">
        <v>187</v>
      </c>
      <c r="B191" s="31" t="s">
        <v>283</v>
      </c>
      <c r="C191" s="32" t="s">
        <v>25</v>
      </c>
      <c r="D191" s="33">
        <v>5</v>
      </c>
      <c r="E191" s="34">
        <v>22.12</v>
      </c>
      <c r="F191" s="35">
        <v>38.659999999999997</v>
      </c>
      <c r="G191" s="32" t="s">
        <v>27</v>
      </c>
      <c r="H191" s="37">
        <f>41.96/1.2</f>
        <v>34.966666666666669</v>
      </c>
      <c r="I191" s="38">
        <f t="shared" si="29"/>
        <v>174.83333333333334</v>
      </c>
      <c r="J191" s="38" t="s">
        <v>28</v>
      </c>
      <c r="K191" s="37">
        <v>40.11</v>
      </c>
      <c r="L191" s="38">
        <f t="shared" si="21"/>
        <v>200.55</v>
      </c>
      <c r="M191" s="38" t="s">
        <v>29</v>
      </c>
      <c r="N191" s="37">
        <v>42.43</v>
      </c>
      <c r="O191" s="38">
        <f t="shared" si="22"/>
        <v>212.15</v>
      </c>
      <c r="P191" s="39">
        <f t="shared" si="23"/>
        <v>39.168888888888887</v>
      </c>
      <c r="Q191" s="40">
        <f t="shared" si="24"/>
        <v>-1.2992170656984001</v>
      </c>
      <c r="R191" s="39">
        <f t="shared" si="25"/>
        <v>193.29999999999998</v>
      </c>
      <c r="S191" s="41"/>
      <c r="U191" s="42">
        <f t="shared" si="26"/>
        <v>-11</v>
      </c>
      <c r="V191" s="42">
        <f t="shared" si="27"/>
        <v>2</v>
      </c>
      <c r="W191" s="42">
        <f t="shared" si="28"/>
        <v>8</v>
      </c>
    </row>
    <row r="192" spans="1:23" s="28" customFormat="1" ht="73.5" customHeight="1" x14ac:dyDescent="0.2">
      <c r="A192" s="30">
        <v>188</v>
      </c>
      <c r="B192" s="31" t="s">
        <v>284</v>
      </c>
      <c r="C192" s="32" t="s">
        <v>25</v>
      </c>
      <c r="D192" s="33">
        <v>51</v>
      </c>
      <c r="E192" s="34">
        <v>25.74</v>
      </c>
      <c r="F192" s="35">
        <v>37.020000000000003</v>
      </c>
      <c r="G192" s="32" t="s">
        <v>27</v>
      </c>
      <c r="H192" s="37">
        <f>42.95/1.2</f>
        <v>35.791666666666671</v>
      </c>
      <c r="I192" s="38">
        <f t="shared" si="29"/>
        <v>1825.3750000000002</v>
      </c>
      <c r="J192" s="38" t="s">
        <v>28</v>
      </c>
      <c r="K192" s="37">
        <v>42.57</v>
      </c>
      <c r="L192" s="38">
        <f t="shared" si="21"/>
        <v>2171.0700000000002</v>
      </c>
      <c r="M192" s="38" t="s">
        <v>29</v>
      </c>
      <c r="N192" s="37">
        <v>34.21</v>
      </c>
      <c r="O192" s="38">
        <f t="shared" si="22"/>
        <v>1744.71</v>
      </c>
      <c r="P192" s="39">
        <f t="shared" si="23"/>
        <v>37.523888888888898</v>
      </c>
      <c r="Q192" s="40">
        <f t="shared" si="24"/>
        <v>-1.3428482596272175</v>
      </c>
      <c r="R192" s="39">
        <f t="shared" si="25"/>
        <v>1888.0200000000002</v>
      </c>
      <c r="S192" s="41"/>
      <c r="U192" s="42">
        <f t="shared" si="26"/>
        <v>-5</v>
      </c>
      <c r="V192" s="42">
        <f t="shared" si="27"/>
        <v>13</v>
      </c>
      <c r="W192" s="42">
        <f t="shared" si="28"/>
        <v>-9</v>
      </c>
    </row>
    <row r="193" spans="1:23" s="28" customFormat="1" ht="73.5" customHeight="1" x14ac:dyDescent="0.2">
      <c r="A193" s="30">
        <v>189</v>
      </c>
      <c r="B193" s="31" t="s">
        <v>285</v>
      </c>
      <c r="C193" s="32" t="s">
        <v>25</v>
      </c>
      <c r="D193" s="33">
        <v>65</v>
      </c>
      <c r="E193" s="34">
        <v>113.63</v>
      </c>
      <c r="F193" s="35">
        <v>128.97999999999999</v>
      </c>
      <c r="G193" s="32" t="s">
        <v>27</v>
      </c>
      <c r="H193" s="37">
        <f>152.58/1.2</f>
        <v>127.15000000000002</v>
      </c>
      <c r="I193" s="38">
        <f t="shared" si="29"/>
        <v>8264.7500000000018</v>
      </c>
      <c r="J193" s="38" t="s">
        <v>28</v>
      </c>
      <c r="K193" s="37">
        <v>124.64</v>
      </c>
      <c r="L193" s="38">
        <f t="shared" si="21"/>
        <v>8101.6</v>
      </c>
      <c r="M193" s="38" t="s">
        <v>29</v>
      </c>
      <c r="N193" s="37">
        <v>140.51</v>
      </c>
      <c r="O193" s="38">
        <f t="shared" si="22"/>
        <v>9133.15</v>
      </c>
      <c r="P193" s="39">
        <f t="shared" si="23"/>
        <v>130.76666666666668</v>
      </c>
      <c r="Q193" s="40">
        <f t="shared" si="24"/>
        <v>-1.366301300025512</v>
      </c>
      <c r="R193" s="39">
        <f t="shared" si="25"/>
        <v>8383.6999999999989</v>
      </c>
      <c r="S193" s="41"/>
      <c r="U193" s="42">
        <f t="shared" si="26"/>
        <v>-3</v>
      </c>
      <c r="V193" s="42">
        <f t="shared" si="27"/>
        <v>-5</v>
      </c>
      <c r="W193" s="42">
        <f t="shared" si="28"/>
        <v>7</v>
      </c>
    </row>
    <row r="194" spans="1:23" s="28" customFormat="1" ht="73.5" customHeight="1" x14ac:dyDescent="0.2">
      <c r="A194" s="30">
        <v>190</v>
      </c>
      <c r="B194" s="31" t="s">
        <v>286</v>
      </c>
      <c r="C194" s="32" t="s">
        <v>25</v>
      </c>
      <c r="D194" s="33">
        <v>17</v>
      </c>
      <c r="E194" s="34">
        <v>815.94</v>
      </c>
      <c r="F194" s="35">
        <v>825.64</v>
      </c>
      <c r="G194" s="32" t="s">
        <v>27</v>
      </c>
      <c r="H194" s="37">
        <f>964.79/1.2</f>
        <v>803.99166666666667</v>
      </c>
      <c r="I194" s="38">
        <f t="shared" si="29"/>
        <v>13667.858333333334</v>
      </c>
      <c r="J194" s="38" t="s">
        <v>28</v>
      </c>
      <c r="K194" s="37">
        <v>800.97</v>
      </c>
      <c r="L194" s="38">
        <f t="shared" si="21"/>
        <v>13616.49</v>
      </c>
      <c r="M194" s="38" t="s">
        <v>29</v>
      </c>
      <c r="N194" s="37">
        <v>877.17</v>
      </c>
      <c r="O194" s="38">
        <f t="shared" si="22"/>
        <v>14911.89</v>
      </c>
      <c r="P194" s="39">
        <f t="shared" si="23"/>
        <v>827.37722222222226</v>
      </c>
      <c r="Q194" s="40">
        <f t="shared" si="24"/>
        <v>-0.20996737347401506</v>
      </c>
      <c r="R194" s="39">
        <f t="shared" si="25"/>
        <v>14035.88</v>
      </c>
      <c r="S194" s="41"/>
      <c r="U194" s="42">
        <f t="shared" si="26"/>
        <v>-3</v>
      </c>
      <c r="V194" s="42">
        <f t="shared" si="27"/>
        <v>-3</v>
      </c>
      <c r="W194" s="42">
        <f t="shared" si="28"/>
        <v>6</v>
      </c>
    </row>
    <row r="195" spans="1:23" s="28" customFormat="1" ht="73.5" customHeight="1" x14ac:dyDescent="0.2">
      <c r="A195" s="30">
        <v>191</v>
      </c>
      <c r="B195" s="31" t="s">
        <v>287</v>
      </c>
      <c r="C195" s="32" t="s">
        <v>25</v>
      </c>
      <c r="D195" s="33">
        <v>1</v>
      </c>
      <c r="E195" s="34">
        <v>1346.39</v>
      </c>
      <c r="F195" s="35">
        <v>1705.34</v>
      </c>
      <c r="G195" s="32" t="s">
        <v>27</v>
      </c>
      <c r="H195" s="37">
        <f>1922.48/1.2</f>
        <v>1602.0666666666668</v>
      </c>
      <c r="I195" s="38">
        <f t="shared" si="29"/>
        <v>1602.0666666666668</v>
      </c>
      <c r="J195" s="38" t="s">
        <v>28</v>
      </c>
      <c r="K195" s="37">
        <v>1722.42</v>
      </c>
      <c r="L195" s="38">
        <f t="shared" si="21"/>
        <v>1722.42</v>
      </c>
      <c r="M195" s="38" t="s">
        <v>29</v>
      </c>
      <c r="N195" s="37">
        <v>1806.95</v>
      </c>
      <c r="O195" s="38">
        <f t="shared" si="22"/>
        <v>1806.95</v>
      </c>
      <c r="P195" s="39">
        <f t="shared" si="23"/>
        <v>1710.4788888888888</v>
      </c>
      <c r="Q195" s="40">
        <f t="shared" si="24"/>
        <v>-0.30043568045596203</v>
      </c>
      <c r="R195" s="39">
        <f t="shared" si="25"/>
        <v>1705.34</v>
      </c>
      <c r="S195" s="41"/>
      <c r="U195" s="42">
        <f t="shared" si="26"/>
        <v>-6</v>
      </c>
      <c r="V195" s="42">
        <f t="shared" si="27"/>
        <v>1</v>
      </c>
      <c r="W195" s="42">
        <f t="shared" si="28"/>
        <v>6</v>
      </c>
    </row>
    <row r="196" spans="1:23" s="28" customFormat="1" ht="73.5" customHeight="1" x14ac:dyDescent="0.2">
      <c r="A196" s="30">
        <v>192</v>
      </c>
      <c r="B196" s="31" t="s">
        <v>288</v>
      </c>
      <c r="C196" s="32" t="s">
        <v>25</v>
      </c>
      <c r="D196" s="33">
        <v>1</v>
      </c>
      <c r="E196" s="34">
        <v>229.17</v>
      </c>
      <c r="F196" s="35">
        <v>246.37</v>
      </c>
      <c r="G196" s="32" t="s">
        <v>27</v>
      </c>
      <c r="H196" s="37">
        <f>272.92/1.2</f>
        <v>227.43333333333337</v>
      </c>
      <c r="I196" s="38">
        <f t="shared" ref="I196:I226" si="30">D196*H196</f>
        <v>227.43333333333337</v>
      </c>
      <c r="J196" s="38" t="s">
        <v>28</v>
      </c>
      <c r="K196" s="37">
        <v>218.37</v>
      </c>
      <c r="L196" s="38">
        <f t="shared" si="21"/>
        <v>218.37</v>
      </c>
      <c r="M196" s="38" t="s">
        <v>29</v>
      </c>
      <c r="N196" s="37">
        <v>299.05</v>
      </c>
      <c r="O196" s="38">
        <f t="shared" si="22"/>
        <v>299.05</v>
      </c>
      <c r="P196" s="39">
        <f t="shared" si="23"/>
        <v>248.28444444444449</v>
      </c>
      <c r="Q196" s="40">
        <f t="shared" si="24"/>
        <v>-0.77106902477447647</v>
      </c>
      <c r="R196" s="39">
        <f t="shared" si="25"/>
        <v>246.37</v>
      </c>
      <c r="S196" s="41"/>
      <c r="U196" s="42">
        <f t="shared" si="26"/>
        <v>-8</v>
      </c>
      <c r="V196" s="42">
        <f t="shared" si="27"/>
        <v>-12</v>
      </c>
      <c r="W196" s="42">
        <f t="shared" si="28"/>
        <v>20</v>
      </c>
    </row>
    <row r="197" spans="1:23" s="28" customFormat="1" ht="73.5" customHeight="1" x14ac:dyDescent="0.2">
      <c r="A197" s="30">
        <v>193</v>
      </c>
      <c r="B197" s="31" t="s">
        <v>289</v>
      </c>
      <c r="C197" s="32" t="s">
        <v>25</v>
      </c>
      <c r="D197" s="33">
        <v>36</v>
      </c>
      <c r="E197" s="34">
        <v>35.54</v>
      </c>
      <c r="F197" s="35">
        <v>39.04</v>
      </c>
      <c r="G197" s="32" t="s">
        <v>27</v>
      </c>
      <c r="H197" s="37">
        <f>42.98/1.2</f>
        <v>35.816666666666663</v>
      </c>
      <c r="I197" s="38">
        <f t="shared" si="30"/>
        <v>1289.3999999999999</v>
      </c>
      <c r="J197" s="38" t="s">
        <v>28</v>
      </c>
      <c r="K197" s="37">
        <v>44.2</v>
      </c>
      <c r="L197" s="38">
        <f t="shared" si="21"/>
        <v>1591.2</v>
      </c>
      <c r="M197" s="38" t="s">
        <v>29</v>
      </c>
      <c r="N197" s="37">
        <v>38.46</v>
      </c>
      <c r="O197" s="38">
        <f t="shared" si="22"/>
        <v>1384.56</v>
      </c>
      <c r="P197" s="39">
        <f t="shared" si="23"/>
        <v>39.492222222222217</v>
      </c>
      <c r="Q197" s="40">
        <f t="shared" si="24"/>
        <v>-1.1450918605632552</v>
      </c>
      <c r="R197" s="39">
        <f t="shared" si="25"/>
        <v>1405.44</v>
      </c>
      <c r="S197" s="41"/>
      <c r="U197" s="42">
        <f t="shared" si="26"/>
        <v>-9</v>
      </c>
      <c r="V197" s="42">
        <f t="shared" si="27"/>
        <v>12</v>
      </c>
      <c r="W197" s="42">
        <f t="shared" si="28"/>
        <v>-3</v>
      </c>
    </row>
    <row r="198" spans="1:23" s="28" customFormat="1" ht="73.5" customHeight="1" x14ac:dyDescent="0.2">
      <c r="A198" s="30">
        <v>194</v>
      </c>
      <c r="B198" s="31" t="s">
        <v>290</v>
      </c>
      <c r="C198" s="32" t="s">
        <v>45</v>
      </c>
      <c r="D198" s="33">
        <v>8</v>
      </c>
      <c r="E198" s="34">
        <v>544.47</v>
      </c>
      <c r="F198" s="35">
        <v>592.47</v>
      </c>
      <c r="G198" s="32" t="s">
        <v>56</v>
      </c>
      <c r="H198" s="37">
        <v>597.5</v>
      </c>
      <c r="I198" s="38">
        <f t="shared" si="30"/>
        <v>4780</v>
      </c>
      <c r="J198" s="38" t="s">
        <v>57</v>
      </c>
      <c r="K198" s="37">
        <v>549.78</v>
      </c>
      <c r="L198" s="38">
        <f t="shared" si="21"/>
        <v>4398.24</v>
      </c>
      <c r="M198" s="32" t="s">
        <v>58</v>
      </c>
      <c r="N198" s="37">
        <v>634.45000000000005</v>
      </c>
      <c r="O198" s="38">
        <f t="shared" si="22"/>
        <v>5075.6000000000004</v>
      </c>
      <c r="P198" s="39">
        <f t="shared" si="23"/>
        <v>593.91</v>
      </c>
      <c r="Q198" s="40">
        <f t="shared" si="24"/>
        <v>-0.24246097893619378</v>
      </c>
      <c r="R198" s="39">
        <f t="shared" si="25"/>
        <v>4739.76</v>
      </c>
      <c r="S198" s="41"/>
      <c r="U198" s="42">
        <f t="shared" si="26"/>
        <v>1</v>
      </c>
      <c r="V198" s="42">
        <f t="shared" si="27"/>
        <v>-7</v>
      </c>
      <c r="W198" s="42">
        <f t="shared" si="28"/>
        <v>7</v>
      </c>
    </row>
    <row r="199" spans="1:23" s="28" customFormat="1" ht="73.5" customHeight="1" x14ac:dyDescent="0.2">
      <c r="A199" s="30">
        <v>195</v>
      </c>
      <c r="B199" s="31" t="s">
        <v>291</v>
      </c>
      <c r="C199" s="32" t="s">
        <v>292</v>
      </c>
      <c r="D199" s="33">
        <v>532</v>
      </c>
      <c r="E199" s="34">
        <v>43.24</v>
      </c>
      <c r="F199" s="35">
        <v>53.08</v>
      </c>
      <c r="G199" s="36" t="s">
        <v>90</v>
      </c>
      <c r="H199" s="37">
        <f>61.72/1.2</f>
        <v>51.433333333333337</v>
      </c>
      <c r="I199" s="38">
        <f t="shared" si="30"/>
        <v>27362.533333333336</v>
      </c>
      <c r="J199" s="36" t="s">
        <v>46</v>
      </c>
      <c r="K199" s="37">
        <v>55.09</v>
      </c>
      <c r="L199" s="38">
        <f t="shared" si="21"/>
        <v>29307.88</v>
      </c>
      <c r="M199" s="32" t="s">
        <v>58</v>
      </c>
      <c r="N199" s="37">
        <v>53.87</v>
      </c>
      <c r="O199" s="38">
        <f t="shared" si="22"/>
        <v>28658.84</v>
      </c>
      <c r="P199" s="39">
        <f t="shared" si="23"/>
        <v>53.464444444444446</v>
      </c>
      <c r="Q199" s="40">
        <f t="shared" si="24"/>
        <v>-0.71906563032545989</v>
      </c>
      <c r="R199" s="39">
        <f t="shared" si="25"/>
        <v>28238.559999999998</v>
      </c>
      <c r="S199" s="41"/>
      <c r="U199" s="42">
        <f t="shared" si="26"/>
        <v>-4</v>
      </c>
      <c r="V199" s="42">
        <f t="shared" si="27"/>
        <v>3</v>
      </c>
      <c r="W199" s="42">
        <f t="shared" si="28"/>
        <v>1</v>
      </c>
    </row>
    <row r="200" spans="1:23" s="28" customFormat="1" ht="73.5" customHeight="1" x14ac:dyDescent="0.2">
      <c r="A200" s="30">
        <v>196</v>
      </c>
      <c r="B200" s="31" t="s">
        <v>293</v>
      </c>
      <c r="C200" s="32" t="s">
        <v>25</v>
      </c>
      <c r="D200" s="33">
        <v>8</v>
      </c>
      <c r="E200" s="34">
        <v>357</v>
      </c>
      <c r="F200" s="35">
        <v>394.7</v>
      </c>
      <c r="G200" s="32" t="s">
        <v>294</v>
      </c>
      <c r="H200" s="37">
        <v>357.28</v>
      </c>
      <c r="I200" s="38">
        <f t="shared" si="30"/>
        <v>2858.24</v>
      </c>
      <c r="J200" s="32" t="s">
        <v>295</v>
      </c>
      <c r="K200" s="37">
        <v>380</v>
      </c>
      <c r="L200" s="38">
        <f t="shared" si="21"/>
        <v>3040</v>
      </c>
      <c r="M200" s="38" t="s">
        <v>41</v>
      </c>
      <c r="N200" s="37">
        <v>450.14</v>
      </c>
      <c r="O200" s="38">
        <f t="shared" si="22"/>
        <v>3601.12</v>
      </c>
      <c r="P200" s="39">
        <f t="shared" si="23"/>
        <v>395.80666666666667</v>
      </c>
      <c r="Q200" s="40">
        <f t="shared" si="24"/>
        <v>-0.27959778342962238</v>
      </c>
      <c r="R200" s="39">
        <f t="shared" si="25"/>
        <v>3157.6</v>
      </c>
      <c r="S200" s="41"/>
      <c r="U200" s="42">
        <f t="shared" si="26"/>
        <v>-10</v>
      </c>
      <c r="V200" s="42">
        <f t="shared" si="27"/>
        <v>-4</v>
      </c>
      <c r="W200" s="42">
        <f t="shared" si="28"/>
        <v>14</v>
      </c>
    </row>
    <row r="201" spans="1:23" s="28" customFormat="1" ht="73.5" customHeight="1" x14ac:dyDescent="0.2">
      <c r="A201" s="30">
        <v>197</v>
      </c>
      <c r="B201" s="31" t="s">
        <v>296</v>
      </c>
      <c r="C201" s="32" t="s">
        <v>25</v>
      </c>
      <c r="D201" s="33">
        <v>28</v>
      </c>
      <c r="E201" s="34" t="s">
        <v>26</v>
      </c>
      <c r="F201" s="35">
        <v>402.64</v>
      </c>
      <c r="G201" s="32" t="s">
        <v>294</v>
      </c>
      <c r="H201" s="37">
        <v>395.38</v>
      </c>
      <c r="I201" s="38">
        <f t="shared" si="30"/>
        <v>11070.64</v>
      </c>
      <c r="J201" s="32" t="s">
        <v>295</v>
      </c>
      <c r="K201" s="37">
        <v>395</v>
      </c>
      <c r="L201" s="38">
        <f t="shared" si="21"/>
        <v>11060</v>
      </c>
      <c r="M201" s="38" t="s">
        <v>41</v>
      </c>
      <c r="N201" s="37">
        <v>420.11</v>
      </c>
      <c r="O201" s="38">
        <f t="shared" si="22"/>
        <v>11763.08</v>
      </c>
      <c r="P201" s="39">
        <f t="shared" si="23"/>
        <v>403.49666666666667</v>
      </c>
      <c r="Q201" s="40">
        <f t="shared" si="24"/>
        <v>-0.21231071714760219</v>
      </c>
      <c r="R201" s="39">
        <f t="shared" si="25"/>
        <v>11273.92</v>
      </c>
      <c r="S201" s="41"/>
      <c r="U201" s="42">
        <f t="shared" si="26"/>
        <v>-2</v>
      </c>
      <c r="V201" s="42">
        <f t="shared" si="27"/>
        <v>-2</v>
      </c>
      <c r="W201" s="42">
        <f t="shared" si="28"/>
        <v>4</v>
      </c>
    </row>
    <row r="202" spans="1:23" s="28" customFormat="1" ht="73.5" customHeight="1" x14ac:dyDescent="0.2">
      <c r="A202" s="30">
        <v>198</v>
      </c>
      <c r="B202" s="31" t="s">
        <v>297</v>
      </c>
      <c r="C202" s="32" t="s">
        <v>25</v>
      </c>
      <c r="D202" s="33">
        <v>2</v>
      </c>
      <c r="E202" s="34">
        <v>961.21</v>
      </c>
      <c r="F202" s="35">
        <v>990.1</v>
      </c>
      <c r="G202" s="32" t="s">
        <v>294</v>
      </c>
      <c r="H202" s="37">
        <v>984.06</v>
      </c>
      <c r="I202" s="38">
        <f t="shared" si="30"/>
        <v>1968.12</v>
      </c>
      <c r="J202" s="32" t="s">
        <v>295</v>
      </c>
      <c r="K202" s="37">
        <v>956</v>
      </c>
      <c r="L202" s="38">
        <f t="shared" si="21"/>
        <v>1912</v>
      </c>
      <c r="M202" s="38" t="s">
        <v>41</v>
      </c>
      <c r="N202" s="37">
        <v>1040.46</v>
      </c>
      <c r="O202" s="38">
        <f t="shared" si="22"/>
        <v>2080.92</v>
      </c>
      <c r="P202" s="39">
        <f t="shared" si="23"/>
        <v>993.50666666666666</v>
      </c>
      <c r="Q202" s="40">
        <f t="shared" si="24"/>
        <v>-0.34289318642385069</v>
      </c>
      <c r="R202" s="39">
        <f t="shared" si="25"/>
        <v>1980.2</v>
      </c>
      <c r="S202" s="41"/>
      <c r="U202" s="42">
        <f t="shared" si="26"/>
        <v>-1</v>
      </c>
      <c r="V202" s="42">
        <f t="shared" si="27"/>
        <v>-4</v>
      </c>
      <c r="W202" s="42">
        <f t="shared" si="28"/>
        <v>5</v>
      </c>
    </row>
    <row r="203" spans="1:23" s="28" customFormat="1" ht="73.5" customHeight="1" x14ac:dyDescent="0.2">
      <c r="A203" s="30">
        <v>199</v>
      </c>
      <c r="B203" s="31" t="s">
        <v>298</v>
      </c>
      <c r="C203" s="32" t="s">
        <v>25</v>
      </c>
      <c r="D203" s="33">
        <v>8</v>
      </c>
      <c r="E203" s="34">
        <v>462.54</v>
      </c>
      <c r="F203" s="35">
        <v>487.56</v>
      </c>
      <c r="G203" s="32" t="s">
        <v>294</v>
      </c>
      <c r="H203" s="37">
        <v>465.05</v>
      </c>
      <c r="I203" s="38">
        <f t="shared" si="30"/>
        <v>3720.4</v>
      </c>
      <c r="J203" s="32" t="s">
        <v>295</v>
      </c>
      <c r="K203" s="37">
        <v>482</v>
      </c>
      <c r="L203" s="38">
        <f t="shared" si="21"/>
        <v>3856</v>
      </c>
      <c r="M203" s="38" t="s">
        <v>41</v>
      </c>
      <c r="N203" s="37">
        <v>521.12</v>
      </c>
      <c r="O203" s="38">
        <f t="shared" si="22"/>
        <v>4168.96</v>
      </c>
      <c r="P203" s="39">
        <f t="shared" si="23"/>
        <v>489.39000000000004</v>
      </c>
      <c r="Q203" s="40">
        <f t="shared" si="24"/>
        <v>-0.37393489854717643</v>
      </c>
      <c r="R203" s="39">
        <f t="shared" si="25"/>
        <v>3900.48</v>
      </c>
      <c r="S203" s="41"/>
      <c r="U203" s="42">
        <f t="shared" si="26"/>
        <v>-5</v>
      </c>
      <c r="V203" s="42">
        <f t="shared" si="27"/>
        <v>-2</v>
      </c>
      <c r="W203" s="42">
        <f t="shared" si="28"/>
        <v>6</v>
      </c>
    </row>
    <row r="204" spans="1:23" s="28" customFormat="1" ht="73.5" customHeight="1" x14ac:dyDescent="0.2">
      <c r="A204" s="30">
        <v>200</v>
      </c>
      <c r="B204" s="31" t="s">
        <v>299</v>
      </c>
      <c r="C204" s="32" t="s">
        <v>25</v>
      </c>
      <c r="D204" s="33">
        <v>10</v>
      </c>
      <c r="E204" s="34">
        <v>607.75</v>
      </c>
      <c r="F204" s="35">
        <v>578.79999999999995</v>
      </c>
      <c r="G204" s="32" t="s">
        <v>294</v>
      </c>
      <c r="H204" s="37">
        <v>557.80999999999995</v>
      </c>
      <c r="I204" s="38">
        <f t="shared" si="30"/>
        <v>5578.0999999999995</v>
      </c>
      <c r="J204" s="32" t="s">
        <v>295</v>
      </c>
      <c r="K204" s="37">
        <v>560</v>
      </c>
      <c r="L204" s="38">
        <f t="shared" ref="L204:L267" si="31">D204*K204</f>
        <v>5600</v>
      </c>
      <c r="M204" s="38" t="s">
        <v>41</v>
      </c>
      <c r="N204" s="37">
        <v>620.64</v>
      </c>
      <c r="O204" s="38">
        <f t="shared" ref="O204:O267" si="32">D204*N204</f>
        <v>6206.4</v>
      </c>
      <c r="P204" s="39">
        <f t="shared" ref="P204:P267" si="33">AVERAGE(H204,K204,N204)</f>
        <v>579.48333333333323</v>
      </c>
      <c r="Q204" s="40">
        <f t="shared" ref="Q204:Q267" si="34">F204*100/P204-100</f>
        <v>-0.1179211366447106</v>
      </c>
      <c r="R204" s="39">
        <f t="shared" ref="R204:R267" si="35">D204*F204</f>
        <v>5788</v>
      </c>
      <c r="S204" s="41"/>
      <c r="U204" s="42">
        <f t="shared" ref="U204:U267" si="36">ROUND(H204*100/P204-100,0)</f>
        <v>-4</v>
      </c>
      <c r="V204" s="42">
        <f t="shared" ref="V204:V267" si="37">ROUND(K204*100/P204-100,0)</f>
        <v>-3</v>
      </c>
      <c r="W204" s="42">
        <f t="shared" ref="W204:W267" si="38">ROUND(N204*100/P204-100,0)</f>
        <v>7</v>
      </c>
    </row>
    <row r="205" spans="1:23" s="28" customFormat="1" ht="73.5" customHeight="1" x14ac:dyDescent="0.2">
      <c r="A205" s="30">
        <v>201</v>
      </c>
      <c r="B205" s="31" t="s">
        <v>300</v>
      </c>
      <c r="C205" s="32" t="s">
        <v>25</v>
      </c>
      <c r="D205" s="33">
        <v>46</v>
      </c>
      <c r="E205" s="34">
        <v>767.13</v>
      </c>
      <c r="F205" s="35">
        <v>841.2</v>
      </c>
      <c r="G205" s="32" t="s">
        <v>294</v>
      </c>
      <c r="H205" s="37">
        <v>766.01</v>
      </c>
      <c r="I205" s="38">
        <f t="shared" si="30"/>
        <v>35236.46</v>
      </c>
      <c r="J205" s="32" t="s">
        <v>295</v>
      </c>
      <c r="K205" s="37">
        <v>840</v>
      </c>
      <c r="L205" s="38">
        <f t="shared" si="31"/>
        <v>38640</v>
      </c>
      <c r="M205" s="38" t="s">
        <v>41</v>
      </c>
      <c r="N205" s="37">
        <v>921.5</v>
      </c>
      <c r="O205" s="38">
        <f t="shared" si="32"/>
        <v>42389</v>
      </c>
      <c r="P205" s="39">
        <f t="shared" si="33"/>
        <v>842.50333333333344</v>
      </c>
      <c r="Q205" s="40">
        <f t="shared" si="34"/>
        <v>-0.15469770643836966</v>
      </c>
      <c r="R205" s="39">
        <f t="shared" si="35"/>
        <v>38695.200000000004</v>
      </c>
      <c r="S205" s="41"/>
      <c r="U205" s="42">
        <f t="shared" si="36"/>
        <v>-9</v>
      </c>
      <c r="V205" s="42">
        <f t="shared" si="37"/>
        <v>0</v>
      </c>
      <c r="W205" s="42">
        <f t="shared" si="38"/>
        <v>9</v>
      </c>
    </row>
    <row r="206" spans="1:23" s="28" customFormat="1" ht="73.5" customHeight="1" x14ac:dyDescent="0.2">
      <c r="A206" s="30">
        <v>202</v>
      </c>
      <c r="B206" s="31" t="s">
        <v>301</v>
      </c>
      <c r="C206" s="32" t="s">
        <v>25</v>
      </c>
      <c r="D206" s="33">
        <v>24</v>
      </c>
      <c r="E206" s="34">
        <v>1027.79</v>
      </c>
      <c r="F206" s="35">
        <v>1017.48</v>
      </c>
      <c r="G206" s="32" t="s">
        <v>294</v>
      </c>
      <c r="H206" s="37">
        <v>995.81</v>
      </c>
      <c r="I206" s="38">
        <f t="shared" si="30"/>
        <v>23899.439999999999</v>
      </c>
      <c r="J206" s="32" t="s">
        <v>295</v>
      </c>
      <c r="K206" s="37">
        <v>960</v>
      </c>
      <c r="L206" s="38">
        <f t="shared" si="31"/>
        <v>23040</v>
      </c>
      <c r="M206" s="38" t="s">
        <v>41</v>
      </c>
      <c r="N206" s="37">
        <v>1102.7</v>
      </c>
      <c r="O206" s="38">
        <f t="shared" si="32"/>
        <v>26464.800000000003</v>
      </c>
      <c r="P206" s="39">
        <f t="shared" si="33"/>
        <v>1019.5033333333334</v>
      </c>
      <c r="Q206" s="40">
        <f t="shared" si="34"/>
        <v>-0.19846265011395303</v>
      </c>
      <c r="R206" s="39">
        <f t="shared" si="35"/>
        <v>24419.52</v>
      </c>
      <c r="S206" s="41"/>
      <c r="U206" s="42">
        <f t="shared" si="36"/>
        <v>-2</v>
      </c>
      <c r="V206" s="42">
        <f t="shared" si="37"/>
        <v>-6</v>
      </c>
      <c r="W206" s="42">
        <f t="shared" si="38"/>
        <v>8</v>
      </c>
    </row>
    <row r="207" spans="1:23" s="28" customFormat="1" ht="73.5" customHeight="1" x14ac:dyDescent="0.2">
      <c r="A207" s="30">
        <v>203</v>
      </c>
      <c r="B207" s="31" t="s">
        <v>302</v>
      </c>
      <c r="C207" s="32" t="s">
        <v>25</v>
      </c>
      <c r="D207" s="33">
        <v>2</v>
      </c>
      <c r="E207" s="34">
        <v>1904.71</v>
      </c>
      <c r="F207" s="35">
        <v>1897.42</v>
      </c>
      <c r="G207" s="32" t="s">
        <v>294</v>
      </c>
      <c r="H207" s="37">
        <v>1850.62</v>
      </c>
      <c r="I207" s="38">
        <f t="shared" si="30"/>
        <v>3701.24</v>
      </c>
      <c r="J207" s="32" t="s">
        <v>295</v>
      </c>
      <c r="K207" s="37">
        <v>1890</v>
      </c>
      <c r="L207" s="38">
        <f t="shared" si="31"/>
        <v>3780</v>
      </c>
      <c r="M207" s="38" t="s">
        <v>41</v>
      </c>
      <c r="N207" s="37">
        <v>1954.93</v>
      </c>
      <c r="O207" s="38">
        <f t="shared" si="32"/>
        <v>3909.86</v>
      </c>
      <c r="P207" s="39">
        <f t="shared" si="33"/>
        <v>1898.5166666666667</v>
      </c>
      <c r="Q207" s="40">
        <f t="shared" si="34"/>
        <v>-5.7764395010138969E-2</v>
      </c>
      <c r="R207" s="39">
        <f t="shared" si="35"/>
        <v>3794.84</v>
      </c>
      <c r="S207" s="41"/>
      <c r="U207" s="42">
        <f t="shared" si="36"/>
        <v>-3</v>
      </c>
      <c r="V207" s="42">
        <f t="shared" si="37"/>
        <v>0</v>
      </c>
      <c r="W207" s="42">
        <f t="shared" si="38"/>
        <v>3</v>
      </c>
    </row>
    <row r="208" spans="1:23" s="28" customFormat="1" ht="73.5" customHeight="1" x14ac:dyDescent="0.2">
      <c r="A208" s="30">
        <v>204</v>
      </c>
      <c r="B208" s="31" t="s">
        <v>303</v>
      </c>
      <c r="C208" s="32" t="s">
        <v>25</v>
      </c>
      <c r="D208" s="33">
        <v>26</v>
      </c>
      <c r="E208" s="34">
        <v>2401.25</v>
      </c>
      <c r="F208" s="35">
        <v>2441.2399999999998</v>
      </c>
      <c r="G208" s="32" t="s">
        <v>294</v>
      </c>
      <c r="H208" s="37">
        <v>2411.34</v>
      </c>
      <c r="I208" s="38">
        <f t="shared" si="30"/>
        <v>62694.840000000004</v>
      </c>
      <c r="J208" s="32" t="s">
        <v>295</v>
      </c>
      <c r="K208" s="37">
        <v>2400</v>
      </c>
      <c r="L208" s="38">
        <f t="shared" si="31"/>
        <v>62400</v>
      </c>
      <c r="M208" s="38" t="s">
        <v>41</v>
      </c>
      <c r="N208" s="37">
        <v>2515.5</v>
      </c>
      <c r="O208" s="38">
        <f t="shared" si="32"/>
        <v>65403</v>
      </c>
      <c r="P208" s="39">
        <f t="shared" si="33"/>
        <v>2442.2800000000002</v>
      </c>
      <c r="Q208" s="40">
        <f t="shared" si="34"/>
        <v>-4.2583159998059728E-2</v>
      </c>
      <c r="R208" s="39">
        <f t="shared" si="35"/>
        <v>63472.239999999991</v>
      </c>
      <c r="S208" s="41"/>
      <c r="U208" s="42">
        <f t="shared" si="36"/>
        <v>-1</v>
      </c>
      <c r="V208" s="42">
        <f t="shared" si="37"/>
        <v>-2</v>
      </c>
      <c r="W208" s="42">
        <f t="shared" si="38"/>
        <v>3</v>
      </c>
    </row>
    <row r="209" spans="1:23" s="28" customFormat="1" ht="73.5" customHeight="1" x14ac:dyDescent="0.2">
      <c r="A209" s="30">
        <v>205</v>
      </c>
      <c r="B209" s="31" t="s">
        <v>304</v>
      </c>
      <c r="C209" s="32" t="s">
        <v>25</v>
      </c>
      <c r="D209" s="33">
        <v>24</v>
      </c>
      <c r="E209" s="34">
        <v>3188.21</v>
      </c>
      <c r="F209" s="35">
        <v>3222.7</v>
      </c>
      <c r="G209" s="32" t="s">
        <v>294</v>
      </c>
      <c r="H209" s="37">
        <v>3132.1</v>
      </c>
      <c r="I209" s="38">
        <f t="shared" si="30"/>
        <v>75170.399999999994</v>
      </c>
      <c r="J209" s="32" t="s">
        <v>295</v>
      </c>
      <c r="K209" s="37">
        <v>3200</v>
      </c>
      <c r="L209" s="38">
        <f t="shared" si="31"/>
        <v>76800</v>
      </c>
      <c r="M209" s="38" t="s">
        <v>41</v>
      </c>
      <c r="N209" s="37">
        <v>3340.7</v>
      </c>
      <c r="O209" s="38">
        <f t="shared" si="32"/>
        <v>80176.799999999988</v>
      </c>
      <c r="P209" s="39">
        <f t="shared" si="33"/>
        <v>3224.2666666666664</v>
      </c>
      <c r="Q209" s="40">
        <f t="shared" si="34"/>
        <v>-4.8589860226613268E-2</v>
      </c>
      <c r="R209" s="39">
        <f t="shared" si="35"/>
        <v>77344.799999999988</v>
      </c>
      <c r="S209" s="41"/>
      <c r="U209" s="42">
        <f t="shared" si="36"/>
        <v>-3</v>
      </c>
      <c r="V209" s="42">
        <f t="shared" si="37"/>
        <v>-1</v>
      </c>
      <c r="W209" s="42">
        <f t="shared" si="38"/>
        <v>4</v>
      </c>
    </row>
    <row r="210" spans="1:23" s="28" customFormat="1" ht="73.5" customHeight="1" x14ac:dyDescent="0.2">
      <c r="A210" s="30">
        <v>206</v>
      </c>
      <c r="B210" s="31" t="s">
        <v>305</v>
      </c>
      <c r="C210" s="32" t="s">
        <v>25</v>
      </c>
      <c r="D210" s="33">
        <v>2</v>
      </c>
      <c r="E210" s="34">
        <v>5065.29</v>
      </c>
      <c r="F210" s="35">
        <v>5075.3</v>
      </c>
      <c r="G210" s="32" t="s">
        <v>294</v>
      </c>
      <c r="H210" s="37">
        <v>5058.01</v>
      </c>
      <c r="I210" s="38">
        <f t="shared" si="30"/>
        <v>10116.02</v>
      </c>
      <c r="J210" s="32" t="s">
        <v>295</v>
      </c>
      <c r="K210" s="37">
        <v>5070</v>
      </c>
      <c r="L210" s="38">
        <f t="shared" si="31"/>
        <v>10140</v>
      </c>
      <c r="M210" s="38" t="s">
        <v>41</v>
      </c>
      <c r="N210" s="37">
        <v>5108.7700000000004</v>
      </c>
      <c r="O210" s="38">
        <f t="shared" si="32"/>
        <v>10217.540000000001</v>
      </c>
      <c r="P210" s="39">
        <f t="shared" si="33"/>
        <v>5078.9266666666672</v>
      </c>
      <c r="Q210" s="40">
        <f t="shared" si="34"/>
        <v>-7.1406163244475351E-2</v>
      </c>
      <c r="R210" s="39">
        <f t="shared" si="35"/>
        <v>10150.6</v>
      </c>
      <c r="S210" s="41"/>
      <c r="U210" s="42">
        <f t="shared" si="36"/>
        <v>0</v>
      </c>
      <c r="V210" s="42">
        <f t="shared" si="37"/>
        <v>0</v>
      </c>
      <c r="W210" s="42">
        <f t="shared" si="38"/>
        <v>1</v>
      </c>
    </row>
    <row r="211" spans="1:23" s="28" customFormat="1" ht="73.5" customHeight="1" x14ac:dyDescent="0.2">
      <c r="A211" s="30"/>
      <c r="B211" s="61" t="s">
        <v>461</v>
      </c>
      <c r="C211" s="32" t="s">
        <v>25</v>
      </c>
      <c r="D211" s="33" t="s">
        <v>462</v>
      </c>
      <c r="E211" s="34" t="s">
        <v>26</v>
      </c>
      <c r="F211" s="62" t="s">
        <v>463</v>
      </c>
      <c r="G211" s="32"/>
      <c r="H211" s="37"/>
      <c r="I211" s="38">
        <f t="shared" si="30"/>
        <v>0</v>
      </c>
      <c r="J211" s="32"/>
      <c r="K211" s="37"/>
      <c r="L211" s="38">
        <f t="shared" si="31"/>
        <v>0</v>
      </c>
      <c r="M211" s="38"/>
      <c r="N211" s="37"/>
      <c r="O211" s="38">
        <f t="shared" si="32"/>
        <v>0</v>
      </c>
      <c r="P211" s="39" t="e">
        <f t="shared" si="33"/>
        <v>#DIV/0!</v>
      </c>
      <c r="Q211" s="40" t="e">
        <f t="shared" si="34"/>
        <v>#VALUE!</v>
      </c>
      <c r="R211" s="39" t="e">
        <f t="shared" si="35"/>
        <v>#VALUE!</v>
      </c>
      <c r="S211" s="41"/>
      <c r="U211" s="42" t="e">
        <f t="shared" si="36"/>
        <v>#DIV/0!</v>
      </c>
      <c r="V211" s="42" t="e">
        <f t="shared" si="37"/>
        <v>#DIV/0!</v>
      </c>
      <c r="W211" s="42" t="e">
        <f t="shared" si="38"/>
        <v>#DIV/0!</v>
      </c>
    </row>
    <row r="212" spans="1:23" s="28" customFormat="1" ht="73.5" customHeight="1" x14ac:dyDescent="0.2">
      <c r="A212" s="30"/>
      <c r="B212" s="61" t="s">
        <v>464</v>
      </c>
      <c r="C212" s="32" t="s">
        <v>25</v>
      </c>
      <c r="D212" s="33" t="s">
        <v>465</v>
      </c>
      <c r="E212" s="34" t="s">
        <v>26</v>
      </c>
      <c r="F212" s="62" t="s">
        <v>463</v>
      </c>
      <c r="G212" s="32"/>
      <c r="H212" s="37"/>
      <c r="I212" s="38">
        <f t="shared" si="30"/>
        <v>0</v>
      </c>
      <c r="J212" s="32"/>
      <c r="K212" s="37"/>
      <c r="L212" s="38">
        <f t="shared" si="31"/>
        <v>0</v>
      </c>
      <c r="M212" s="38"/>
      <c r="N212" s="37"/>
      <c r="O212" s="38">
        <f t="shared" si="32"/>
        <v>0</v>
      </c>
      <c r="P212" s="39" t="e">
        <f t="shared" si="33"/>
        <v>#DIV/0!</v>
      </c>
      <c r="Q212" s="40" t="e">
        <f t="shared" si="34"/>
        <v>#VALUE!</v>
      </c>
      <c r="R212" s="39" t="e">
        <f t="shared" si="35"/>
        <v>#VALUE!</v>
      </c>
      <c r="S212" s="41"/>
      <c r="U212" s="42" t="e">
        <f t="shared" si="36"/>
        <v>#DIV/0!</v>
      </c>
      <c r="V212" s="42" t="e">
        <f t="shared" si="37"/>
        <v>#DIV/0!</v>
      </c>
      <c r="W212" s="42" t="e">
        <f t="shared" si="38"/>
        <v>#DIV/0!</v>
      </c>
    </row>
    <row r="213" spans="1:23" s="28" customFormat="1" ht="73.5" customHeight="1" x14ac:dyDescent="0.2">
      <c r="A213" s="30">
        <v>207</v>
      </c>
      <c r="B213" s="31" t="s">
        <v>306</v>
      </c>
      <c r="C213" s="32" t="s">
        <v>25</v>
      </c>
      <c r="D213" s="33" t="s">
        <v>307</v>
      </c>
      <c r="E213" s="34">
        <v>20798.080000000002</v>
      </c>
      <c r="F213" s="35">
        <v>19950.740000000002</v>
      </c>
      <c r="G213" s="32" t="s">
        <v>294</v>
      </c>
      <c r="H213" s="37">
        <v>19822.95</v>
      </c>
      <c r="I213" s="38">
        <f t="shared" si="30"/>
        <v>892032.75</v>
      </c>
      <c r="J213" s="32" t="s">
        <v>295</v>
      </c>
      <c r="K213" s="37">
        <v>19903</v>
      </c>
      <c r="L213" s="38">
        <f t="shared" si="31"/>
        <v>895635</v>
      </c>
      <c r="M213" s="38" t="s">
        <v>41</v>
      </c>
      <c r="N213" s="37">
        <v>20154.88</v>
      </c>
      <c r="O213" s="38">
        <f t="shared" si="32"/>
        <v>906969.60000000009</v>
      </c>
      <c r="P213" s="39">
        <f t="shared" si="33"/>
        <v>19960.276666666668</v>
      </c>
      <c r="Q213" s="40">
        <f t="shared" si="34"/>
        <v>-4.7778228858888383E-2</v>
      </c>
      <c r="R213" s="39">
        <f t="shared" si="35"/>
        <v>897783.3</v>
      </c>
      <c r="S213" s="41"/>
      <c r="U213" s="42">
        <f t="shared" si="36"/>
        <v>-1</v>
      </c>
      <c r="V213" s="42">
        <f t="shared" si="37"/>
        <v>0</v>
      </c>
      <c r="W213" s="42">
        <f t="shared" si="38"/>
        <v>1</v>
      </c>
    </row>
    <row r="214" spans="1:23" s="28" customFormat="1" ht="73.5" customHeight="1" x14ac:dyDescent="0.2">
      <c r="A214" s="30">
        <v>208</v>
      </c>
      <c r="B214" s="31" t="s">
        <v>308</v>
      </c>
      <c r="C214" s="32" t="s">
        <v>25</v>
      </c>
      <c r="D214" s="33">
        <v>4</v>
      </c>
      <c r="E214" s="34" t="s">
        <v>26</v>
      </c>
      <c r="F214" s="35">
        <v>301.5</v>
      </c>
      <c r="G214" s="32" t="s">
        <v>294</v>
      </c>
      <c r="H214" s="37">
        <v>299.49</v>
      </c>
      <c r="I214" s="38">
        <f t="shared" si="30"/>
        <v>1197.96</v>
      </c>
      <c r="J214" s="32" t="s">
        <v>295</v>
      </c>
      <c r="K214" s="37">
        <v>295</v>
      </c>
      <c r="L214" s="38">
        <f t="shared" si="31"/>
        <v>1180</v>
      </c>
      <c r="M214" s="38" t="s">
        <v>41</v>
      </c>
      <c r="N214" s="37">
        <v>320.14</v>
      </c>
      <c r="O214" s="38">
        <f t="shared" si="32"/>
        <v>1280.56</v>
      </c>
      <c r="P214" s="39">
        <f t="shared" si="33"/>
        <v>304.87666666666667</v>
      </c>
      <c r="Q214" s="40">
        <f t="shared" si="34"/>
        <v>-1.1075516875676499</v>
      </c>
      <c r="R214" s="39">
        <f t="shared" si="35"/>
        <v>1206</v>
      </c>
      <c r="S214" s="41"/>
      <c r="U214" s="42">
        <f t="shared" si="36"/>
        <v>-2</v>
      </c>
      <c r="V214" s="42">
        <f t="shared" si="37"/>
        <v>-3</v>
      </c>
      <c r="W214" s="42">
        <f t="shared" si="38"/>
        <v>5</v>
      </c>
    </row>
    <row r="215" spans="1:23" s="28" customFormat="1" ht="73.5" customHeight="1" x14ac:dyDescent="0.2">
      <c r="A215" s="30">
        <v>209</v>
      </c>
      <c r="B215" s="31" t="s">
        <v>309</v>
      </c>
      <c r="C215" s="32" t="s">
        <v>25</v>
      </c>
      <c r="D215" s="33">
        <v>1</v>
      </c>
      <c r="E215" s="34" t="s">
        <v>26</v>
      </c>
      <c r="F215" s="35">
        <v>21351</v>
      </c>
      <c r="G215" s="32" t="s">
        <v>294</v>
      </c>
      <c r="H215" s="37">
        <v>21316.78</v>
      </c>
      <c r="I215" s="38">
        <f t="shared" si="30"/>
        <v>21316.78</v>
      </c>
      <c r="J215" s="32" t="s">
        <v>295</v>
      </c>
      <c r="K215" s="37">
        <v>21291</v>
      </c>
      <c r="L215" s="38">
        <f t="shared" si="31"/>
        <v>21291</v>
      </c>
      <c r="M215" s="38" t="s">
        <v>41</v>
      </c>
      <c r="N215" s="37">
        <v>21455</v>
      </c>
      <c r="O215" s="38">
        <f t="shared" si="32"/>
        <v>21455</v>
      </c>
      <c r="P215" s="39">
        <f t="shared" si="33"/>
        <v>21354.26</v>
      </c>
      <c r="Q215" s="40">
        <f t="shared" si="34"/>
        <v>-1.5266274738621632E-2</v>
      </c>
      <c r="R215" s="39">
        <f t="shared" si="35"/>
        <v>21351</v>
      </c>
      <c r="S215" s="41"/>
      <c r="U215" s="42">
        <f t="shared" si="36"/>
        <v>0</v>
      </c>
      <c r="V215" s="42">
        <f t="shared" si="37"/>
        <v>0</v>
      </c>
      <c r="W215" s="42">
        <f t="shared" si="38"/>
        <v>0</v>
      </c>
    </row>
    <row r="216" spans="1:23" s="28" customFormat="1" ht="73.5" customHeight="1" x14ac:dyDescent="0.2">
      <c r="A216" s="30">
        <v>210</v>
      </c>
      <c r="B216" s="31" t="s">
        <v>310</v>
      </c>
      <c r="C216" s="32" t="s">
        <v>81</v>
      </c>
      <c r="D216" s="33">
        <v>4724</v>
      </c>
      <c r="E216" s="34">
        <v>67.959999999999994</v>
      </c>
      <c r="F216" s="35">
        <v>83.4</v>
      </c>
      <c r="G216" s="36" t="s">
        <v>90</v>
      </c>
      <c r="H216" s="37">
        <f>102.29/1.2</f>
        <v>85.241666666666674</v>
      </c>
      <c r="I216" s="38">
        <f t="shared" si="30"/>
        <v>402681.63333333336</v>
      </c>
      <c r="J216" s="36" t="s">
        <v>46</v>
      </c>
      <c r="K216" s="37">
        <v>83.77</v>
      </c>
      <c r="L216" s="38">
        <f t="shared" si="31"/>
        <v>395729.48</v>
      </c>
      <c r="M216" s="32" t="s">
        <v>58</v>
      </c>
      <c r="N216" s="37">
        <v>81.69</v>
      </c>
      <c r="O216" s="38">
        <f t="shared" si="32"/>
        <v>385903.56</v>
      </c>
      <c r="P216" s="39">
        <f t="shared" si="33"/>
        <v>83.567222222222213</v>
      </c>
      <c r="Q216" s="40">
        <f t="shared" si="34"/>
        <v>-0.20010503852519435</v>
      </c>
      <c r="R216" s="39">
        <f t="shared" si="35"/>
        <v>393981.60000000003</v>
      </c>
      <c r="S216" s="41"/>
      <c r="U216" s="42">
        <f t="shared" si="36"/>
        <v>2</v>
      </c>
      <c r="V216" s="42">
        <f t="shared" si="37"/>
        <v>0</v>
      </c>
      <c r="W216" s="42">
        <f t="shared" si="38"/>
        <v>-2</v>
      </c>
    </row>
    <row r="217" spans="1:23" s="28" customFormat="1" ht="73.5" customHeight="1" x14ac:dyDescent="0.2">
      <c r="A217" s="30">
        <v>211</v>
      </c>
      <c r="B217" s="31" t="s">
        <v>311</v>
      </c>
      <c r="C217" s="32" t="s">
        <v>25</v>
      </c>
      <c r="D217" s="33">
        <v>1</v>
      </c>
      <c r="E217" s="34">
        <v>213.22</v>
      </c>
      <c r="F217" s="35">
        <v>323.39999999999998</v>
      </c>
      <c r="G217" s="32" t="s">
        <v>27</v>
      </c>
      <c r="H217" s="37">
        <f>356.57/1.2</f>
        <v>297.14166666666665</v>
      </c>
      <c r="I217" s="38">
        <f t="shared" si="30"/>
        <v>297.14166666666665</v>
      </c>
      <c r="J217" s="38" t="s">
        <v>28</v>
      </c>
      <c r="K217" s="37">
        <v>316.27999999999997</v>
      </c>
      <c r="L217" s="38">
        <f t="shared" si="31"/>
        <v>316.27999999999997</v>
      </c>
      <c r="M217" s="33" t="s">
        <v>29</v>
      </c>
      <c r="N217" s="37">
        <v>361.87</v>
      </c>
      <c r="O217" s="38">
        <f t="shared" si="32"/>
        <v>361.87</v>
      </c>
      <c r="P217" s="39">
        <f t="shared" si="33"/>
        <v>325.09722222222223</v>
      </c>
      <c r="Q217" s="40">
        <f t="shared" si="34"/>
        <v>-0.52206604861794403</v>
      </c>
      <c r="R217" s="39">
        <f t="shared" si="35"/>
        <v>323.39999999999998</v>
      </c>
      <c r="S217" s="41"/>
      <c r="U217" s="42">
        <f t="shared" si="36"/>
        <v>-9</v>
      </c>
      <c r="V217" s="42">
        <f t="shared" si="37"/>
        <v>-3</v>
      </c>
      <c r="W217" s="42">
        <f t="shared" si="38"/>
        <v>11</v>
      </c>
    </row>
    <row r="218" spans="1:23" s="28" customFormat="1" ht="73.5" customHeight="1" x14ac:dyDescent="0.2">
      <c r="A218" s="30">
        <v>212</v>
      </c>
      <c r="B218" s="31" t="s">
        <v>312</v>
      </c>
      <c r="C218" s="32" t="s">
        <v>25</v>
      </c>
      <c r="D218" s="33">
        <v>8</v>
      </c>
      <c r="E218" s="34">
        <v>131456.09</v>
      </c>
      <c r="F218" s="35">
        <v>144835.70000000001</v>
      </c>
      <c r="G218" s="32" t="s">
        <v>27</v>
      </c>
      <c r="H218" s="37">
        <f>168045.6/1.2</f>
        <v>140038</v>
      </c>
      <c r="I218" s="38">
        <f t="shared" si="30"/>
        <v>1120304</v>
      </c>
      <c r="J218" s="38" t="s">
        <v>28</v>
      </c>
      <c r="K218" s="37">
        <v>149082</v>
      </c>
      <c r="L218" s="38">
        <f t="shared" si="31"/>
        <v>1192656</v>
      </c>
      <c r="M218" s="33" t="s">
        <v>29</v>
      </c>
      <c r="N218" s="37">
        <v>145394</v>
      </c>
      <c r="O218" s="38">
        <f t="shared" si="32"/>
        <v>1163152</v>
      </c>
      <c r="P218" s="39">
        <f t="shared" si="33"/>
        <v>144838</v>
      </c>
      <c r="Q218" s="40">
        <f t="shared" si="34"/>
        <v>-1.587981054683496E-3</v>
      </c>
      <c r="R218" s="39">
        <f t="shared" si="35"/>
        <v>1158685.6000000001</v>
      </c>
      <c r="S218" s="41"/>
      <c r="U218" s="42">
        <f t="shared" si="36"/>
        <v>-3</v>
      </c>
      <c r="V218" s="42">
        <f t="shared" si="37"/>
        <v>3</v>
      </c>
      <c r="W218" s="42">
        <f t="shared" si="38"/>
        <v>0</v>
      </c>
    </row>
    <row r="219" spans="1:23" s="28" customFormat="1" ht="73.5" customHeight="1" x14ac:dyDescent="0.2">
      <c r="A219" s="30">
        <v>213</v>
      </c>
      <c r="B219" s="31" t="s">
        <v>313</v>
      </c>
      <c r="C219" s="32" t="s">
        <v>25</v>
      </c>
      <c r="D219" s="33">
        <v>3</v>
      </c>
      <c r="E219" s="34">
        <v>3412.84</v>
      </c>
      <c r="F219" s="35">
        <v>3621.37</v>
      </c>
      <c r="G219" s="32" t="s">
        <v>27</v>
      </c>
      <c r="H219" s="37">
        <f>4262.14/1.2</f>
        <v>3551.7833333333338</v>
      </c>
      <c r="I219" s="38">
        <f t="shared" si="30"/>
        <v>10655.350000000002</v>
      </c>
      <c r="J219" s="38" t="s">
        <v>28</v>
      </c>
      <c r="K219" s="37">
        <v>3458.37</v>
      </c>
      <c r="L219" s="38">
        <f t="shared" si="31"/>
        <v>10375.11</v>
      </c>
      <c r="M219" s="33" t="s">
        <v>29</v>
      </c>
      <c r="N219" s="37">
        <v>3907.54</v>
      </c>
      <c r="O219" s="38">
        <f t="shared" si="32"/>
        <v>11722.619999999999</v>
      </c>
      <c r="P219" s="39">
        <f t="shared" si="33"/>
        <v>3639.2311111111107</v>
      </c>
      <c r="Q219" s="40">
        <f t="shared" si="34"/>
        <v>-0.49079353758484956</v>
      </c>
      <c r="R219" s="39">
        <f t="shared" si="35"/>
        <v>10864.11</v>
      </c>
      <c r="S219" s="41"/>
      <c r="U219" s="42">
        <f t="shared" si="36"/>
        <v>-2</v>
      </c>
      <c r="V219" s="42">
        <f t="shared" si="37"/>
        <v>-5</v>
      </c>
      <c r="W219" s="42">
        <f t="shared" si="38"/>
        <v>7</v>
      </c>
    </row>
    <row r="220" spans="1:23" s="28" customFormat="1" ht="73.5" customHeight="1" x14ac:dyDescent="0.2">
      <c r="A220" s="30">
        <v>215</v>
      </c>
      <c r="B220" s="31" t="s">
        <v>314</v>
      </c>
      <c r="C220" s="32" t="s">
        <v>25</v>
      </c>
      <c r="D220" s="33">
        <v>4</v>
      </c>
      <c r="E220" s="34">
        <v>5685.72</v>
      </c>
      <c r="F220" s="35">
        <v>5811.74</v>
      </c>
      <c r="G220" s="32" t="s">
        <v>27</v>
      </c>
      <c r="H220" s="37">
        <f>6938.81/1.2</f>
        <v>5782.3416666666672</v>
      </c>
      <c r="I220" s="38">
        <f t="shared" si="30"/>
        <v>23129.366666666669</v>
      </c>
      <c r="J220" s="38" t="s">
        <v>28</v>
      </c>
      <c r="K220" s="37">
        <v>5911.04</v>
      </c>
      <c r="L220" s="38">
        <f t="shared" si="31"/>
        <v>23644.16</v>
      </c>
      <c r="M220" s="33" t="s">
        <v>29</v>
      </c>
      <c r="N220" s="37">
        <v>5752.26</v>
      </c>
      <c r="O220" s="38">
        <f t="shared" si="32"/>
        <v>23009.040000000001</v>
      </c>
      <c r="P220" s="39">
        <f t="shared" si="33"/>
        <v>5815.2138888888903</v>
      </c>
      <c r="Q220" s="40">
        <f t="shared" si="34"/>
        <v>-5.9737938367632637E-2</v>
      </c>
      <c r="R220" s="39">
        <f t="shared" si="35"/>
        <v>23246.959999999999</v>
      </c>
      <c r="S220" s="41"/>
      <c r="U220" s="42">
        <f t="shared" si="36"/>
        <v>-1</v>
      </c>
      <c r="V220" s="42">
        <f t="shared" si="37"/>
        <v>2</v>
      </c>
      <c r="W220" s="42">
        <f t="shared" si="38"/>
        <v>-1</v>
      </c>
    </row>
    <row r="221" spans="1:23" s="28" customFormat="1" ht="73.5" customHeight="1" x14ac:dyDescent="0.2">
      <c r="A221" s="30">
        <v>216</v>
      </c>
      <c r="B221" s="31" t="s">
        <v>315</v>
      </c>
      <c r="C221" s="32" t="s">
        <v>25</v>
      </c>
      <c r="D221" s="33">
        <v>6</v>
      </c>
      <c r="E221" s="34">
        <v>284.36</v>
      </c>
      <c r="F221" s="35">
        <v>292.47000000000003</v>
      </c>
      <c r="G221" s="32" t="s">
        <v>27</v>
      </c>
      <c r="H221" s="37">
        <f>349.09/1.2</f>
        <v>290.9083333333333</v>
      </c>
      <c r="I221" s="38">
        <f t="shared" si="30"/>
        <v>1745.4499999999998</v>
      </c>
      <c r="J221" s="38" t="s">
        <v>28</v>
      </c>
      <c r="K221" s="37">
        <v>286.52</v>
      </c>
      <c r="L221" s="38">
        <f t="shared" si="31"/>
        <v>1719.12</v>
      </c>
      <c r="M221" s="33" t="s">
        <v>29</v>
      </c>
      <c r="N221" s="37">
        <v>309.87</v>
      </c>
      <c r="O221" s="38">
        <f t="shared" si="32"/>
        <v>1859.22</v>
      </c>
      <c r="P221" s="39">
        <f t="shared" si="33"/>
        <v>295.76611111111112</v>
      </c>
      <c r="Q221" s="40">
        <f t="shared" si="34"/>
        <v>-1.1144316361088471</v>
      </c>
      <c r="R221" s="39">
        <f t="shared" si="35"/>
        <v>1754.8200000000002</v>
      </c>
      <c r="S221" s="41"/>
      <c r="U221" s="42">
        <f t="shared" si="36"/>
        <v>-2</v>
      </c>
      <c r="V221" s="42">
        <f t="shared" si="37"/>
        <v>-3</v>
      </c>
      <c r="W221" s="42">
        <f t="shared" si="38"/>
        <v>5</v>
      </c>
    </row>
    <row r="222" spans="1:23" s="28" customFormat="1" ht="73.5" customHeight="1" x14ac:dyDescent="0.2">
      <c r="A222" s="30">
        <v>217</v>
      </c>
      <c r="B222" s="31" t="s">
        <v>316</v>
      </c>
      <c r="C222" s="32" t="s">
        <v>25</v>
      </c>
      <c r="D222" s="33">
        <v>11</v>
      </c>
      <c r="E222" s="34">
        <v>530.51</v>
      </c>
      <c r="F222" s="35">
        <v>563.94000000000005</v>
      </c>
      <c r="G222" s="32" t="s">
        <v>27</v>
      </c>
      <c r="H222" s="37">
        <f>640.39/1.2</f>
        <v>533.6583333333333</v>
      </c>
      <c r="I222" s="38">
        <f t="shared" si="30"/>
        <v>5870.2416666666668</v>
      </c>
      <c r="J222" s="38" t="s">
        <v>28</v>
      </c>
      <c r="K222" s="37">
        <v>573.66</v>
      </c>
      <c r="L222" s="38">
        <f t="shared" si="31"/>
        <v>6310.2599999999993</v>
      </c>
      <c r="M222" s="33" t="s">
        <v>29</v>
      </c>
      <c r="N222" s="37">
        <v>599.20000000000005</v>
      </c>
      <c r="O222" s="38">
        <f t="shared" si="32"/>
        <v>6591.2000000000007</v>
      </c>
      <c r="P222" s="39">
        <f t="shared" si="33"/>
        <v>568.83944444444444</v>
      </c>
      <c r="Q222" s="40">
        <f t="shared" si="34"/>
        <v>-0.86130532829511708</v>
      </c>
      <c r="R222" s="39">
        <f t="shared" si="35"/>
        <v>6203.34</v>
      </c>
      <c r="S222" s="41"/>
      <c r="U222" s="42">
        <f t="shared" si="36"/>
        <v>-6</v>
      </c>
      <c r="V222" s="42">
        <f t="shared" si="37"/>
        <v>1</v>
      </c>
      <c r="W222" s="42">
        <f t="shared" si="38"/>
        <v>5</v>
      </c>
    </row>
    <row r="223" spans="1:23" s="28" customFormat="1" ht="73.5" customHeight="1" x14ac:dyDescent="0.2">
      <c r="A223" s="30">
        <v>218</v>
      </c>
      <c r="B223" s="31" t="s">
        <v>317</v>
      </c>
      <c r="C223" s="32" t="s">
        <v>25</v>
      </c>
      <c r="D223" s="33">
        <v>13</v>
      </c>
      <c r="E223" s="34">
        <v>1043.7</v>
      </c>
      <c r="F223" s="35">
        <v>1331.15</v>
      </c>
      <c r="G223" s="32" t="s">
        <v>27</v>
      </c>
      <c r="H223" s="37">
        <f>1491.91/1.2</f>
        <v>1243.2583333333334</v>
      </c>
      <c r="I223" s="38">
        <f t="shared" si="30"/>
        <v>16162.358333333335</v>
      </c>
      <c r="J223" s="38" t="s">
        <v>28</v>
      </c>
      <c r="K223" s="37">
        <v>1408.92</v>
      </c>
      <c r="L223" s="38">
        <f t="shared" si="31"/>
        <v>18315.96</v>
      </c>
      <c r="M223" s="33" t="s">
        <v>29</v>
      </c>
      <c r="N223" s="37">
        <v>1348.02</v>
      </c>
      <c r="O223" s="38">
        <f t="shared" si="32"/>
        <v>17524.259999999998</v>
      </c>
      <c r="P223" s="39">
        <f t="shared" si="33"/>
        <v>1333.3994444444445</v>
      </c>
      <c r="Q223" s="40">
        <f t="shared" si="34"/>
        <v>-0.16869996862655512</v>
      </c>
      <c r="R223" s="39">
        <f t="shared" si="35"/>
        <v>17304.95</v>
      </c>
      <c r="S223" s="41"/>
      <c r="U223" s="42">
        <f t="shared" si="36"/>
        <v>-7</v>
      </c>
      <c r="V223" s="42">
        <f t="shared" si="37"/>
        <v>6</v>
      </c>
      <c r="W223" s="42">
        <f t="shared" si="38"/>
        <v>1</v>
      </c>
    </row>
    <row r="224" spans="1:23" s="28" customFormat="1" ht="73.5" customHeight="1" x14ac:dyDescent="0.2">
      <c r="A224" s="30">
        <v>220</v>
      </c>
      <c r="B224" s="31" t="s">
        <v>318</v>
      </c>
      <c r="C224" s="32" t="s">
        <v>147</v>
      </c>
      <c r="D224" s="33" t="s">
        <v>319</v>
      </c>
      <c r="E224" s="34">
        <v>94.38</v>
      </c>
      <c r="F224" s="35">
        <v>104.48</v>
      </c>
      <c r="G224" s="36" t="s">
        <v>148</v>
      </c>
      <c r="H224" s="37">
        <f>118.23/1.2</f>
        <v>98.525000000000006</v>
      </c>
      <c r="I224" s="38">
        <f t="shared" si="30"/>
        <v>24631.25</v>
      </c>
      <c r="J224" s="36" t="s">
        <v>67</v>
      </c>
      <c r="K224" s="37">
        <f>123.29/1.2</f>
        <v>102.74166666666667</v>
      </c>
      <c r="L224" s="38">
        <f t="shared" si="31"/>
        <v>25685.416666666668</v>
      </c>
      <c r="M224" s="36" t="s">
        <v>149</v>
      </c>
      <c r="N224" s="37">
        <f>138.44/1.2</f>
        <v>115.36666666666667</v>
      </c>
      <c r="O224" s="38">
        <f t="shared" si="32"/>
        <v>28841.666666666668</v>
      </c>
      <c r="P224" s="39">
        <f t="shared" si="33"/>
        <v>105.54444444444444</v>
      </c>
      <c r="Q224" s="40">
        <f t="shared" si="34"/>
        <v>-1.0085272133908774</v>
      </c>
      <c r="R224" s="39">
        <f t="shared" si="35"/>
        <v>26120</v>
      </c>
      <c r="S224" s="41"/>
      <c r="U224" s="42">
        <f t="shared" si="36"/>
        <v>-7</v>
      </c>
      <c r="V224" s="42">
        <f t="shared" si="37"/>
        <v>-3</v>
      </c>
      <c r="W224" s="42">
        <f t="shared" si="38"/>
        <v>9</v>
      </c>
    </row>
    <row r="225" spans="1:25" s="28" customFormat="1" ht="73.5" customHeight="1" x14ac:dyDescent="0.2">
      <c r="A225" s="30">
        <v>221</v>
      </c>
      <c r="B225" s="31" t="s">
        <v>320</v>
      </c>
      <c r="C225" s="32" t="s">
        <v>25</v>
      </c>
      <c r="D225" s="33">
        <v>10</v>
      </c>
      <c r="E225" s="34" t="s">
        <v>26</v>
      </c>
      <c r="F225" s="35">
        <v>796.51</v>
      </c>
      <c r="G225" s="32" t="s">
        <v>56</v>
      </c>
      <c r="H225" s="37">
        <v>830.5</v>
      </c>
      <c r="I225" s="38">
        <f t="shared" si="30"/>
        <v>8305</v>
      </c>
      <c r="J225" s="32" t="s">
        <v>57</v>
      </c>
      <c r="K225" s="37">
        <v>755.31</v>
      </c>
      <c r="L225" s="38">
        <f t="shared" si="31"/>
        <v>7553.0999999999995</v>
      </c>
      <c r="M225" s="32" t="s">
        <v>58</v>
      </c>
      <c r="N225" s="37">
        <v>810.41</v>
      </c>
      <c r="O225" s="38">
        <f t="shared" si="32"/>
        <v>8104.0999999999995</v>
      </c>
      <c r="P225" s="39">
        <f t="shared" si="33"/>
        <v>798.7399999999999</v>
      </c>
      <c r="Q225" s="40">
        <f t="shared" si="34"/>
        <v>-0.2791897238149943</v>
      </c>
      <c r="R225" s="39">
        <f t="shared" si="35"/>
        <v>7965.1</v>
      </c>
      <c r="S225" s="41"/>
      <c r="U225" s="42">
        <f t="shared" si="36"/>
        <v>4</v>
      </c>
      <c r="V225" s="42">
        <f t="shared" si="37"/>
        <v>-5</v>
      </c>
      <c r="W225" s="42">
        <f t="shared" si="38"/>
        <v>1</v>
      </c>
    </row>
    <row r="226" spans="1:25" s="28" customFormat="1" ht="73.5" customHeight="1" x14ac:dyDescent="0.2">
      <c r="A226" s="30">
        <v>222</v>
      </c>
      <c r="B226" s="31" t="s">
        <v>321</v>
      </c>
      <c r="C226" s="32" t="s">
        <v>25</v>
      </c>
      <c r="D226" s="33">
        <v>3</v>
      </c>
      <c r="E226" s="43">
        <v>4518.3500000000004</v>
      </c>
      <c r="F226" s="55">
        <v>5485.34</v>
      </c>
      <c r="G226" s="32" t="s">
        <v>27</v>
      </c>
      <c r="H226" s="37">
        <f>6274.38/1.2</f>
        <v>5228.6500000000005</v>
      </c>
      <c r="I226" s="38">
        <f t="shared" si="30"/>
        <v>15685.95</v>
      </c>
      <c r="J226" s="38" t="s">
        <v>28</v>
      </c>
      <c r="K226" s="37">
        <v>5500.4</v>
      </c>
      <c r="L226" s="38">
        <f t="shared" si="31"/>
        <v>16501.199999999997</v>
      </c>
      <c r="M226" s="33" t="s">
        <v>29</v>
      </c>
      <c r="N226" s="37">
        <v>5740.12</v>
      </c>
      <c r="O226" s="38">
        <f t="shared" si="32"/>
        <v>17220.36</v>
      </c>
      <c r="P226" s="39">
        <f t="shared" si="33"/>
        <v>5489.7233333333324</v>
      </c>
      <c r="Q226" s="40">
        <f t="shared" si="34"/>
        <v>-7.9846161039071717E-2</v>
      </c>
      <c r="R226" s="39">
        <f t="shared" si="35"/>
        <v>16456.02</v>
      </c>
      <c r="S226" s="41"/>
      <c r="U226" s="42">
        <f t="shared" si="36"/>
        <v>-5</v>
      </c>
      <c r="V226" s="42">
        <f t="shared" si="37"/>
        <v>0</v>
      </c>
      <c r="W226" s="42">
        <f t="shared" si="38"/>
        <v>5</v>
      </c>
    </row>
    <row r="227" spans="1:25" s="28" customFormat="1" ht="73.5" customHeight="1" x14ac:dyDescent="0.2">
      <c r="A227" s="30">
        <v>223</v>
      </c>
      <c r="B227" s="31" t="s">
        <v>322</v>
      </c>
      <c r="C227" s="32" t="s">
        <v>323</v>
      </c>
      <c r="D227" s="33">
        <v>4.8000000000000001E-2</v>
      </c>
      <c r="E227" s="43">
        <v>2666670</v>
      </c>
      <c r="F227" s="56">
        <v>2698750.3</v>
      </c>
      <c r="G227" s="32" t="s">
        <v>68</v>
      </c>
      <c r="H227" s="37">
        <f>3276.5/1.2*1000</f>
        <v>2730416.666666667</v>
      </c>
      <c r="I227" s="38">
        <f>H227*D227</f>
        <v>131060.00000000001</v>
      </c>
      <c r="J227" s="36" t="s">
        <v>67</v>
      </c>
      <c r="K227" s="37">
        <f>3255/1.2*1000</f>
        <v>2712500</v>
      </c>
      <c r="L227" s="38">
        <f t="shared" si="31"/>
        <v>130200</v>
      </c>
      <c r="M227" s="32" t="s">
        <v>272</v>
      </c>
      <c r="N227" s="37">
        <f>2661.67*1000</f>
        <v>2661670</v>
      </c>
      <c r="O227" s="38">
        <f t="shared" si="32"/>
        <v>127760.16</v>
      </c>
      <c r="P227" s="39">
        <f t="shared" si="33"/>
        <v>2701528.888888889</v>
      </c>
      <c r="Q227" s="40">
        <f t="shared" si="34"/>
        <v>-0.10285245885458494</v>
      </c>
      <c r="R227" s="39">
        <f t="shared" si="35"/>
        <v>129540.0144</v>
      </c>
      <c r="S227" s="41"/>
      <c r="U227" s="42">
        <f t="shared" si="36"/>
        <v>1</v>
      </c>
      <c r="V227" s="42">
        <f t="shared" si="37"/>
        <v>0</v>
      </c>
      <c r="W227" s="42">
        <f t="shared" si="38"/>
        <v>-1</v>
      </c>
    </row>
    <row r="228" spans="1:25" s="28" customFormat="1" ht="73.5" hidden="1" customHeight="1" x14ac:dyDescent="0.2">
      <c r="A228" s="30">
        <v>224</v>
      </c>
      <c r="B228" s="31" t="s">
        <v>324</v>
      </c>
      <c r="C228" s="32" t="s">
        <v>25</v>
      </c>
      <c r="D228" s="33">
        <v>10</v>
      </c>
      <c r="E228" s="34">
        <v>4087.8</v>
      </c>
      <c r="F228" s="35">
        <v>6202.47</v>
      </c>
      <c r="G228" s="32" t="s">
        <v>56</v>
      </c>
      <c r="H228" s="37">
        <v>6050.4</v>
      </c>
      <c r="I228" s="38">
        <f t="shared" ref="I228:I259" si="39">D228*H228</f>
        <v>60504</v>
      </c>
      <c r="J228" s="32" t="s">
        <v>57</v>
      </c>
      <c r="K228" s="37">
        <v>6131.78</v>
      </c>
      <c r="L228" s="38">
        <f t="shared" si="31"/>
        <v>61317.799999999996</v>
      </c>
      <c r="M228" s="32" t="s">
        <v>58</v>
      </c>
      <c r="N228" s="37">
        <v>6541.19</v>
      </c>
      <c r="O228" s="38">
        <f t="shared" si="32"/>
        <v>65411.899999999994</v>
      </c>
      <c r="P228" s="39">
        <f t="shared" si="33"/>
        <v>6241.123333333333</v>
      </c>
      <c r="Q228" s="40">
        <f t="shared" si="34"/>
        <v>-0.61933295127960264</v>
      </c>
      <c r="R228" s="39">
        <f t="shared" si="35"/>
        <v>62024.700000000004</v>
      </c>
      <c r="S228" s="47" t="s">
        <v>116</v>
      </c>
      <c r="U228" s="42">
        <f t="shared" si="36"/>
        <v>-3</v>
      </c>
      <c r="V228" s="42">
        <f t="shared" si="37"/>
        <v>-2</v>
      </c>
      <c r="W228" s="42">
        <f t="shared" si="38"/>
        <v>5</v>
      </c>
      <c r="Y228" s="28">
        <v>219</v>
      </c>
    </row>
    <row r="229" spans="1:25" s="28" customFormat="1" ht="73.5" customHeight="1" x14ac:dyDescent="0.2">
      <c r="A229" s="30">
        <v>225</v>
      </c>
      <c r="B229" s="31" t="s">
        <v>325</v>
      </c>
      <c r="C229" s="32" t="s">
        <v>25</v>
      </c>
      <c r="D229" s="33">
        <v>4</v>
      </c>
      <c r="E229" s="34" t="s">
        <v>26</v>
      </c>
      <c r="F229" s="35">
        <v>13230.7</v>
      </c>
      <c r="G229" s="32" t="s">
        <v>27</v>
      </c>
      <c r="H229" s="37">
        <f>15633.38/1.2</f>
        <v>13027.816666666666</v>
      </c>
      <c r="I229" s="38">
        <f t="shared" si="39"/>
        <v>52111.266666666663</v>
      </c>
      <c r="J229" s="38" t="s">
        <v>28</v>
      </c>
      <c r="K229" s="37">
        <v>13344.3</v>
      </c>
      <c r="L229" s="38">
        <f t="shared" si="31"/>
        <v>53377.2</v>
      </c>
      <c r="M229" s="33" t="s">
        <v>29</v>
      </c>
      <c r="N229" s="37">
        <v>13500.58</v>
      </c>
      <c r="O229" s="38">
        <f t="shared" si="32"/>
        <v>54002.32</v>
      </c>
      <c r="P229" s="39">
        <f t="shared" si="33"/>
        <v>13290.898888888887</v>
      </c>
      <c r="Q229" s="40">
        <f t="shared" si="34"/>
        <v>-0.45293316420617202</v>
      </c>
      <c r="R229" s="39">
        <f t="shared" si="35"/>
        <v>52922.8</v>
      </c>
      <c r="S229" s="41"/>
      <c r="U229" s="42">
        <f t="shared" si="36"/>
        <v>-2</v>
      </c>
      <c r="V229" s="42">
        <f t="shared" si="37"/>
        <v>0</v>
      </c>
      <c r="W229" s="42">
        <f t="shared" si="38"/>
        <v>2</v>
      </c>
    </row>
    <row r="230" spans="1:25" s="28" customFormat="1" ht="73.5" customHeight="1" x14ac:dyDescent="0.2">
      <c r="A230" s="30">
        <v>226</v>
      </c>
      <c r="B230" s="31" t="s">
        <v>326</v>
      </c>
      <c r="C230" s="32" t="s">
        <v>25</v>
      </c>
      <c r="D230" s="33">
        <v>7</v>
      </c>
      <c r="E230" s="34">
        <v>672.95</v>
      </c>
      <c r="F230" s="35">
        <v>895.64</v>
      </c>
      <c r="G230" s="32" t="s">
        <v>27</v>
      </c>
      <c r="H230" s="37">
        <f>1005.59/1.2</f>
        <v>837.99166666666667</v>
      </c>
      <c r="I230" s="38">
        <f t="shared" si="39"/>
        <v>5865.9416666666666</v>
      </c>
      <c r="J230" s="38" t="s">
        <v>28</v>
      </c>
      <c r="K230" s="37">
        <v>921.8</v>
      </c>
      <c r="L230" s="38">
        <f t="shared" si="31"/>
        <v>6452.5999999999995</v>
      </c>
      <c r="M230" s="33" t="s">
        <v>29</v>
      </c>
      <c r="N230" s="37">
        <v>944.36</v>
      </c>
      <c r="O230" s="38">
        <f t="shared" si="32"/>
        <v>6610.52</v>
      </c>
      <c r="P230" s="39">
        <f t="shared" si="33"/>
        <v>901.38388888888892</v>
      </c>
      <c r="Q230" s="40">
        <f t="shared" si="34"/>
        <v>-0.63723003702331482</v>
      </c>
      <c r="R230" s="39">
        <f t="shared" si="35"/>
        <v>6269.48</v>
      </c>
      <c r="S230" s="41"/>
      <c r="U230" s="42">
        <f t="shared" si="36"/>
        <v>-7</v>
      </c>
      <c r="V230" s="42">
        <f t="shared" si="37"/>
        <v>2</v>
      </c>
      <c r="W230" s="42">
        <f t="shared" si="38"/>
        <v>5</v>
      </c>
    </row>
    <row r="231" spans="1:25" s="28" customFormat="1" ht="73.5" customHeight="1" x14ac:dyDescent="0.2">
      <c r="A231" s="30">
        <v>227</v>
      </c>
      <c r="B231" s="31" t="s">
        <v>327</v>
      </c>
      <c r="C231" s="32" t="s">
        <v>25</v>
      </c>
      <c r="D231" s="33">
        <v>4</v>
      </c>
      <c r="E231" s="34">
        <v>762.43</v>
      </c>
      <c r="F231" s="35">
        <v>976.87</v>
      </c>
      <c r="G231" s="32" t="s">
        <v>27</v>
      </c>
      <c r="H231" s="37">
        <f>1138.77/1.2</f>
        <v>948.97500000000002</v>
      </c>
      <c r="I231" s="38">
        <f t="shared" si="39"/>
        <v>3795.9</v>
      </c>
      <c r="J231" s="38" t="s">
        <v>28</v>
      </c>
      <c r="K231" s="37">
        <v>1010.4</v>
      </c>
      <c r="L231" s="38">
        <f t="shared" si="31"/>
        <v>4041.6</v>
      </c>
      <c r="M231" s="33" t="s">
        <v>29</v>
      </c>
      <c r="N231" s="37">
        <v>995.11</v>
      </c>
      <c r="O231" s="38">
        <f t="shared" si="32"/>
        <v>3980.44</v>
      </c>
      <c r="P231" s="39">
        <f t="shared" si="33"/>
        <v>984.82833333333338</v>
      </c>
      <c r="Q231" s="40">
        <f t="shared" si="34"/>
        <v>-0.80809345791229248</v>
      </c>
      <c r="R231" s="39">
        <f t="shared" si="35"/>
        <v>3907.48</v>
      </c>
      <c r="S231" s="41"/>
      <c r="U231" s="42">
        <f t="shared" si="36"/>
        <v>-4</v>
      </c>
      <c r="V231" s="42">
        <f t="shared" si="37"/>
        <v>3</v>
      </c>
      <c r="W231" s="42">
        <f t="shared" si="38"/>
        <v>1</v>
      </c>
    </row>
    <row r="232" spans="1:25" s="28" customFormat="1" ht="73.5" customHeight="1" x14ac:dyDescent="0.2">
      <c r="A232" s="30">
        <v>228</v>
      </c>
      <c r="B232" s="31" t="s">
        <v>328</v>
      </c>
      <c r="C232" s="32" t="s">
        <v>25</v>
      </c>
      <c r="D232" s="33">
        <v>1</v>
      </c>
      <c r="E232" s="34">
        <v>1460.08</v>
      </c>
      <c r="F232" s="35">
        <v>1842.92</v>
      </c>
      <c r="G232" s="32" t="s">
        <v>27</v>
      </c>
      <c r="H232" s="37">
        <f>2152.46/1.2</f>
        <v>1793.7166666666667</v>
      </c>
      <c r="I232" s="38">
        <f t="shared" si="39"/>
        <v>1793.7166666666667</v>
      </c>
      <c r="J232" s="38" t="s">
        <v>28</v>
      </c>
      <c r="K232" s="37">
        <v>1928.6</v>
      </c>
      <c r="L232" s="38">
        <f t="shared" si="31"/>
        <v>1928.6</v>
      </c>
      <c r="M232" s="33" t="s">
        <v>29</v>
      </c>
      <c r="N232" s="37">
        <v>1850.46</v>
      </c>
      <c r="O232" s="38">
        <f t="shared" si="32"/>
        <v>1850.46</v>
      </c>
      <c r="P232" s="39">
        <f t="shared" si="33"/>
        <v>1857.5922222222223</v>
      </c>
      <c r="Q232" s="40">
        <f t="shared" si="34"/>
        <v>-0.78985161795466752</v>
      </c>
      <c r="R232" s="39">
        <f t="shared" si="35"/>
        <v>1842.92</v>
      </c>
      <c r="S232" s="41"/>
      <c r="U232" s="42">
        <f t="shared" si="36"/>
        <v>-3</v>
      </c>
      <c r="V232" s="42">
        <f t="shared" si="37"/>
        <v>4</v>
      </c>
      <c r="W232" s="42">
        <f t="shared" si="38"/>
        <v>0</v>
      </c>
    </row>
    <row r="233" spans="1:25" s="28" customFormat="1" ht="73.5" customHeight="1" x14ac:dyDescent="0.2">
      <c r="A233" s="30">
        <v>229</v>
      </c>
      <c r="B233" s="31" t="s">
        <v>329</v>
      </c>
      <c r="C233" s="32" t="s">
        <v>25</v>
      </c>
      <c r="D233" s="33">
        <v>24</v>
      </c>
      <c r="E233" s="34">
        <v>244.97</v>
      </c>
      <c r="F233" s="35">
        <v>312.8</v>
      </c>
      <c r="G233" s="32" t="s">
        <v>27</v>
      </c>
      <c r="H233" s="37">
        <f>362.57/1.2</f>
        <v>302.14166666666665</v>
      </c>
      <c r="I233" s="38">
        <f t="shared" si="39"/>
        <v>7251.4</v>
      </c>
      <c r="J233" s="38" t="s">
        <v>28</v>
      </c>
      <c r="K233" s="37">
        <v>312.77</v>
      </c>
      <c r="L233" s="38">
        <f t="shared" si="31"/>
        <v>7506.48</v>
      </c>
      <c r="M233" s="33" t="s">
        <v>29</v>
      </c>
      <c r="N233" s="37">
        <v>344.29</v>
      </c>
      <c r="O233" s="38">
        <f t="shared" si="32"/>
        <v>8262.9600000000009</v>
      </c>
      <c r="P233" s="39">
        <f t="shared" si="33"/>
        <v>319.73388888888888</v>
      </c>
      <c r="Q233" s="40">
        <f t="shared" si="34"/>
        <v>-2.1686437158678871</v>
      </c>
      <c r="R233" s="39">
        <f t="shared" si="35"/>
        <v>7507.2000000000007</v>
      </c>
      <c r="S233" s="41"/>
      <c r="U233" s="42">
        <f t="shared" si="36"/>
        <v>-6</v>
      </c>
      <c r="V233" s="42">
        <f t="shared" si="37"/>
        <v>-2</v>
      </c>
      <c r="W233" s="42">
        <f t="shared" si="38"/>
        <v>8</v>
      </c>
    </row>
    <row r="234" spans="1:25" s="28" customFormat="1" ht="73.5" customHeight="1" x14ac:dyDescent="0.2">
      <c r="A234" s="30">
        <v>230</v>
      </c>
      <c r="B234" s="31" t="s">
        <v>330</v>
      </c>
      <c r="C234" s="32" t="s">
        <v>25</v>
      </c>
      <c r="D234" s="33">
        <v>18</v>
      </c>
      <c r="E234" s="34">
        <v>277.45</v>
      </c>
      <c r="F234" s="35">
        <v>343.64</v>
      </c>
      <c r="G234" s="32" t="s">
        <v>27</v>
      </c>
      <c r="H234" s="37">
        <f>398.85/1.2</f>
        <v>332.37500000000006</v>
      </c>
      <c r="I234" s="38">
        <f t="shared" si="39"/>
        <v>5982.7500000000009</v>
      </c>
      <c r="J234" s="38" t="s">
        <v>28</v>
      </c>
      <c r="K234" s="37">
        <v>364.5</v>
      </c>
      <c r="L234" s="38">
        <f t="shared" si="31"/>
        <v>6561</v>
      </c>
      <c r="M234" s="33" t="s">
        <v>29</v>
      </c>
      <c r="N234" s="37">
        <v>350.15</v>
      </c>
      <c r="O234" s="38">
        <f t="shared" si="32"/>
        <v>6302.7</v>
      </c>
      <c r="P234" s="39">
        <f t="shared" si="33"/>
        <v>349.00833333333338</v>
      </c>
      <c r="Q234" s="40">
        <f t="shared" si="34"/>
        <v>-1.5381676655285332</v>
      </c>
      <c r="R234" s="39">
        <f t="shared" si="35"/>
        <v>6185.5199999999995</v>
      </c>
      <c r="S234" s="41"/>
      <c r="U234" s="42">
        <f t="shared" si="36"/>
        <v>-5</v>
      </c>
      <c r="V234" s="42">
        <f t="shared" si="37"/>
        <v>4</v>
      </c>
      <c r="W234" s="42">
        <f t="shared" si="38"/>
        <v>0</v>
      </c>
    </row>
    <row r="235" spans="1:25" s="28" customFormat="1" ht="73.5" customHeight="1" x14ac:dyDescent="0.2">
      <c r="A235" s="30">
        <v>231</v>
      </c>
      <c r="B235" s="31" t="s">
        <v>331</v>
      </c>
      <c r="C235" s="32" t="s">
        <v>25</v>
      </c>
      <c r="D235" s="33">
        <v>90</v>
      </c>
      <c r="E235" s="34">
        <v>187.63</v>
      </c>
      <c r="F235" s="35">
        <v>233.82</v>
      </c>
      <c r="G235" s="32" t="s">
        <v>27</v>
      </c>
      <c r="H235" s="37">
        <f>283.52/1.2</f>
        <v>236.26666666666665</v>
      </c>
      <c r="I235" s="38">
        <f t="shared" si="39"/>
        <v>21264</v>
      </c>
      <c r="J235" s="38" t="s">
        <v>28</v>
      </c>
      <c r="K235" s="37">
        <v>232.43</v>
      </c>
      <c r="L235" s="38">
        <f t="shared" si="31"/>
        <v>20918.7</v>
      </c>
      <c r="M235" s="33" t="s">
        <v>29</v>
      </c>
      <c r="N235" s="37">
        <v>251.2</v>
      </c>
      <c r="O235" s="38">
        <f t="shared" si="32"/>
        <v>22608</v>
      </c>
      <c r="P235" s="39">
        <f t="shared" si="33"/>
        <v>239.96555555555554</v>
      </c>
      <c r="Q235" s="40">
        <f t="shared" si="34"/>
        <v>-2.5610157013275057</v>
      </c>
      <c r="R235" s="39">
        <f t="shared" si="35"/>
        <v>21043.8</v>
      </c>
      <c r="S235" s="41"/>
      <c r="U235" s="42">
        <f t="shared" si="36"/>
        <v>-2</v>
      </c>
      <c r="V235" s="42">
        <f t="shared" si="37"/>
        <v>-3</v>
      </c>
      <c r="W235" s="42">
        <f t="shared" si="38"/>
        <v>5</v>
      </c>
    </row>
    <row r="236" spans="1:25" s="28" customFormat="1" ht="73.5" customHeight="1" x14ac:dyDescent="0.2">
      <c r="A236" s="30">
        <v>232</v>
      </c>
      <c r="B236" s="31" t="s">
        <v>332</v>
      </c>
      <c r="C236" s="32" t="s">
        <v>25</v>
      </c>
      <c r="D236" s="33" t="s">
        <v>333</v>
      </c>
      <c r="E236" s="34">
        <v>149.81</v>
      </c>
      <c r="F236" s="35">
        <v>178.37</v>
      </c>
      <c r="G236" s="32" t="s">
        <v>27</v>
      </c>
      <c r="H236" s="37">
        <f>210.11/1.2</f>
        <v>175.0916666666667</v>
      </c>
      <c r="I236" s="38">
        <f t="shared" si="39"/>
        <v>8054.2166666666681</v>
      </c>
      <c r="J236" s="38" t="s">
        <v>28</v>
      </c>
      <c r="K236" s="37">
        <v>186.22</v>
      </c>
      <c r="L236" s="38">
        <f t="shared" si="31"/>
        <v>8566.1200000000008</v>
      </c>
      <c r="M236" s="33" t="s">
        <v>29</v>
      </c>
      <c r="N236" s="37">
        <v>179.55</v>
      </c>
      <c r="O236" s="38">
        <f t="shared" si="32"/>
        <v>8259.3000000000011</v>
      </c>
      <c r="P236" s="39">
        <f t="shared" si="33"/>
        <v>180.28722222222223</v>
      </c>
      <c r="Q236" s="40">
        <f t="shared" si="34"/>
        <v>-1.0634265693322646</v>
      </c>
      <c r="R236" s="39">
        <f t="shared" si="35"/>
        <v>8205.02</v>
      </c>
      <c r="S236" s="41"/>
      <c r="U236" s="42">
        <f t="shared" si="36"/>
        <v>-3</v>
      </c>
      <c r="V236" s="42">
        <f t="shared" si="37"/>
        <v>3</v>
      </c>
      <c r="W236" s="42">
        <f t="shared" si="38"/>
        <v>0</v>
      </c>
    </row>
    <row r="237" spans="1:25" s="28" customFormat="1" ht="73.5" customHeight="1" x14ac:dyDescent="0.2">
      <c r="A237" s="30">
        <v>233</v>
      </c>
      <c r="B237" s="31" t="s">
        <v>334</v>
      </c>
      <c r="C237" s="32" t="s">
        <v>25</v>
      </c>
      <c r="D237" s="33" t="s">
        <v>335</v>
      </c>
      <c r="E237" s="34">
        <v>150.19</v>
      </c>
      <c r="F237" s="35">
        <v>191.64</v>
      </c>
      <c r="G237" s="32" t="s">
        <v>27</v>
      </c>
      <c r="H237" s="37">
        <f>224.62/1.2</f>
        <v>187.18333333333334</v>
      </c>
      <c r="I237" s="38">
        <f t="shared" si="39"/>
        <v>1123.0999999999999</v>
      </c>
      <c r="J237" s="38" t="s">
        <v>28</v>
      </c>
      <c r="K237" s="37">
        <v>196.75</v>
      </c>
      <c r="L237" s="38">
        <f t="shared" si="31"/>
        <v>1180.5</v>
      </c>
      <c r="M237" s="33" t="s">
        <v>29</v>
      </c>
      <c r="N237" s="37">
        <v>199.8</v>
      </c>
      <c r="O237" s="38">
        <f t="shared" si="32"/>
        <v>1198.8000000000002</v>
      </c>
      <c r="P237" s="39">
        <f t="shared" si="33"/>
        <v>194.57777777777778</v>
      </c>
      <c r="Q237" s="40">
        <f t="shared" si="34"/>
        <v>-1.5098218364550036</v>
      </c>
      <c r="R237" s="39">
        <f t="shared" si="35"/>
        <v>1149.8399999999999</v>
      </c>
      <c r="S237" s="41"/>
      <c r="U237" s="42">
        <f t="shared" si="36"/>
        <v>-4</v>
      </c>
      <c r="V237" s="42">
        <f t="shared" si="37"/>
        <v>1</v>
      </c>
      <c r="W237" s="42">
        <f t="shared" si="38"/>
        <v>3</v>
      </c>
    </row>
    <row r="238" spans="1:25" s="28" customFormat="1" ht="73.5" customHeight="1" x14ac:dyDescent="0.2">
      <c r="A238" s="30">
        <v>234</v>
      </c>
      <c r="B238" s="31" t="s">
        <v>336</v>
      </c>
      <c r="C238" s="32" t="s">
        <v>25</v>
      </c>
      <c r="D238" s="33">
        <v>6</v>
      </c>
      <c r="E238" s="34">
        <v>13427.24</v>
      </c>
      <c r="F238" s="35">
        <v>15489.62</v>
      </c>
      <c r="G238" s="32" t="s">
        <v>27</v>
      </c>
      <c r="H238" s="37">
        <f>18284.58/1.2</f>
        <v>15237.150000000001</v>
      </c>
      <c r="I238" s="38">
        <f t="shared" si="39"/>
        <v>91422.900000000009</v>
      </c>
      <c r="J238" s="38" t="s">
        <v>28</v>
      </c>
      <c r="K238" s="37">
        <v>15870.63</v>
      </c>
      <c r="L238" s="38">
        <f t="shared" si="31"/>
        <v>95223.78</v>
      </c>
      <c r="M238" s="33" t="s">
        <v>29</v>
      </c>
      <c r="N238" s="37">
        <v>16020.61</v>
      </c>
      <c r="O238" s="38">
        <f t="shared" si="32"/>
        <v>96123.66</v>
      </c>
      <c r="P238" s="39">
        <f t="shared" si="33"/>
        <v>15709.463333333333</v>
      </c>
      <c r="Q238" s="40">
        <f t="shared" si="34"/>
        <v>-1.3994324864481911</v>
      </c>
      <c r="R238" s="39">
        <f t="shared" si="35"/>
        <v>92937.72</v>
      </c>
      <c r="S238" s="41"/>
      <c r="U238" s="42">
        <f t="shared" si="36"/>
        <v>-3</v>
      </c>
      <c r="V238" s="42">
        <f t="shared" si="37"/>
        <v>1</v>
      </c>
      <c r="W238" s="42">
        <f t="shared" si="38"/>
        <v>2</v>
      </c>
    </row>
    <row r="239" spans="1:25" s="28" customFormat="1" ht="73.5" customHeight="1" x14ac:dyDescent="0.2">
      <c r="A239" s="30">
        <v>235</v>
      </c>
      <c r="B239" s="31" t="s">
        <v>337</v>
      </c>
      <c r="C239" s="32" t="s">
        <v>45</v>
      </c>
      <c r="D239" s="33">
        <v>40</v>
      </c>
      <c r="E239" s="34">
        <v>2327.59</v>
      </c>
      <c r="F239" s="35">
        <v>3124.7</v>
      </c>
      <c r="G239" s="36" t="s">
        <v>90</v>
      </c>
      <c r="H239" s="37">
        <v>3607.24</v>
      </c>
      <c r="I239" s="38">
        <f t="shared" si="39"/>
        <v>144289.59999999998</v>
      </c>
      <c r="J239" s="32" t="s">
        <v>338</v>
      </c>
      <c r="K239" s="37">
        <v>2575.6999999999998</v>
      </c>
      <c r="L239" s="38">
        <f t="shared" si="31"/>
        <v>103028</v>
      </c>
      <c r="M239" s="36" t="s">
        <v>339</v>
      </c>
      <c r="N239" s="37">
        <v>3370</v>
      </c>
      <c r="O239" s="38">
        <f t="shared" si="32"/>
        <v>134800</v>
      </c>
      <c r="P239" s="39">
        <f t="shared" si="33"/>
        <v>3184.313333333333</v>
      </c>
      <c r="Q239" s="40">
        <f t="shared" si="34"/>
        <v>-1.8720938266125273</v>
      </c>
      <c r="R239" s="39">
        <f t="shared" si="35"/>
        <v>124988</v>
      </c>
      <c r="S239" s="41"/>
      <c r="U239" s="42">
        <f t="shared" si="36"/>
        <v>13</v>
      </c>
      <c r="V239" s="42">
        <f t="shared" si="37"/>
        <v>-19</v>
      </c>
      <c r="W239" s="42">
        <f t="shared" si="38"/>
        <v>6</v>
      </c>
    </row>
    <row r="240" spans="1:25" s="28" customFormat="1" ht="73.5" customHeight="1" x14ac:dyDescent="0.2">
      <c r="A240" s="30">
        <v>236</v>
      </c>
      <c r="B240" s="31" t="s">
        <v>340</v>
      </c>
      <c r="C240" s="32" t="s">
        <v>25</v>
      </c>
      <c r="D240" s="33">
        <v>10</v>
      </c>
      <c r="E240" s="34">
        <v>1273.05</v>
      </c>
      <c r="F240" s="35">
        <v>2334.6799999999998</v>
      </c>
      <c r="G240" s="32" t="s">
        <v>27</v>
      </c>
      <c r="H240" s="37">
        <f>2872.8/1.2</f>
        <v>2394.0000000000005</v>
      </c>
      <c r="I240" s="38">
        <f t="shared" si="39"/>
        <v>23940.000000000004</v>
      </c>
      <c r="J240" s="38" t="s">
        <v>28</v>
      </c>
      <c r="K240" s="37">
        <v>2254.9</v>
      </c>
      <c r="L240" s="38">
        <f t="shared" si="31"/>
        <v>22549</v>
      </c>
      <c r="M240" s="33" t="s">
        <v>29</v>
      </c>
      <c r="N240" s="37">
        <v>2467.66</v>
      </c>
      <c r="O240" s="38">
        <f t="shared" si="32"/>
        <v>24676.6</v>
      </c>
      <c r="P240" s="39">
        <f t="shared" si="33"/>
        <v>2372.186666666667</v>
      </c>
      <c r="Q240" s="40">
        <f t="shared" si="34"/>
        <v>-1.5811009813730408</v>
      </c>
      <c r="R240" s="39">
        <f t="shared" si="35"/>
        <v>23346.799999999999</v>
      </c>
      <c r="S240" s="41"/>
      <c r="U240" s="42">
        <f t="shared" si="36"/>
        <v>1</v>
      </c>
      <c r="V240" s="42">
        <f t="shared" si="37"/>
        <v>-5</v>
      </c>
      <c r="W240" s="42">
        <f t="shared" si="38"/>
        <v>4</v>
      </c>
    </row>
    <row r="241" spans="1:23" s="28" customFormat="1" ht="73.5" customHeight="1" x14ac:dyDescent="0.2">
      <c r="A241" s="30">
        <v>237</v>
      </c>
      <c r="B241" s="31" t="s">
        <v>341</v>
      </c>
      <c r="C241" s="32" t="s">
        <v>25</v>
      </c>
      <c r="D241" s="33" t="s">
        <v>342</v>
      </c>
      <c r="E241" s="34" t="s">
        <v>26</v>
      </c>
      <c r="F241" s="35">
        <v>21782.44</v>
      </c>
      <c r="G241" s="32" t="s">
        <v>27</v>
      </c>
      <c r="H241" s="37">
        <f>25573/1.2</f>
        <v>21310.833333333336</v>
      </c>
      <c r="I241" s="38">
        <f t="shared" si="39"/>
        <v>1704866.666666667</v>
      </c>
      <c r="J241" s="38" t="s">
        <v>28</v>
      </c>
      <c r="K241" s="37">
        <v>21971.58</v>
      </c>
      <c r="L241" s="38">
        <f t="shared" si="31"/>
        <v>1757726.4000000001</v>
      </c>
      <c r="M241" s="33" t="s">
        <v>29</v>
      </c>
      <c r="N241" s="37">
        <v>22150.400000000001</v>
      </c>
      <c r="O241" s="38">
        <f t="shared" si="32"/>
        <v>1772032</v>
      </c>
      <c r="P241" s="39">
        <f t="shared" si="33"/>
        <v>21810.937777777781</v>
      </c>
      <c r="Q241" s="40">
        <f t="shared" si="34"/>
        <v>-0.13065819575541582</v>
      </c>
      <c r="R241" s="39">
        <f t="shared" si="35"/>
        <v>1742595.2</v>
      </c>
      <c r="S241" s="41"/>
      <c r="U241" s="42">
        <f t="shared" si="36"/>
        <v>-2</v>
      </c>
      <c r="V241" s="42">
        <f t="shared" si="37"/>
        <v>1</v>
      </c>
      <c r="W241" s="42">
        <f t="shared" si="38"/>
        <v>2</v>
      </c>
    </row>
    <row r="242" spans="1:23" s="28" customFormat="1" ht="73.5" customHeight="1" x14ac:dyDescent="0.2">
      <c r="A242" s="30">
        <v>238</v>
      </c>
      <c r="B242" s="31" t="s">
        <v>343</v>
      </c>
      <c r="C242" s="32" t="s">
        <v>25</v>
      </c>
      <c r="D242" s="33">
        <v>10</v>
      </c>
      <c r="E242" s="34" t="s">
        <v>26</v>
      </c>
      <c r="F242" s="35">
        <v>1394.8</v>
      </c>
      <c r="G242" s="32" t="s">
        <v>27</v>
      </c>
      <c r="H242" s="37">
        <f>1586.38/1.2</f>
        <v>1321.9833333333336</v>
      </c>
      <c r="I242" s="38">
        <f t="shared" si="39"/>
        <v>13219.833333333336</v>
      </c>
      <c r="J242" s="38" t="s">
        <v>28</v>
      </c>
      <c r="K242" s="37">
        <v>1501.2</v>
      </c>
      <c r="L242" s="38">
        <f t="shared" si="31"/>
        <v>15012</v>
      </c>
      <c r="M242" s="33" t="s">
        <v>29</v>
      </c>
      <c r="N242" s="37">
        <v>1452.7</v>
      </c>
      <c r="O242" s="38">
        <f t="shared" si="32"/>
        <v>14527</v>
      </c>
      <c r="P242" s="39">
        <f t="shared" si="33"/>
        <v>1425.2944444444445</v>
      </c>
      <c r="Q242" s="40">
        <f t="shared" si="34"/>
        <v>-2.1395189298117714</v>
      </c>
      <c r="R242" s="39">
        <f t="shared" si="35"/>
        <v>13948</v>
      </c>
      <c r="S242" s="41"/>
      <c r="U242" s="42">
        <f t="shared" si="36"/>
        <v>-7</v>
      </c>
      <c r="V242" s="42">
        <f t="shared" si="37"/>
        <v>5</v>
      </c>
      <c r="W242" s="42">
        <f t="shared" si="38"/>
        <v>2</v>
      </c>
    </row>
    <row r="243" spans="1:23" s="28" customFormat="1" ht="73.5" customHeight="1" x14ac:dyDescent="0.2">
      <c r="A243" s="30">
        <v>239</v>
      </c>
      <c r="B243" s="31" t="s">
        <v>344</v>
      </c>
      <c r="C243" s="32" t="s">
        <v>25</v>
      </c>
      <c r="D243" s="33">
        <v>2</v>
      </c>
      <c r="E243" s="34">
        <v>9167.1200000000008</v>
      </c>
      <c r="F243" s="35">
        <v>10840.24</v>
      </c>
      <c r="G243" s="32" t="s">
        <v>27</v>
      </c>
      <c r="H243" s="37">
        <f>12749.04/1.2</f>
        <v>10624.2</v>
      </c>
      <c r="I243" s="38">
        <f t="shared" si="39"/>
        <v>21248.400000000001</v>
      </c>
      <c r="J243" s="38" t="s">
        <v>28</v>
      </c>
      <c r="K243" s="37">
        <v>11205.5</v>
      </c>
      <c r="L243" s="38">
        <f t="shared" si="31"/>
        <v>22411</v>
      </c>
      <c r="M243" s="33" t="s">
        <v>29</v>
      </c>
      <c r="N243" s="37">
        <v>10800.9</v>
      </c>
      <c r="O243" s="38">
        <f t="shared" si="32"/>
        <v>21601.8</v>
      </c>
      <c r="P243" s="39">
        <f t="shared" si="33"/>
        <v>10876.866666666667</v>
      </c>
      <c r="Q243" s="40">
        <f t="shared" si="34"/>
        <v>-0.33673913443209358</v>
      </c>
      <c r="R243" s="39">
        <f t="shared" si="35"/>
        <v>21680.48</v>
      </c>
      <c r="S243" s="41"/>
      <c r="U243" s="42">
        <f t="shared" si="36"/>
        <v>-2</v>
      </c>
      <c r="V243" s="42">
        <f t="shared" si="37"/>
        <v>3</v>
      </c>
      <c r="W243" s="42">
        <f t="shared" si="38"/>
        <v>-1</v>
      </c>
    </row>
    <row r="244" spans="1:23" s="28" customFormat="1" ht="73.5" customHeight="1" x14ac:dyDescent="0.2">
      <c r="A244" s="30">
        <v>240</v>
      </c>
      <c r="B244" s="31" t="s">
        <v>345</v>
      </c>
      <c r="C244" s="32" t="s">
        <v>25</v>
      </c>
      <c r="D244" s="33">
        <v>3</v>
      </c>
      <c r="E244" s="34" t="s">
        <v>26</v>
      </c>
      <c r="F244" s="35">
        <v>6897.64</v>
      </c>
      <c r="G244" s="32" t="s">
        <v>27</v>
      </c>
      <c r="H244" s="37">
        <f>8062.43/1.2</f>
        <v>6718.6916666666675</v>
      </c>
      <c r="I244" s="38">
        <f t="shared" si="39"/>
        <v>20156.075000000004</v>
      </c>
      <c r="J244" s="38" t="s">
        <v>28</v>
      </c>
      <c r="K244" s="37">
        <v>7211.8</v>
      </c>
      <c r="L244" s="38">
        <f t="shared" si="31"/>
        <v>21635.4</v>
      </c>
      <c r="M244" s="33" t="s">
        <v>29</v>
      </c>
      <c r="N244" s="37">
        <v>6897.87</v>
      </c>
      <c r="O244" s="38">
        <f t="shared" si="32"/>
        <v>20693.61</v>
      </c>
      <c r="P244" s="39">
        <f t="shared" si="33"/>
        <v>6942.7872222222222</v>
      </c>
      <c r="Q244" s="40">
        <f t="shared" si="34"/>
        <v>-0.65027518166935749</v>
      </c>
      <c r="R244" s="39">
        <f t="shared" si="35"/>
        <v>20692.920000000002</v>
      </c>
      <c r="S244" s="41"/>
      <c r="U244" s="42">
        <f t="shared" si="36"/>
        <v>-3</v>
      </c>
      <c r="V244" s="42">
        <f t="shared" si="37"/>
        <v>4</v>
      </c>
      <c r="W244" s="42">
        <f t="shared" si="38"/>
        <v>-1</v>
      </c>
    </row>
    <row r="245" spans="1:23" s="28" customFormat="1" ht="73.5" customHeight="1" x14ac:dyDescent="0.2">
      <c r="A245" s="30">
        <v>241</v>
      </c>
      <c r="B245" s="31" t="s">
        <v>346</v>
      </c>
      <c r="C245" s="32" t="s">
        <v>25</v>
      </c>
      <c r="D245" s="33">
        <v>20</v>
      </c>
      <c r="E245" s="34">
        <v>5743.19</v>
      </c>
      <c r="F245" s="35">
        <v>5997.3</v>
      </c>
      <c r="G245" s="32" t="s">
        <v>27</v>
      </c>
      <c r="H245" s="37">
        <f>6964.01/1.2</f>
        <v>5803.3416666666672</v>
      </c>
      <c r="I245" s="38">
        <f t="shared" si="39"/>
        <v>116066.83333333334</v>
      </c>
      <c r="J245" s="38" t="s">
        <v>28</v>
      </c>
      <c r="K245" s="37">
        <v>6025.6</v>
      </c>
      <c r="L245" s="38">
        <f t="shared" si="31"/>
        <v>120512</v>
      </c>
      <c r="M245" s="33" t="s">
        <v>29</v>
      </c>
      <c r="N245" s="37">
        <v>6300.1</v>
      </c>
      <c r="O245" s="38">
        <f t="shared" si="32"/>
        <v>126002</v>
      </c>
      <c r="P245" s="39">
        <f t="shared" si="33"/>
        <v>6043.0138888888896</v>
      </c>
      <c r="Q245" s="40">
        <f t="shared" si="34"/>
        <v>-0.75647499293262399</v>
      </c>
      <c r="R245" s="39">
        <f t="shared" si="35"/>
        <v>119946</v>
      </c>
      <c r="S245" s="41"/>
      <c r="U245" s="42">
        <f t="shared" si="36"/>
        <v>-4</v>
      </c>
      <c r="V245" s="42">
        <f t="shared" si="37"/>
        <v>0</v>
      </c>
      <c r="W245" s="42">
        <f t="shared" si="38"/>
        <v>4</v>
      </c>
    </row>
    <row r="246" spans="1:23" s="28" customFormat="1" ht="73.5" customHeight="1" x14ac:dyDescent="0.2">
      <c r="A246" s="30">
        <v>242</v>
      </c>
      <c r="B246" s="31" t="s">
        <v>347</v>
      </c>
      <c r="C246" s="32" t="s">
        <v>25</v>
      </c>
      <c r="D246" s="33">
        <v>2</v>
      </c>
      <c r="E246" s="34">
        <v>14620.92</v>
      </c>
      <c r="F246" s="35">
        <v>23347.599999999999</v>
      </c>
      <c r="G246" s="32" t="s">
        <v>27</v>
      </c>
      <c r="H246" s="37">
        <f>27973.25/1.2</f>
        <v>23311.041666666668</v>
      </c>
      <c r="I246" s="38">
        <f t="shared" si="39"/>
        <v>46622.083333333336</v>
      </c>
      <c r="J246" s="38" t="s">
        <v>28</v>
      </c>
      <c r="K246" s="37">
        <v>24500.6</v>
      </c>
      <c r="L246" s="38">
        <f t="shared" si="31"/>
        <v>49001.2</v>
      </c>
      <c r="M246" s="33" t="s">
        <v>29</v>
      </c>
      <c r="N246" s="37">
        <v>22940.3</v>
      </c>
      <c r="O246" s="38">
        <f t="shared" si="32"/>
        <v>45880.6</v>
      </c>
      <c r="P246" s="39">
        <f t="shared" si="33"/>
        <v>23583.980555555554</v>
      </c>
      <c r="Q246" s="40">
        <f t="shared" si="34"/>
        <v>-1.0022928699365394</v>
      </c>
      <c r="R246" s="39">
        <f t="shared" si="35"/>
        <v>46695.199999999997</v>
      </c>
      <c r="S246" s="41"/>
      <c r="U246" s="42">
        <f t="shared" si="36"/>
        <v>-1</v>
      </c>
      <c r="V246" s="42">
        <f t="shared" si="37"/>
        <v>4</v>
      </c>
      <c r="W246" s="42">
        <f t="shared" si="38"/>
        <v>-3</v>
      </c>
    </row>
    <row r="247" spans="1:23" s="28" customFormat="1" ht="73.5" customHeight="1" x14ac:dyDescent="0.2">
      <c r="A247" s="30">
        <v>243</v>
      </c>
      <c r="B247" s="31" t="s">
        <v>348</v>
      </c>
      <c r="C247" s="32" t="s">
        <v>25</v>
      </c>
      <c r="D247" s="33">
        <v>2</v>
      </c>
      <c r="E247" s="34">
        <v>5492.67</v>
      </c>
      <c r="F247" s="35">
        <v>6190.72</v>
      </c>
      <c r="G247" s="32" t="s">
        <v>27</v>
      </c>
      <c r="H247" s="37">
        <f>7415.29/1.2</f>
        <v>6179.4083333333338</v>
      </c>
      <c r="I247" s="38">
        <f t="shared" si="39"/>
        <v>12358.816666666668</v>
      </c>
      <c r="J247" s="38" t="s">
        <v>28</v>
      </c>
      <c r="K247" s="37">
        <v>6487.33</v>
      </c>
      <c r="L247" s="38">
        <f t="shared" si="31"/>
        <v>12974.66</v>
      </c>
      <c r="M247" s="33" t="s">
        <v>29</v>
      </c>
      <c r="N247" s="37">
        <v>6150.7</v>
      </c>
      <c r="O247" s="38">
        <f t="shared" si="32"/>
        <v>12301.4</v>
      </c>
      <c r="P247" s="39">
        <f t="shared" si="33"/>
        <v>6272.4794444444451</v>
      </c>
      <c r="Q247" s="40">
        <f t="shared" si="34"/>
        <v>-1.3034629315024659</v>
      </c>
      <c r="R247" s="39">
        <f t="shared" si="35"/>
        <v>12381.44</v>
      </c>
      <c r="S247" s="41"/>
      <c r="U247" s="42">
        <f t="shared" si="36"/>
        <v>-1</v>
      </c>
      <c r="V247" s="42">
        <f t="shared" si="37"/>
        <v>3</v>
      </c>
      <c r="W247" s="42">
        <f t="shared" si="38"/>
        <v>-2</v>
      </c>
    </row>
    <row r="248" spans="1:23" s="28" customFormat="1" ht="73.5" customHeight="1" x14ac:dyDescent="0.2">
      <c r="A248" s="30">
        <v>244</v>
      </c>
      <c r="B248" s="31" t="s">
        <v>349</v>
      </c>
      <c r="C248" s="32" t="s">
        <v>25</v>
      </c>
      <c r="D248" s="33">
        <v>4</v>
      </c>
      <c r="E248" s="34">
        <v>14242.03</v>
      </c>
      <c r="F248" s="35">
        <v>17148.68</v>
      </c>
      <c r="G248" s="32" t="s">
        <v>27</v>
      </c>
      <c r="H248" s="37">
        <f>20589.76/1.2</f>
        <v>17158.133333333331</v>
      </c>
      <c r="I248" s="38">
        <f t="shared" si="39"/>
        <v>68632.533333333326</v>
      </c>
      <c r="J248" s="38" t="s">
        <v>28</v>
      </c>
      <c r="K248" s="37">
        <v>17011.2</v>
      </c>
      <c r="L248" s="38">
        <f t="shared" si="31"/>
        <v>68044.800000000003</v>
      </c>
      <c r="M248" s="33" t="s">
        <v>29</v>
      </c>
      <c r="N248" s="37">
        <v>17540.900000000001</v>
      </c>
      <c r="O248" s="38">
        <f t="shared" si="32"/>
        <v>70163.600000000006</v>
      </c>
      <c r="P248" s="39">
        <f t="shared" si="33"/>
        <v>17236.744444444445</v>
      </c>
      <c r="Q248" s="40">
        <f t="shared" si="34"/>
        <v>-0.51091112204096589</v>
      </c>
      <c r="R248" s="39">
        <f t="shared" si="35"/>
        <v>68594.720000000001</v>
      </c>
      <c r="S248" s="41"/>
      <c r="U248" s="42">
        <f t="shared" si="36"/>
        <v>0</v>
      </c>
      <c r="V248" s="42">
        <f t="shared" si="37"/>
        <v>-1</v>
      </c>
      <c r="W248" s="42">
        <f t="shared" si="38"/>
        <v>2</v>
      </c>
    </row>
    <row r="249" spans="1:23" s="28" customFormat="1" ht="73.5" customHeight="1" x14ac:dyDescent="0.2">
      <c r="A249" s="30">
        <v>245</v>
      </c>
      <c r="B249" s="31" t="s">
        <v>350</v>
      </c>
      <c r="C249" s="32" t="s">
        <v>25</v>
      </c>
      <c r="D249" s="33">
        <v>30</v>
      </c>
      <c r="E249" s="34">
        <v>908.32</v>
      </c>
      <c r="F249" s="35">
        <v>1243.98</v>
      </c>
      <c r="G249" s="32" t="s">
        <v>27</v>
      </c>
      <c r="H249" s="37">
        <f>1554.7/1.2</f>
        <v>1295.5833333333335</v>
      </c>
      <c r="I249" s="38">
        <f t="shared" si="39"/>
        <v>38867.500000000007</v>
      </c>
      <c r="J249" s="38" t="s">
        <v>28</v>
      </c>
      <c r="K249" s="37">
        <v>1315.14</v>
      </c>
      <c r="L249" s="38">
        <f t="shared" si="31"/>
        <v>39454.200000000004</v>
      </c>
      <c r="M249" s="33" t="s">
        <v>29</v>
      </c>
      <c r="N249" s="37">
        <v>1205.4000000000001</v>
      </c>
      <c r="O249" s="38">
        <f t="shared" si="32"/>
        <v>36162</v>
      </c>
      <c r="P249" s="39">
        <f t="shared" si="33"/>
        <v>1272.0411111111111</v>
      </c>
      <c r="Q249" s="40">
        <f t="shared" si="34"/>
        <v>-2.2059908965206461</v>
      </c>
      <c r="R249" s="39">
        <f t="shared" si="35"/>
        <v>37319.4</v>
      </c>
      <c r="S249" s="41"/>
      <c r="U249" s="42">
        <f t="shared" si="36"/>
        <v>2</v>
      </c>
      <c r="V249" s="42">
        <f t="shared" si="37"/>
        <v>3</v>
      </c>
      <c r="W249" s="42">
        <f t="shared" si="38"/>
        <v>-5</v>
      </c>
    </row>
    <row r="250" spans="1:23" s="28" customFormat="1" ht="73.5" customHeight="1" x14ac:dyDescent="0.2">
      <c r="A250" s="30">
        <v>246</v>
      </c>
      <c r="B250" s="31" t="s">
        <v>351</v>
      </c>
      <c r="C250" s="32" t="s">
        <v>25</v>
      </c>
      <c r="D250" s="33">
        <v>28</v>
      </c>
      <c r="E250" s="34">
        <v>538.14</v>
      </c>
      <c r="F250" s="35">
        <v>582.30999999999995</v>
      </c>
      <c r="G250" s="32" t="s">
        <v>27</v>
      </c>
      <c r="H250" s="37">
        <f>665.84/1.2</f>
        <v>554.86666666666667</v>
      </c>
      <c r="I250" s="38">
        <f t="shared" si="39"/>
        <v>15536.266666666666</v>
      </c>
      <c r="J250" s="38" t="s">
        <v>28</v>
      </c>
      <c r="K250" s="37">
        <v>597.45000000000005</v>
      </c>
      <c r="L250" s="38">
        <f t="shared" si="31"/>
        <v>16728.600000000002</v>
      </c>
      <c r="M250" s="33" t="s">
        <v>29</v>
      </c>
      <c r="N250" s="37">
        <v>611.65</v>
      </c>
      <c r="O250" s="38">
        <f t="shared" si="32"/>
        <v>17126.2</v>
      </c>
      <c r="P250" s="39">
        <f t="shared" si="33"/>
        <v>587.98888888888894</v>
      </c>
      <c r="Q250" s="40">
        <f t="shared" si="34"/>
        <v>-0.96581568056843992</v>
      </c>
      <c r="R250" s="39">
        <f t="shared" si="35"/>
        <v>16304.679999999998</v>
      </c>
      <c r="S250" s="41"/>
      <c r="U250" s="42">
        <f t="shared" si="36"/>
        <v>-6</v>
      </c>
      <c r="V250" s="42">
        <f t="shared" si="37"/>
        <v>2</v>
      </c>
      <c r="W250" s="42">
        <f t="shared" si="38"/>
        <v>4</v>
      </c>
    </row>
    <row r="251" spans="1:23" s="28" customFormat="1" ht="73.5" customHeight="1" x14ac:dyDescent="0.2">
      <c r="A251" s="30">
        <v>247</v>
      </c>
      <c r="B251" s="31" t="s">
        <v>352</v>
      </c>
      <c r="C251" s="32" t="s">
        <v>25</v>
      </c>
      <c r="D251" s="33" t="s">
        <v>353</v>
      </c>
      <c r="E251" s="34">
        <v>5021.6899999999996</v>
      </c>
      <c r="F251" s="35">
        <v>6401.45</v>
      </c>
      <c r="G251" s="32" t="s">
        <v>27</v>
      </c>
      <c r="H251" s="37">
        <f>7634.96/1.2</f>
        <v>6362.4666666666672</v>
      </c>
      <c r="I251" s="38">
        <f t="shared" si="39"/>
        <v>101799.46666666667</v>
      </c>
      <c r="J251" s="38" t="s">
        <v>28</v>
      </c>
      <c r="K251" s="37">
        <v>6500.77</v>
      </c>
      <c r="L251" s="38">
        <f t="shared" si="31"/>
        <v>104012.32</v>
      </c>
      <c r="M251" s="33" t="s">
        <v>29</v>
      </c>
      <c r="N251" s="37">
        <v>6412.9</v>
      </c>
      <c r="O251" s="38">
        <f t="shared" si="32"/>
        <v>102606.39999999999</v>
      </c>
      <c r="P251" s="39">
        <f t="shared" si="33"/>
        <v>6425.3788888888885</v>
      </c>
      <c r="Q251" s="40">
        <f t="shared" si="34"/>
        <v>-0.37241210678280368</v>
      </c>
      <c r="R251" s="39">
        <f t="shared" si="35"/>
        <v>102423.2</v>
      </c>
      <c r="S251" s="41"/>
      <c r="U251" s="42">
        <f t="shared" si="36"/>
        <v>-1</v>
      </c>
      <c r="V251" s="42">
        <f t="shared" si="37"/>
        <v>1</v>
      </c>
      <c r="W251" s="42">
        <f t="shared" si="38"/>
        <v>0</v>
      </c>
    </row>
    <row r="252" spans="1:23" s="28" customFormat="1" ht="73.5" customHeight="1" x14ac:dyDescent="0.2">
      <c r="A252" s="30">
        <v>248</v>
      </c>
      <c r="B252" s="31" t="s">
        <v>354</v>
      </c>
      <c r="C252" s="32" t="s">
        <v>25</v>
      </c>
      <c r="D252" s="33">
        <v>9</v>
      </c>
      <c r="E252" s="34">
        <v>5408.87</v>
      </c>
      <c r="F252" s="35">
        <v>6620.5</v>
      </c>
      <c r="G252" s="32" t="s">
        <v>27</v>
      </c>
      <c r="H252" s="37">
        <f>7723.18/1.2</f>
        <v>6435.9833333333336</v>
      </c>
      <c r="I252" s="38">
        <f t="shared" si="39"/>
        <v>57923.850000000006</v>
      </c>
      <c r="J252" s="38" t="s">
        <v>28</v>
      </c>
      <c r="K252" s="37">
        <v>6705.7</v>
      </c>
      <c r="L252" s="38">
        <f t="shared" si="31"/>
        <v>60351.299999999996</v>
      </c>
      <c r="M252" s="33" t="s">
        <v>29</v>
      </c>
      <c r="N252" s="37">
        <v>6944.66</v>
      </c>
      <c r="O252" s="38">
        <f t="shared" si="32"/>
        <v>62501.94</v>
      </c>
      <c r="P252" s="39">
        <f t="shared" si="33"/>
        <v>6695.4477777777784</v>
      </c>
      <c r="Q252" s="40">
        <f t="shared" si="34"/>
        <v>-1.1193840989475063</v>
      </c>
      <c r="R252" s="39">
        <f t="shared" si="35"/>
        <v>59584.5</v>
      </c>
      <c r="S252" s="41"/>
      <c r="U252" s="42">
        <f t="shared" si="36"/>
        <v>-4</v>
      </c>
      <c r="V252" s="42">
        <f t="shared" si="37"/>
        <v>0</v>
      </c>
      <c r="W252" s="42">
        <f t="shared" si="38"/>
        <v>4</v>
      </c>
    </row>
    <row r="253" spans="1:23" s="28" customFormat="1" ht="109.5" customHeight="1" x14ac:dyDescent="0.2">
      <c r="A253" s="30">
        <v>249</v>
      </c>
      <c r="B253" s="31" t="s">
        <v>355</v>
      </c>
      <c r="C253" s="32" t="s">
        <v>25</v>
      </c>
      <c r="D253" s="33" t="s">
        <v>356</v>
      </c>
      <c r="E253" s="34" t="s">
        <v>26</v>
      </c>
      <c r="F253" s="35">
        <v>17795.68</v>
      </c>
      <c r="G253" s="32" t="s">
        <v>27</v>
      </c>
      <c r="H253" s="37">
        <v>17031.560000000001</v>
      </c>
      <c r="I253" s="38">
        <f t="shared" si="39"/>
        <v>323599.64</v>
      </c>
      <c r="J253" s="38" t="s">
        <v>28</v>
      </c>
      <c r="K253" s="37">
        <v>17950.8</v>
      </c>
      <c r="L253" s="38">
        <f t="shared" si="31"/>
        <v>341065.2</v>
      </c>
      <c r="M253" s="33" t="s">
        <v>29</v>
      </c>
      <c r="N253" s="37">
        <v>18500.400000000001</v>
      </c>
      <c r="O253" s="38">
        <f t="shared" si="32"/>
        <v>351507.60000000003</v>
      </c>
      <c r="P253" s="39">
        <f t="shared" si="33"/>
        <v>17827.586666666666</v>
      </c>
      <c r="Q253" s="40">
        <f t="shared" si="34"/>
        <v>-0.17897356082595195</v>
      </c>
      <c r="R253" s="39">
        <f t="shared" si="35"/>
        <v>338117.92</v>
      </c>
      <c r="S253" s="41"/>
      <c r="U253" s="42">
        <f t="shared" si="36"/>
        <v>-4</v>
      </c>
      <c r="V253" s="42">
        <f t="shared" si="37"/>
        <v>1</v>
      </c>
      <c r="W253" s="42">
        <f t="shared" si="38"/>
        <v>4</v>
      </c>
    </row>
    <row r="254" spans="1:23" s="28" customFormat="1" ht="73.5" customHeight="1" x14ac:dyDescent="0.2">
      <c r="A254" s="30">
        <v>250</v>
      </c>
      <c r="B254" s="31" t="s">
        <v>357</v>
      </c>
      <c r="C254" s="32" t="s">
        <v>25</v>
      </c>
      <c r="D254" s="33">
        <v>186</v>
      </c>
      <c r="E254" s="34" t="s">
        <v>26</v>
      </c>
      <c r="F254" s="35">
        <v>6160.34</v>
      </c>
      <c r="G254" s="32" t="s">
        <v>27</v>
      </c>
      <c r="H254" s="37">
        <f>7116.72/1.2</f>
        <v>5930.6</v>
      </c>
      <c r="I254" s="38">
        <f t="shared" si="39"/>
        <v>1103091.6000000001</v>
      </c>
      <c r="J254" s="38" t="s">
        <v>28</v>
      </c>
      <c r="K254" s="37">
        <v>6254.69</v>
      </c>
      <c r="L254" s="38">
        <f t="shared" si="31"/>
        <v>1163372.3399999999</v>
      </c>
      <c r="M254" s="33" t="s">
        <v>29</v>
      </c>
      <c r="N254" s="37">
        <v>6411.33</v>
      </c>
      <c r="O254" s="38">
        <f t="shared" si="32"/>
        <v>1192507.3799999999</v>
      </c>
      <c r="P254" s="39">
        <f t="shared" si="33"/>
        <v>6198.8733333333339</v>
      </c>
      <c r="Q254" s="40">
        <f t="shared" si="34"/>
        <v>-0.62161833709566849</v>
      </c>
      <c r="R254" s="39">
        <f t="shared" si="35"/>
        <v>1145823.24</v>
      </c>
      <c r="S254" s="41"/>
      <c r="U254" s="42">
        <f t="shared" si="36"/>
        <v>-4</v>
      </c>
      <c r="V254" s="42">
        <f t="shared" si="37"/>
        <v>1</v>
      </c>
      <c r="W254" s="42">
        <f t="shared" si="38"/>
        <v>3</v>
      </c>
    </row>
    <row r="255" spans="1:23" s="28" customFormat="1" ht="73.5" customHeight="1" x14ac:dyDescent="0.2">
      <c r="A255" s="30">
        <v>251</v>
      </c>
      <c r="B255" s="31" t="s">
        <v>358</v>
      </c>
      <c r="C255" s="32" t="s">
        <v>25</v>
      </c>
      <c r="D255" s="33">
        <v>3</v>
      </c>
      <c r="E255" s="34">
        <v>579.41</v>
      </c>
      <c r="F255" s="35">
        <v>803.64</v>
      </c>
      <c r="G255" s="32" t="s">
        <v>27</v>
      </c>
      <c r="H255" s="37">
        <f>977.24/1.2</f>
        <v>814.36666666666667</v>
      </c>
      <c r="I255" s="38">
        <f t="shared" si="39"/>
        <v>2443.1</v>
      </c>
      <c r="J255" s="38" t="s">
        <v>28</v>
      </c>
      <c r="K255" s="37">
        <v>847.5</v>
      </c>
      <c r="L255" s="38">
        <f t="shared" si="31"/>
        <v>2542.5</v>
      </c>
      <c r="M255" s="33" t="s">
        <v>29</v>
      </c>
      <c r="N255" s="37">
        <v>802.4</v>
      </c>
      <c r="O255" s="38">
        <f t="shared" si="32"/>
        <v>2407.1999999999998</v>
      </c>
      <c r="P255" s="39">
        <f t="shared" si="33"/>
        <v>821.42222222222233</v>
      </c>
      <c r="Q255" s="40">
        <f t="shared" si="34"/>
        <v>-2.1648090033546339</v>
      </c>
      <c r="R255" s="39">
        <f t="shared" si="35"/>
        <v>2410.92</v>
      </c>
      <c r="S255" s="41"/>
      <c r="U255" s="42">
        <f t="shared" si="36"/>
        <v>-1</v>
      </c>
      <c r="V255" s="42">
        <f t="shared" si="37"/>
        <v>3</v>
      </c>
      <c r="W255" s="42">
        <f t="shared" si="38"/>
        <v>-2</v>
      </c>
    </row>
    <row r="256" spans="1:23" s="28" customFormat="1" ht="73.5" customHeight="1" x14ac:dyDescent="0.2">
      <c r="A256" s="30">
        <v>252</v>
      </c>
      <c r="B256" s="31" t="s">
        <v>359</v>
      </c>
      <c r="C256" s="32" t="s">
        <v>25</v>
      </c>
      <c r="D256" s="33">
        <v>5</v>
      </c>
      <c r="E256" s="34">
        <v>5309.58</v>
      </c>
      <c r="F256" s="35">
        <v>6504.74</v>
      </c>
      <c r="G256" s="32" t="s">
        <v>27</v>
      </c>
      <c r="H256" s="37">
        <f>7779.68/1.2</f>
        <v>6483.0666666666675</v>
      </c>
      <c r="I256" s="38">
        <f t="shared" si="39"/>
        <v>32415.333333333336</v>
      </c>
      <c r="J256" s="38" t="s">
        <v>28</v>
      </c>
      <c r="K256" s="37">
        <v>6402.14</v>
      </c>
      <c r="L256" s="38">
        <f t="shared" si="31"/>
        <v>32010.7</v>
      </c>
      <c r="M256" s="33" t="s">
        <v>29</v>
      </c>
      <c r="N256" s="37">
        <v>6755.82</v>
      </c>
      <c r="O256" s="38">
        <f t="shared" si="32"/>
        <v>33779.1</v>
      </c>
      <c r="P256" s="39">
        <f t="shared" si="33"/>
        <v>6547.0088888888895</v>
      </c>
      <c r="Q256" s="40">
        <f t="shared" si="34"/>
        <v>-0.64562137620777094</v>
      </c>
      <c r="R256" s="39">
        <f t="shared" si="35"/>
        <v>32523.699999999997</v>
      </c>
      <c r="S256" s="41"/>
      <c r="U256" s="42">
        <f t="shared" si="36"/>
        <v>-1</v>
      </c>
      <c r="V256" s="42">
        <f t="shared" si="37"/>
        <v>-2</v>
      </c>
      <c r="W256" s="42">
        <f t="shared" si="38"/>
        <v>3</v>
      </c>
    </row>
    <row r="257" spans="1:23" s="28" customFormat="1" ht="73.5" customHeight="1" x14ac:dyDescent="0.2">
      <c r="A257" s="30">
        <v>253</v>
      </c>
      <c r="B257" s="31" t="s">
        <v>360</v>
      </c>
      <c r="C257" s="32" t="s">
        <v>25</v>
      </c>
      <c r="D257" s="33">
        <v>26</v>
      </c>
      <c r="E257" s="34">
        <v>9120.17</v>
      </c>
      <c r="F257" s="35">
        <v>11227.31</v>
      </c>
      <c r="G257" s="32" t="s">
        <v>27</v>
      </c>
      <c r="H257" s="37">
        <f>13531.04/1.2</f>
        <v>11275.866666666669</v>
      </c>
      <c r="I257" s="38">
        <f t="shared" si="39"/>
        <v>293172.53333333338</v>
      </c>
      <c r="J257" s="38" t="s">
        <v>28</v>
      </c>
      <c r="K257" s="37">
        <v>11489.66</v>
      </c>
      <c r="L257" s="38">
        <f t="shared" si="31"/>
        <v>298731.15999999997</v>
      </c>
      <c r="M257" s="33" t="s">
        <v>29</v>
      </c>
      <c r="N257" s="37">
        <v>11020.45</v>
      </c>
      <c r="O257" s="38">
        <f t="shared" si="32"/>
        <v>286531.7</v>
      </c>
      <c r="P257" s="39">
        <f t="shared" si="33"/>
        <v>11261.992222222223</v>
      </c>
      <c r="Q257" s="40">
        <f t="shared" si="34"/>
        <v>-0.3079581439755259</v>
      </c>
      <c r="R257" s="39">
        <f t="shared" si="35"/>
        <v>291910.06</v>
      </c>
      <c r="S257" s="41"/>
      <c r="U257" s="42">
        <f t="shared" si="36"/>
        <v>0</v>
      </c>
      <c r="V257" s="42">
        <f t="shared" si="37"/>
        <v>2</v>
      </c>
      <c r="W257" s="42">
        <f t="shared" si="38"/>
        <v>-2</v>
      </c>
    </row>
    <row r="258" spans="1:23" s="28" customFormat="1" ht="73.5" customHeight="1" x14ac:dyDescent="0.2">
      <c r="A258" s="30">
        <v>254</v>
      </c>
      <c r="B258" s="31" t="s">
        <v>361</v>
      </c>
      <c r="C258" s="32" t="s">
        <v>25</v>
      </c>
      <c r="D258" s="33">
        <v>20</v>
      </c>
      <c r="E258" s="34">
        <v>11632.86</v>
      </c>
      <c r="F258" s="35">
        <v>13102.47</v>
      </c>
      <c r="G258" s="32" t="s">
        <v>27</v>
      </c>
      <c r="H258" s="37">
        <f>15620.43/1.2</f>
        <v>13017.025000000001</v>
      </c>
      <c r="I258" s="38">
        <f t="shared" si="39"/>
        <v>260340.50000000003</v>
      </c>
      <c r="J258" s="38" t="s">
        <v>28</v>
      </c>
      <c r="K258" s="37">
        <v>12950.42</v>
      </c>
      <c r="L258" s="38">
        <f t="shared" si="31"/>
        <v>259008.4</v>
      </c>
      <c r="M258" s="33" t="s">
        <v>29</v>
      </c>
      <c r="N258" s="37">
        <v>13451.61</v>
      </c>
      <c r="O258" s="38">
        <f t="shared" si="32"/>
        <v>269032.2</v>
      </c>
      <c r="P258" s="39">
        <f t="shared" si="33"/>
        <v>13139.684999999999</v>
      </c>
      <c r="Q258" s="40">
        <f t="shared" si="34"/>
        <v>-0.28322596774579267</v>
      </c>
      <c r="R258" s="39">
        <f t="shared" si="35"/>
        <v>262049.4</v>
      </c>
      <c r="S258" s="41"/>
      <c r="U258" s="42">
        <f t="shared" si="36"/>
        <v>-1</v>
      </c>
      <c r="V258" s="42">
        <f t="shared" si="37"/>
        <v>-1</v>
      </c>
      <c r="W258" s="42">
        <f t="shared" si="38"/>
        <v>2</v>
      </c>
    </row>
    <row r="259" spans="1:23" s="28" customFormat="1" ht="73.5" customHeight="1" x14ac:dyDescent="0.2">
      <c r="A259" s="30">
        <v>255</v>
      </c>
      <c r="B259" s="31" t="s">
        <v>362</v>
      </c>
      <c r="C259" s="32" t="s">
        <v>25</v>
      </c>
      <c r="D259" s="33">
        <v>6</v>
      </c>
      <c r="E259" s="34">
        <v>8036.34</v>
      </c>
      <c r="F259" s="35">
        <v>9723.4</v>
      </c>
      <c r="G259" s="32" t="s">
        <v>27</v>
      </c>
      <c r="H259" s="37">
        <f>11643.9/1.2</f>
        <v>9703.25</v>
      </c>
      <c r="I259" s="38">
        <f t="shared" si="39"/>
        <v>58219.5</v>
      </c>
      <c r="J259" s="38" t="s">
        <v>28</v>
      </c>
      <c r="K259" s="37">
        <v>9670.9</v>
      </c>
      <c r="L259" s="38">
        <f t="shared" si="31"/>
        <v>58025.399999999994</v>
      </c>
      <c r="M259" s="33" t="s">
        <v>29</v>
      </c>
      <c r="N259" s="37">
        <v>9977.4699999999993</v>
      </c>
      <c r="O259" s="38">
        <f t="shared" si="32"/>
        <v>59864.819999999992</v>
      </c>
      <c r="P259" s="39">
        <f t="shared" si="33"/>
        <v>9783.8733333333348</v>
      </c>
      <c r="Q259" s="40">
        <f t="shared" si="34"/>
        <v>-0.61809194858751937</v>
      </c>
      <c r="R259" s="39">
        <f t="shared" si="35"/>
        <v>58340.399999999994</v>
      </c>
      <c r="S259" s="41"/>
      <c r="U259" s="42">
        <f t="shared" si="36"/>
        <v>-1</v>
      </c>
      <c r="V259" s="42">
        <f t="shared" si="37"/>
        <v>-1</v>
      </c>
      <c r="W259" s="42">
        <f t="shared" si="38"/>
        <v>2</v>
      </c>
    </row>
    <row r="260" spans="1:23" s="28" customFormat="1" ht="73.5" customHeight="1" x14ac:dyDescent="0.2">
      <c r="A260" s="30">
        <v>256</v>
      </c>
      <c r="B260" s="31" t="s">
        <v>363</v>
      </c>
      <c r="C260" s="32" t="s">
        <v>25</v>
      </c>
      <c r="D260" s="33">
        <v>7</v>
      </c>
      <c r="E260" s="34">
        <v>31232.91</v>
      </c>
      <c r="F260" s="35">
        <v>37685.879999999997</v>
      </c>
      <c r="G260" s="32" t="s">
        <v>27</v>
      </c>
      <c r="H260" s="37">
        <f>45140.87/1.2</f>
        <v>37617.39166666667</v>
      </c>
      <c r="I260" s="38">
        <f t="shared" ref="I260:I291" si="40">D260*H260</f>
        <v>263321.7416666667</v>
      </c>
      <c r="J260" s="38" t="s">
        <v>28</v>
      </c>
      <c r="K260" s="37">
        <v>36970.31</v>
      </c>
      <c r="L260" s="38">
        <f t="shared" si="31"/>
        <v>258792.16999999998</v>
      </c>
      <c r="M260" s="33" t="s">
        <v>29</v>
      </c>
      <c r="N260" s="37">
        <v>38780.300000000003</v>
      </c>
      <c r="O260" s="38">
        <f t="shared" si="32"/>
        <v>271462.10000000003</v>
      </c>
      <c r="P260" s="39">
        <f t="shared" si="33"/>
        <v>37789.33388888889</v>
      </c>
      <c r="Q260" s="40">
        <f t="shared" si="34"/>
        <v>-0.27376478556907102</v>
      </c>
      <c r="R260" s="39">
        <f t="shared" si="35"/>
        <v>263801.15999999997</v>
      </c>
      <c r="S260" s="41"/>
      <c r="U260" s="42">
        <f t="shared" si="36"/>
        <v>0</v>
      </c>
      <c r="V260" s="42">
        <f t="shared" si="37"/>
        <v>-2</v>
      </c>
      <c r="W260" s="42">
        <f t="shared" si="38"/>
        <v>3</v>
      </c>
    </row>
    <row r="261" spans="1:23" s="28" customFormat="1" ht="73.5" customHeight="1" x14ac:dyDescent="0.2">
      <c r="A261" s="30">
        <v>257</v>
      </c>
      <c r="B261" s="31" t="s">
        <v>364</v>
      </c>
      <c r="C261" s="32" t="s">
        <v>25</v>
      </c>
      <c r="D261" s="33">
        <v>96</v>
      </c>
      <c r="E261" s="34">
        <v>11893.48</v>
      </c>
      <c r="F261" s="35">
        <v>14297.31</v>
      </c>
      <c r="G261" s="32" t="s">
        <v>27</v>
      </c>
      <c r="H261" s="37">
        <f>16365.36/1.2</f>
        <v>13637.800000000001</v>
      </c>
      <c r="I261" s="38">
        <f t="shared" si="40"/>
        <v>1309228.8</v>
      </c>
      <c r="J261" s="38" t="s">
        <v>28</v>
      </c>
      <c r="K261" s="37">
        <v>14945.88</v>
      </c>
      <c r="L261" s="38">
        <f t="shared" si="31"/>
        <v>1434804.48</v>
      </c>
      <c r="M261" s="33" t="s">
        <v>29</v>
      </c>
      <c r="N261" s="37">
        <v>14511.7</v>
      </c>
      <c r="O261" s="38">
        <f t="shared" si="32"/>
        <v>1393123.2000000002</v>
      </c>
      <c r="P261" s="39">
        <f t="shared" si="33"/>
        <v>14365.126666666669</v>
      </c>
      <c r="Q261" s="40">
        <f t="shared" si="34"/>
        <v>-0.47209236813785083</v>
      </c>
      <c r="R261" s="39">
        <f t="shared" si="35"/>
        <v>1372541.76</v>
      </c>
      <c r="S261" s="41"/>
      <c r="U261" s="42">
        <f t="shared" si="36"/>
        <v>-5</v>
      </c>
      <c r="V261" s="42">
        <f t="shared" si="37"/>
        <v>4</v>
      </c>
      <c r="W261" s="42">
        <f t="shared" si="38"/>
        <v>1</v>
      </c>
    </row>
    <row r="262" spans="1:23" s="28" customFormat="1" ht="73.5" customHeight="1" x14ac:dyDescent="0.2">
      <c r="A262" s="30">
        <v>258</v>
      </c>
      <c r="B262" s="31" t="s">
        <v>365</v>
      </c>
      <c r="C262" s="32" t="s">
        <v>25</v>
      </c>
      <c r="D262" s="33">
        <v>20</v>
      </c>
      <c r="E262" s="34">
        <v>8750.09</v>
      </c>
      <c r="F262" s="35">
        <v>10989.9</v>
      </c>
      <c r="G262" s="32" t="s">
        <v>27</v>
      </c>
      <c r="H262" s="37">
        <f>12703.22/1.2</f>
        <v>10586.016666666666</v>
      </c>
      <c r="I262" s="38">
        <f t="shared" si="40"/>
        <v>211720.33333333331</v>
      </c>
      <c r="J262" s="38" t="s">
        <v>28</v>
      </c>
      <c r="K262" s="37">
        <v>11600.4</v>
      </c>
      <c r="L262" s="38">
        <f t="shared" si="31"/>
        <v>232008</v>
      </c>
      <c r="M262" s="33" t="s">
        <v>29</v>
      </c>
      <c r="N262" s="37">
        <v>10945.3</v>
      </c>
      <c r="O262" s="38">
        <f t="shared" si="32"/>
        <v>218906</v>
      </c>
      <c r="P262" s="39">
        <f t="shared" si="33"/>
        <v>11043.905555555553</v>
      </c>
      <c r="Q262" s="40">
        <f t="shared" si="34"/>
        <v>-0.48900776345725205</v>
      </c>
      <c r="R262" s="39">
        <f t="shared" si="35"/>
        <v>219798</v>
      </c>
      <c r="S262" s="41"/>
      <c r="U262" s="42">
        <f t="shared" si="36"/>
        <v>-4</v>
      </c>
      <c r="V262" s="42">
        <f t="shared" si="37"/>
        <v>5</v>
      </c>
      <c r="W262" s="42">
        <f t="shared" si="38"/>
        <v>-1</v>
      </c>
    </row>
    <row r="263" spans="1:23" s="28" customFormat="1" ht="73.5" customHeight="1" x14ac:dyDescent="0.2">
      <c r="A263" s="30">
        <v>261</v>
      </c>
      <c r="B263" s="31" t="s">
        <v>366</v>
      </c>
      <c r="C263" s="32" t="s">
        <v>25</v>
      </c>
      <c r="D263" s="33">
        <v>2</v>
      </c>
      <c r="E263" s="34">
        <v>13979.66</v>
      </c>
      <c r="F263" s="35">
        <v>18180.7</v>
      </c>
      <c r="G263" s="32" t="s">
        <v>27</v>
      </c>
      <c r="H263" s="37">
        <f>20730.05/1.2</f>
        <v>17275.041666666668</v>
      </c>
      <c r="I263" s="38">
        <f t="shared" si="40"/>
        <v>34550.083333333336</v>
      </c>
      <c r="J263" s="38" t="s">
        <v>28</v>
      </c>
      <c r="K263" s="37">
        <v>18056.72</v>
      </c>
      <c r="L263" s="38">
        <f t="shared" si="31"/>
        <v>36113.440000000002</v>
      </c>
      <c r="M263" s="33" t="s">
        <v>29</v>
      </c>
      <c r="N263" s="37">
        <v>19401.5</v>
      </c>
      <c r="O263" s="38">
        <f t="shared" si="32"/>
        <v>38803</v>
      </c>
      <c r="P263" s="39">
        <f t="shared" si="33"/>
        <v>18244.420555555556</v>
      </c>
      <c r="Q263" s="40">
        <f t="shared" si="34"/>
        <v>-0.34926050603537817</v>
      </c>
      <c r="R263" s="39">
        <f t="shared" si="35"/>
        <v>36361.4</v>
      </c>
      <c r="S263" s="41"/>
      <c r="U263" s="42">
        <f t="shared" si="36"/>
        <v>-5</v>
      </c>
      <c r="V263" s="42">
        <f t="shared" si="37"/>
        <v>-1</v>
      </c>
      <c r="W263" s="42">
        <f t="shared" si="38"/>
        <v>6</v>
      </c>
    </row>
    <row r="264" spans="1:23" s="28" customFormat="1" ht="73.5" customHeight="1" x14ac:dyDescent="0.2">
      <c r="A264" s="30">
        <v>262</v>
      </c>
      <c r="B264" s="31" t="s">
        <v>367</v>
      </c>
      <c r="C264" s="32" t="s">
        <v>25</v>
      </c>
      <c r="D264" s="33">
        <v>2</v>
      </c>
      <c r="E264" s="34">
        <v>12812.23</v>
      </c>
      <c r="F264" s="35">
        <v>15497.6</v>
      </c>
      <c r="G264" s="32" t="s">
        <v>27</v>
      </c>
      <c r="H264" s="37">
        <f>19032.94/1.2</f>
        <v>15860.783333333333</v>
      </c>
      <c r="I264" s="38">
        <f t="shared" si="40"/>
        <v>31721.566666666666</v>
      </c>
      <c r="J264" s="38" t="s">
        <v>28</v>
      </c>
      <c r="K264" s="37">
        <v>15002.64</v>
      </c>
      <c r="L264" s="38">
        <f t="shared" si="31"/>
        <v>30005.279999999999</v>
      </c>
      <c r="M264" s="33" t="s">
        <v>29</v>
      </c>
      <c r="N264" s="37">
        <v>16200.7</v>
      </c>
      <c r="O264" s="38">
        <f t="shared" si="32"/>
        <v>32401.4</v>
      </c>
      <c r="P264" s="39">
        <f t="shared" si="33"/>
        <v>15688.041111111112</v>
      </c>
      <c r="Q264" s="40">
        <f t="shared" si="34"/>
        <v>-1.2139253700465531</v>
      </c>
      <c r="R264" s="39">
        <f t="shared" si="35"/>
        <v>30995.200000000001</v>
      </c>
      <c r="S264" s="41"/>
      <c r="U264" s="42">
        <f t="shared" si="36"/>
        <v>1</v>
      </c>
      <c r="V264" s="42">
        <f t="shared" si="37"/>
        <v>-4</v>
      </c>
      <c r="W264" s="42">
        <f t="shared" si="38"/>
        <v>3</v>
      </c>
    </row>
    <row r="265" spans="1:23" s="28" customFormat="1" ht="73.5" customHeight="1" x14ac:dyDescent="0.2">
      <c r="A265" s="30">
        <v>263</v>
      </c>
      <c r="B265" s="31" t="s">
        <v>368</v>
      </c>
      <c r="C265" s="32" t="s">
        <v>25</v>
      </c>
      <c r="D265" s="33">
        <v>16</v>
      </c>
      <c r="E265" s="34">
        <v>13996.87</v>
      </c>
      <c r="F265" s="35">
        <v>16602.099999999999</v>
      </c>
      <c r="G265" s="32" t="s">
        <v>27</v>
      </c>
      <c r="H265" s="37">
        <f>19411.67/1.2</f>
        <v>16176.391666666666</v>
      </c>
      <c r="I265" s="38">
        <f t="shared" si="40"/>
        <v>258822.26666666666</v>
      </c>
      <c r="J265" s="38" t="s">
        <v>28</v>
      </c>
      <c r="K265" s="37">
        <v>17921.59</v>
      </c>
      <c r="L265" s="38">
        <f t="shared" si="31"/>
        <v>286745.44</v>
      </c>
      <c r="M265" s="33" t="s">
        <v>29</v>
      </c>
      <c r="N265" s="37">
        <v>15947.3</v>
      </c>
      <c r="O265" s="38">
        <f t="shared" si="32"/>
        <v>255156.8</v>
      </c>
      <c r="P265" s="39">
        <f t="shared" si="33"/>
        <v>16681.760555555553</v>
      </c>
      <c r="Q265" s="40">
        <f t="shared" si="34"/>
        <v>-0.47753086546387635</v>
      </c>
      <c r="R265" s="39">
        <f t="shared" si="35"/>
        <v>265633.59999999998</v>
      </c>
      <c r="S265" s="41"/>
      <c r="U265" s="42">
        <f t="shared" si="36"/>
        <v>-3</v>
      </c>
      <c r="V265" s="42">
        <f t="shared" si="37"/>
        <v>7</v>
      </c>
      <c r="W265" s="42">
        <f t="shared" si="38"/>
        <v>-4</v>
      </c>
    </row>
    <row r="266" spans="1:23" s="28" customFormat="1" ht="73.5" customHeight="1" x14ac:dyDescent="0.2">
      <c r="A266" s="30">
        <v>264</v>
      </c>
      <c r="B266" s="31" t="s">
        <v>369</v>
      </c>
      <c r="C266" s="32" t="s">
        <v>25</v>
      </c>
      <c r="D266" s="33">
        <v>6</v>
      </c>
      <c r="E266" s="34">
        <v>16192.14</v>
      </c>
      <c r="F266" s="35">
        <v>16354.78</v>
      </c>
      <c r="G266" s="32" t="s">
        <v>27</v>
      </c>
      <c r="H266" s="37">
        <f>19299.98/1.2</f>
        <v>16083.316666666668</v>
      </c>
      <c r="I266" s="38">
        <f t="shared" si="40"/>
        <v>96499.900000000009</v>
      </c>
      <c r="J266" s="38" t="s">
        <v>28</v>
      </c>
      <c r="K266" s="37">
        <v>16400.669999999998</v>
      </c>
      <c r="L266" s="38">
        <f t="shared" si="31"/>
        <v>98404.01999999999</v>
      </c>
      <c r="M266" s="33" t="s">
        <v>29</v>
      </c>
      <c r="N266" s="37">
        <v>17011.88</v>
      </c>
      <c r="O266" s="38">
        <f t="shared" si="32"/>
        <v>102071.28</v>
      </c>
      <c r="P266" s="39">
        <f t="shared" si="33"/>
        <v>16498.622222222224</v>
      </c>
      <c r="Q266" s="40">
        <f t="shared" si="34"/>
        <v>-0.87184384419980177</v>
      </c>
      <c r="R266" s="39">
        <f t="shared" si="35"/>
        <v>98128.680000000008</v>
      </c>
      <c r="S266" s="41"/>
      <c r="U266" s="42">
        <f t="shared" si="36"/>
        <v>-3</v>
      </c>
      <c r="V266" s="42">
        <f t="shared" si="37"/>
        <v>-1</v>
      </c>
      <c r="W266" s="42">
        <f t="shared" si="38"/>
        <v>3</v>
      </c>
    </row>
    <row r="267" spans="1:23" s="28" customFormat="1" ht="73.5" customHeight="1" x14ac:dyDescent="0.2">
      <c r="A267" s="30">
        <v>265</v>
      </c>
      <c r="B267" s="31" t="s">
        <v>370</v>
      </c>
      <c r="C267" s="32" t="s">
        <v>25</v>
      </c>
      <c r="D267" s="33">
        <v>1</v>
      </c>
      <c r="E267" s="34">
        <v>24065.29</v>
      </c>
      <c r="F267" s="35">
        <v>25020.5</v>
      </c>
      <c r="G267" s="32" t="s">
        <v>27</v>
      </c>
      <c r="H267" s="37">
        <f>28803.13/1.2</f>
        <v>24002.608333333334</v>
      </c>
      <c r="I267" s="38">
        <f t="shared" si="40"/>
        <v>24002.608333333334</v>
      </c>
      <c r="J267" s="38" t="s">
        <v>28</v>
      </c>
      <c r="K267" s="37">
        <v>26007.32</v>
      </c>
      <c r="L267" s="38">
        <f t="shared" si="31"/>
        <v>26007.32</v>
      </c>
      <c r="M267" s="33" t="s">
        <v>29</v>
      </c>
      <c r="N267" s="37">
        <v>25452.45</v>
      </c>
      <c r="O267" s="38">
        <f t="shared" si="32"/>
        <v>25452.45</v>
      </c>
      <c r="P267" s="39">
        <f t="shared" si="33"/>
        <v>25154.126111111109</v>
      </c>
      <c r="Q267" s="40">
        <f t="shared" si="34"/>
        <v>-0.53122939163480964</v>
      </c>
      <c r="R267" s="39">
        <f t="shared" si="35"/>
        <v>25020.5</v>
      </c>
      <c r="S267" s="41"/>
      <c r="U267" s="42">
        <f t="shared" si="36"/>
        <v>-5</v>
      </c>
      <c r="V267" s="42">
        <f t="shared" si="37"/>
        <v>3</v>
      </c>
      <c r="W267" s="42">
        <f t="shared" si="38"/>
        <v>1</v>
      </c>
    </row>
    <row r="268" spans="1:23" s="28" customFormat="1" ht="73.5" customHeight="1" x14ac:dyDescent="0.2">
      <c r="A268" s="30">
        <v>267</v>
      </c>
      <c r="B268" s="31" t="s">
        <v>371</v>
      </c>
      <c r="C268" s="32" t="s">
        <v>25</v>
      </c>
      <c r="D268" s="33" t="s">
        <v>372</v>
      </c>
      <c r="E268" s="34">
        <v>9032.42</v>
      </c>
      <c r="F268" s="35">
        <v>10970.42</v>
      </c>
      <c r="G268" s="32" t="s">
        <v>27</v>
      </c>
      <c r="H268" s="37">
        <f>12771.25/1.2</f>
        <v>10642.708333333334</v>
      </c>
      <c r="I268" s="38">
        <f t="shared" si="40"/>
        <v>2586178.125</v>
      </c>
      <c r="J268" s="38" t="s">
        <v>28</v>
      </c>
      <c r="K268" s="37">
        <v>11023.45</v>
      </c>
      <c r="L268" s="38">
        <f t="shared" ref="L268:L331" si="41">D268*K268</f>
        <v>2678698.35</v>
      </c>
      <c r="M268" s="33" t="s">
        <v>29</v>
      </c>
      <c r="N268" s="37">
        <v>11452.6</v>
      </c>
      <c r="O268" s="38">
        <f t="shared" ref="O268:O331" si="42">D268*N268</f>
        <v>2782981.8000000003</v>
      </c>
      <c r="P268" s="39">
        <f t="shared" ref="P268:P331" si="43">AVERAGE(H268,K268,N268)</f>
        <v>11039.58611111111</v>
      </c>
      <c r="Q268" s="40">
        <f t="shared" ref="Q268:Q331" si="44">F268*100/P268-100</f>
        <v>-0.62652811812840525</v>
      </c>
      <c r="R268" s="39">
        <f t="shared" ref="R268:R331" si="45">D268*F268</f>
        <v>2665812.06</v>
      </c>
      <c r="S268" s="41"/>
      <c r="U268" s="42">
        <f t="shared" ref="U268:U331" si="46">ROUND(H268*100/P268-100,0)</f>
        <v>-4</v>
      </c>
      <c r="V268" s="42">
        <f t="shared" ref="V268:V331" si="47">ROUND(K268*100/P268-100,0)</f>
        <v>0</v>
      </c>
      <c r="W268" s="42">
        <f t="shared" ref="W268:W331" si="48">ROUND(N268*100/P268-100,0)</f>
        <v>4</v>
      </c>
    </row>
    <row r="269" spans="1:23" s="28" customFormat="1" ht="73.5" customHeight="1" x14ac:dyDescent="0.2">
      <c r="A269" s="30">
        <v>268</v>
      </c>
      <c r="B269" s="31" t="s">
        <v>373</v>
      </c>
      <c r="C269" s="32" t="s">
        <v>45</v>
      </c>
      <c r="D269" s="33" t="s">
        <v>374</v>
      </c>
      <c r="E269" s="34">
        <v>4878.63</v>
      </c>
      <c r="F269" s="35">
        <v>3441.15</v>
      </c>
      <c r="G269" s="32" t="s">
        <v>375</v>
      </c>
      <c r="H269" s="37">
        <f>3619/1.2</f>
        <v>3015.8333333333335</v>
      </c>
      <c r="I269" s="38">
        <f t="shared" si="40"/>
        <v>15682.333333333334</v>
      </c>
      <c r="J269" s="32" t="s">
        <v>376</v>
      </c>
      <c r="K269" s="37">
        <v>3316.67</v>
      </c>
      <c r="L269" s="38">
        <f t="shared" si="41"/>
        <v>17246.684000000001</v>
      </c>
      <c r="M269" s="32" t="s">
        <v>377</v>
      </c>
      <c r="N269" s="37">
        <f>4800/1.2</f>
        <v>4000</v>
      </c>
      <c r="O269" s="38">
        <f t="shared" si="42"/>
        <v>20800</v>
      </c>
      <c r="P269" s="39">
        <f t="shared" si="43"/>
        <v>3444.1677777777782</v>
      </c>
      <c r="Q269" s="40">
        <f t="shared" si="44"/>
        <v>-8.7619941085606001E-2</v>
      </c>
      <c r="R269" s="39">
        <f t="shared" si="45"/>
        <v>17893.98</v>
      </c>
      <c r="S269" s="57"/>
      <c r="U269" s="42">
        <f t="shared" si="46"/>
        <v>-12</v>
      </c>
      <c r="V269" s="42">
        <f t="shared" si="47"/>
        <v>-4</v>
      </c>
      <c r="W269" s="42">
        <f t="shared" si="48"/>
        <v>16</v>
      </c>
    </row>
    <row r="270" spans="1:23" s="28" customFormat="1" ht="73.5" customHeight="1" x14ac:dyDescent="0.2">
      <c r="A270" s="30">
        <v>269</v>
      </c>
      <c r="B270" s="31" t="s">
        <v>378</v>
      </c>
      <c r="C270" s="32" t="s">
        <v>323</v>
      </c>
      <c r="D270" s="33">
        <v>8.0000000000000002E-3</v>
      </c>
      <c r="E270" s="34">
        <v>344968.75</v>
      </c>
      <c r="F270" s="35">
        <v>411502.5</v>
      </c>
      <c r="G270" s="37" t="s">
        <v>68</v>
      </c>
      <c r="H270" s="37">
        <f>498040.45/1.2</f>
        <v>415033.70833333337</v>
      </c>
      <c r="I270" s="38">
        <f t="shared" si="40"/>
        <v>3320.269666666667</v>
      </c>
      <c r="J270" s="36" t="s">
        <v>67</v>
      </c>
      <c r="K270" s="37">
        <f>503.49/1.2*1000</f>
        <v>419575.00000000006</v>
      </c>
      <c r="L270" s="38">
        <f t="shared" si="41"/>
        <v>3356.6000000000004</v>
      </c>
      <c r="M270" s="32" t="s">
        <v>272</v>
      </c>
      <c r="N270" s="37">
        <v>412432.5</v>
      </c>
      <c r="O270" s="38">
        <f t="shared" si="42"/>
        <v>3299.46</v>
      </c>
      <c r="P270" s="39">
        <f t="shared" si="43"/>
        <v>415680.40277777781</v>
      </c>
      <c r="Q270" s="40">
        <f t="shared" si="44"/>
        <v>-1.0050757143851428</v>
      </c>
      <c r="R270" s="39">
        <f t="shared" si="45"/>
        <v>3292.02</v>
      </c>
      <c r="S270" s="41"/>
      <c r="U270" s="42">
        <f t="shared" si="46"/>
        <v>0</v>
      </c>
      <c r="V270" s="42">
        <f t="shared" si="47"/>
        <v>1</v>
      </c>
      <c r="W270" s="42">
        <f t="shared" si="48"/>
        <v>-1</v>
      </c>
    </row>
    <row r="271" spans="1:23" s="28" customFormat="1" ht="73.5" customHeight="1" x14ac:dyDescent="0.2">
      <c r="A271" s="30">
        <v>270</v>
      </c>
      <c r="B271" s="31" t="s">
        <v>379</v>
      </c>
      <c r="C271" s="32" t="s">
        <v>25</v>
      </c>
      <c r="D271" s="33">
        <v>20</v>
      </c>
      <c r="E271" s="34">
        <v>18.489999999999998</v>
      </c>
      <c r="F271" s="35">
        <v>28.03</v>
      </c>
      <c r="G271" s="32" t="s">
        <v>27</v>
      </c>
      <c r="H271" s="37">
        <f>30.27/1.2</f>
        <v>25.225000000000001</v>
      </c>
      <c r="I271" s="38">
        <f t="shared" si="40"/>
        <v>504.5</v>
      </c>
      <c r="J271" s="38" t="s">
        <v>28</v>
      </c>
      <c r="K271" s="37">
        <v>29.45</v>
      </c>
      <c r="L271" s="38">
        <f t="shared" si="41"/>
        <v>589</v>
      </c>
      <c r="M271" s="33" t="s">
        <v>29</v>
      </c>
      <c r="N271" s="37">
        <v>31.7</v>
      </c>
      <c r="O271" s="38">
        <f t="shared" si="42"/>
        <v>634</v>
      </c>
      <c r="P271" s="39">
        <f t="shared" si="43"/>
        <v>28.791666666666668</v>
      </c>
      <c r="Q271" s="40">
        <f t="shared" si="44"/>
        <v>-2.6454413892908804</v>
      </c>
      <c r="R271" s="39">
        <f t="shared" si="45"/>
        <v>560.6</v>
      </c>
      <c r="S271" s="41"/>
      <c r="U271" s="42">
        <f t="shared" si="46"/>
        <v>-12</v>
      </c>
      <c r="V271" s="42">
        <f t="shared" si="47"/>
        <v>2</v>
      </c>
      <c r="W271" s="42">
        <f t="shared" si="48"/>
        <v>10</v>
      </c>
    </row>
    <row r="272" spans="1:23" s="28" customFormat="1" ht="73.5" customHeight="1" x14ac:dyDescent="0.2">
      <c r="A272" s="30">
        <v>271</v>
      </c>
      <c r="B272" s="31" t="s">
        <v>380</v>
      </c>
      <c r="C272" s="32" t="s">
        <v>381</v>
      </c>
      <c r="D272" s="33">
        <v>2</v>
      </c>
      <c r="E272" s="34">
        <v>34776.28</v>
      </c>
      <c r="F272" s="35">
        <v>41590.199999999997</v>
      </c>
      <c r="G272" s="36" t="s">
        <v>90</v>
      </c>
      <c r="H272" s="37">
        <f>51705.01/1.2</f>
        <v>43087.508333333339</v>
      </c>
      <c r="I272" s="38">
        <f t="shared" si="40"/>
        <v>86175.016666666677</v>
      </c>
      <c r="J272" s="32" t="s">
        <v>46</v>
      </c>
      <c r="K272" s="37">
        <v>41393.25</v>
      </c>
      <c r="L272" s="38">
        <f t="shared" si="41"/>
        <v>82786.5</v>
      </c>
      <c r="M272" s="32" t="s">
        <v>58</v>
      </c>
      <c r="N272" s="37">
        <v>40981.06</v>
      </c>
      <c r="O272" s="38">
        <f t="shared" si="42"/>
        <v>81962.12</v>
      </c>
      <c r="P272" s="39">
        <f t="shared" si="43"/>
        <v>41820.606111111112</v>
      </c>
      <c r="Q272" s="40">
        <f t="shared" si="44"/>
        <v>-0.55093919609620912</v>
      </c>
      <c r="R272" s="39">
        <f t="shared" si="45"/>
        <v>83180.399999999994</v>
      </c>
      <c r="S272" s="41"/>
      <c r="U272" s="42">
        <f t="shared" si="46"/>
        <v>3</v>
      </c>
      <c r="V272" s="42">
        <f t="shared" si="47"/>
        <v>-1</v>
      </c>
      <c r="W272" s="42">
        <f t="shared" si="48"/>
        <v>-2</v>
      </c>
    </row>
    <row r="273" spans="1:25" s="28" customFormat="1" ht="73.5" hidden="1" customHeight="1" x14ac:dyDescent="0.2">
      <c r="A273" s="30">
        <v>272</v>
      </c>
      <c r="B273" s="31" t="s">
        <v>382</v>
      </c>
      <c r="C273" s="32" t="s">
        <v>383</v>
      </c>
      <c r="D273" s="33">
        <v>20</v>
      </c>
      <c r="E273" s="34">
        <v>1749.5</v>
      </c>
      <c r="F273" s="35">
        <v>1778.52</v>
      </c>
      <c r="G273" s="32" t="s">
        <v>27</v>
      </c>
      <c r="H273" s="37">
        <f>2098.33/1.2</f>
        <v>1748.6083333333333</v>
      </c>
      <c r="I273" s="38">
        <f t="shared" si="40"/>
        <v>34972.166666666664</v>
      </c>
      <c r="J273" s="38" t="s">
        <v>28</v>
      </c>
      <c r="K273" s="37">
        <v>1845.6</v>
      </c>
      <c r="L273" s="38">
        <f t="shared" si="41"/>
        <v>36912</v>
      </c>
      <c r="M273" s="33" t="s">
        <v>29</v>
      </c>
      <c r="N273" s="37">
        <v>1795.33</v>
      </c>
      <c r="O273" s="38">
        <f t="shared" si="42"/>
        <v>35906.6</v>
      </c>
      <c r="P273" s="39">
        <f t="shared" si="43"/>
        <v>1796.5127777777777</v>
      </c>
      <c r="Q273" s="40">
        <f t="shared" si="44"/>
        <v>-1.0015390928660253</v>
      </c>
      <c r="R273" s="39">
        <f t="shared" si="45"/>
        <v>35570.400000000001</v>
      </c>
      <c r="S273" s="47" t="s">
        <v>116</v>
      </c>
      <c r="U273" s="42">
        <f t="shared" si="46"/>
        <v>-3</v>
      </c>
      <c r="V273" s="42">
        <f t="shared" si="47"/>
        <v>3</v>
      </c>
      <c r="W273" s="42">
        <f t="shared" si="48"/>
        <v>0</v>
      </c>
      <c r="Y273" s="28">
        <v>266</v>
      </c>
    </row>
    <row r="274" spans="1:25" s="28" customFormat="1" ht="73.5" customHeight="1" x14ac:dyDescent="0.2">
      <c r="A274" s="30">
        <v>273</v>
      </c>
      <c r="B274" s="31" t="s">
        <v>384</v>
      </c>
      <c r="C274" s="32" t="s">
        <v>323</v>
      </c>
      <c r="D274" s="33">
        <v>18</v>
      </c>
      <c r="E274" s="34">
        <v>176355</v>
      </c>
      <c r="F274" s="35">
        <v>181054.64</v>
      </c>
      <c r="G274" s="37" t="s">
        <v>90</v>
      </c>
      <c r="H274" s="37">
        <v>185520</v>
      </c>
      <c r="I274" s="38">
        <f t="shared" si="40"/>
        <v>3339360</v>
      </c>
      <c r="J274" s="32" t="s">
        <v>385</v>
      </c>
      <c r="K274" s="37">
        <v>179571</v>
      </c>
      <c r="L274" s="38">
        <f t="shared" si="41"/>
        <v>3232278</v>
      </c>
      <c r="M274" s="36" t="s">
        <v>386</v>
      </c>
      <c r="N274" s="37">
        <v>179000</v>
      </c>
      <c r="O274" s="38">
        <f t="shared" si="42"/>
        <v>3222000</v>
      </c>
      <c r="P274" s="39">
        <f t="shared" si="43"/>
        <v>181363.66666666666</v>
      </c>
      <c r="Q274" s="40">
        <f t="shared" si="44"/>
        <v>-0.17039061480524254</v>
      </c>
      <c r="R274" s="39">
        <f t="shared" si="45"/>
        <v>3258983.5200000005</v>
      </c>
      <c r="S274" s="41"/>
      <c r="U274" s="42">
        <f t="shared" si="46"/>
        <v>2</v>
      </c>
      <c r="V274" s="42">
        <f t="shared" si="47"/>
        <v>-1</v>
      </c>
      <c r="W274" s="42">
        <f t="shared" si="48"/>
        <v>-1</v>
      </c>
    </row>
    <row r="275" spans="1:25" s="28" customFormat="1" ht="73.5" customHeight="1" x14ac:dyDescent="0.2">
      <c r="A275" s="30">
        <v>274</v>
      </c>
      <c r="B275" s="31" t="s">
        <v>387</v>
      </c>
      <c r="C275" s="32" t="s">
        <v>25</v>
      </c>
      <c r="D275" s="33">
        <v>48</v>
      </c>
      <c r="E275" s="34">
        <v>571.41999999999996</v>
      </c>
      <c r="F275" s="35">
        <v>902.6</v>
      </c>
      <c r="G275" s="32" t="s">
        <v>56</v>
      </c>
      <c r="H275" s="37">
        <v>921.12</v>
      </c>
      <c r="I275" s="38">
        <f t="shared" si="40"/>
        <v>44213.760000000002</v>
      </c>
      <c r="J275" s="32" t="s">
        <v>57</v>
      </c>
      <c r="K275" s="37">
        <v>899.34</v>
      </c>
      <c r="L275" s="38">
        <f t="shared" si="41"/>
        <v>43168.32</v>
      </c>
      <c r="M275" s="38" t="s">
        <v>68</v>
      </c>
      <c r="N275" s="37">
        <v>925.7</v>
      </c>
      <c r="O275" s="38">
        <f t="shared" si="42"/>
        <v>44433.600000000006</v>
      </c>
      <c r="P275" s="39">
        <f t="shared" si="43"/>
        <v>915.38666666666666</v>
      </c>
      <c r="Q275" s="40">
        <f t="shared" si="44"/>
        <v>-1.3968596148804124</v>
      </c>
      <c r="R275" s="39">
        <f t="shared" si="45"/>
        <v>43324.800000000003</v>
      </c>
      <c r="S275" s="41"/>
      <c r="U275" s="42">
        <f t="shared" si="46"/>
        <v>1</v>
      </c>
      <c r="V275" s="42">
        <f t="shared" si="47"/>
        <v>-2</v>
      </c>
      <c r="W275" s="42">
        <f t="shared" si="48"/>
        <v>1</v>
      </c>
    </row>
    <row r="276" spans="1:25" s="28" customFormat="1" ht="73.5" customHeight="1" x14ac:dyDescent="0.2">
      <c r="A276" s="30">
        <v>279</v>
      </c>
      <c r="B276" s="31" t="s">
        <v>388</v>
      </c>
      <c r="C276" s="32" t="s">
        <v>25</v>
      </c>
      <c r="D276" s="33">
        <v>40</v>
      </c>
      <c r="E276" s="34" t="s">
        <v>26</v>
      </c>
      <c r="F276" s="35">
        <v>835.7</v>
      </c>
      <c r="G276" s="32" t="s">
        <v>56</v>
      </c>
      <c r="H276" s="37">
        <v>811.5</v>
      </c>
      <c r="I276" s="38">
        <f t="shared" si="40"/>
        <v>32460</v>
      </c>
      <c r="J276" s="32" t="s">
        <v>57</v>
      </c>
      <c r="K276" s="37">
        <v>889.61</v>
      </c>
      <c r="L276" s="38">
        <f t="shared" si="41"/>
        <v>35584.400000000001</v>
      </c>
      <c r="M276" s="38" t="s">
        <v>68</v>
      </c>
      <c r="N276" s="37">
        <v>825.3</v>
      </c>
      <c r="O276" s="38">
        <f t="shared" si="42"/>
        <v>33012</v>
      </c>
      <c r="P276" s="39">
        <f t="shared" si="43"/>
        <v>842.13666666666666</v>
      </c>
      <c r="Q276" s="40">
        <f t="shared" si="44"/>
        <v>-0.76432566368879407</v>
      </c>
      <c r="R276" s="39">
        <f t="shared" si="45"/>
        <v>33428</v>
      </c>
      <c r="S276" s="41"/>
      <c r="U276" s="42">
        <f t="shared" si="46"/>
        <v>-4</v>
      </c>
      <c r="V276" s="42">
        <f t="shared" si="47"/>
        <v>6</v>
      </c>
      <c r="W276" s="42">
        <f t="shared" si="48"/>
        <v>-2</v>
      </c>
    </row>
    <row r="277" spans="1:25" s="28" customFormat="1" ht="73.5" customHeight="1" x14ac:dyDescent="0.2">
      <c r="A277" s="30">
        <v>280</v>
      </c>
      <c r="B277" s="31" t="s">
        <v>389</v>
      </c>
      <c r="C277" s="32" t="s">
        <v>390</v>
      </c>
      <c r="D277" s="33">
        <v>21</v>
      </c>
      <c r="E277" s="34" t="s">
        <v>26</v>
      </c>
      <c r="F277" s="35">
        <v>856.33</v>
      </c>
      <c r="G277" s="36" t="s">
        <v>27</v>
      </c>
      <c r="H277" s="37">
        <f>988.3/1.2</f>
        <v>823.58333333333337</v>
      </c>
      <c r="I277" s="38">
        <f t="shared" si="40"/>
        <v>17295.25</v>
      </c>
      <c r="J277" s="38" t="s">
        <v>28</v>
      </c>
      <c r="K277" s="37">
        <v>897.61</v>
      </c>
      <c r="L277" s="38">
        <f t="shared" si="41"/>
        <v>18849.810000000001</v>
      </c>
      <c r="M277" s="33" t="s">
        <v>29</v>
      </c>
      <c r="N277" s="37">
        <v>854.77</v>
      </c>
      <c r="O277" s="38">
        <f t="shared" si="42"/>
        <v>17950.169999999998</v>
      </c>
      <c r="P277" s="39">
        <f t="shared" si="43"/>
        <v>858.65444444444438</v>
      </c>
      <c r="Q277" s="40">
        <f t="shared" si="44"/>
        <v>-0.27070778698971765</v>
      </c>
      <c r="R277" s="39">
        <f t="shared" si="45"/>
        <v>17982.93</v>
      </c>
      <c r="S277" s="41"/>
      <c r="U277" s="42">
        <f t="shared" si="46"/>
        <v>-4</v>
      </c>
      <c r="V277" s="42">
        <f t="shared" si="47"/>
        <v>5</v>
      </c>
      <c r="W277" s="42">
        <f t="shared" si="48"/>
        <v>0</v>
      </c>
    </row>
    <row r="278" spans="1:25" s="28" customFormat="1" ht="73.5" customHeight="1" x14ac:dyDescent="0.2">
      <c r="A278" s="30">
        <v>281</v>
      </c>
      <c r="B278" s="31" t="s">
        <v>391</v>
      </c>
      <c r="C278" s="32" t="s">
        <v>392</v>
      </c>
      <c r="D278" s="33">
        <v>80</v>
      </c>
      <c r="E278" s="34"/>
      <c r="F278" s="35">
        <v>891.4</v>
      </c>
      <c r="G278" s="32" t="s">
        <v>27</v>
      </c>
      <c r="H278" s="37">
        <f>993.74/1.2</f>
        <v>828.11666666666667</v>
      </c>
      <c r="I278" s="38">
        <f t="shared" si="40"/>
        <v>66249.333333333328</v>
      </c>
      <c r="J278" s="38" t="s">
        <v>28</v>
      </c>
      <c r="K278" s="37">
        <v>910.49</v>
      </c>
      <c r="L278" s="38">
        <f t="shared" si="41"/>
        <v>72839.199999999997</v>
      </c>
      <c r="M278" s="33" t="s">
        <v>29</v>
      </c>
      <c r="N278" s="37">
        <v>941.56</v>
      </c>
      <c r="O278" s="38">
        <f t="shared" si="42"/>
        <v>75324.799999999988</v>
      </c>
      <c r="P278" s="39">
        <f t="shared" si="43"/>
        <v>893.3888888888888</v>
      </c>
      <c r="Q278" s="40">
        <f t="shared" si="44"/>
        <v>-0.22262297120825281</v>
      </c>
      <c r="R278" s="39">
        <f t="shared" si="45"/>
        <v>71312</v>
      </c>
      <c r="S278" s="41"/>
      <c r="U278" s="42">
        <f t="shared" si="46"/>
        <v>-7</v>
      </c>
      <c r="V278" s="42">
        <f t="shared" si="47"/>
        <v>2</v>
      </c>
      <c r="W278" s="42">
        <f t="shared" si="48"/>
        <v>5</v>
      </c>
    </row>
    <row r="279" spans="1:25" s="28" customFormat="1" ht="73.5" customHeight="1" x14ac:dyDescent="0.2">
      <c r="A279" s="30">
        <v>282</v>
      </c>
      <c r="B279" s="31" t="s">
        <v>393</v>
      </c>
      <c r="C279" s="32" t="s">
        <v>25</v>
      </c>
      <c r="D279" s="33">
        <v>44</v>
      </c>
      <c r="E279" s="34">
        <v>73059.55</v>
      </c>
      <c r="F279" s="35">
        <v>85001.4</v>
      </c>
      <c r="G279" s="32" t="s">
        <v>56</v>
      </c>
      <c r="H279" s="37">
        <v>85400.4</v>
      </c>
      <c r="I279" s="38">
        <f t="shared" si="40"/>
        <v>3757617.5999999996</v>
      </c>
      <c r="J279" s="32" t="s">
        <v>57</v>
      </c>
      <c r="K279" s="37">
        <v>83700.61</v>
      </c>
      <c r="L279" s="38">
        <f t="shared" si="41"/>
        <v>3682826.84</v>
      </c>
      <c r="M279" s="32" t="s">
        <v>119</v>
      </c>
      <c r="N279" s="37">
        <v>87712.52</v>
      </c>
      <c r="O279" s="38">
        <f t="shared" si="42"/>
        <v>3859350.8800000004</v>
      </c>
      <c r="P279" s="39">
        <f t="shared" si="43"/>
        <v>85604.510000000009</v>
      </c>
      <c r="Q279" s="40">
        <f t="shared" si="44"/>
        <v>-0.70453063746292344</v>
      </c>
      <c r="R279" s="39">
        <f t="shared" si="45"/>
        <v>3740061.5999999996</v>
      </c>
      <c r="S279" s="41"/>
      <c r="U279" s="42">
        <f t="shared" si="46"/>
        <v>0</v>
      </c>
      <c r="V279" s="42">
        <f t="shared" si="47"/>
        <v>-2</v>
      </c>
      <c r="W279" s="42">
        <f t="shared" si="48"/>
        <v>2</v>
      </c>
    </row>
    <row r="280" spans="1:25" s="28" customFormat="1" ht="129.75" customHeight="1" x14ac:dyDescent="0.2">
      <c r="A280" s="30">
        <v>284</v>
      </c>
      <c r="B280" s="31" t="s">
        <v>394</v>
      </c>
      <c r="C280" s="32" t="s">
        <v>65</v>
      </c>
      <c r="D280" s="33">
        <v>9</v>
      </c>
      <c r="E280" s="34">
        <v>10087.129999999999</v>
      </c>
      <c r="F280" s="35">
        <v>13200.5</v>
      </c>
      <c r="G280" s="36" t="s">
        <v>27</v>
      </c>
      <c r="H280" s="37">
        <f>14543.24/1.2</f>
        <v>12119.366666666667</v>
      </c>
      <c r="I280" s="38">
        <f t="shared" si="40"/>
        <v>109074.3</v>
      </c>
      <c r="J280" s="38" t="s">
        <v>28</v>
      </c>
      <c r="K280" s="37">
        <v>13540.62</v>
      </c>
      <c r="L280" s="38">
        <f t="shared" si="41"/>
        <v>121865.58</v>
      </c>
      <c r="M280" s="33" t="s">
        <v>29</v>
      </c>
      <c r="N280" s="37">
        <v>13974.2</v>
      </c>
      <c r="O280" s="38">
        <f t="shared" si="42"/>
        <v>125767.8</v>
      </c>
      <c r="P280" s="39">
        <f t="shared" si="43"/>
        <v>13211.395555555557</v>
      </c>
      <c r="Q280" s="40">
        <f t="shared" si="44"/>
        <v>-8.2470890450139223E-2</v>
      </c>
      <c r="R280" s="39">
        <f t="shared" si="45"/>
        <v>118804.5</v>
      </c>
      <c r="S280" s="41"/>
      <c r="U280" s="42">
        <f t="shared" si="46"/>
        <v>-8</v>
      </c>
      <c r="V280" s="42">
        <f t="shared" si="47"/>
        <v>2</v>
      </c>
      <c r="W280" s="42">
        <f t="shared" si="48"/>
        <v>6</v>
      </c>
    </row>
    <row r="281" spans="1:25" s="28" customFormat="1" ht="152.25" customHeight="1" x14ac:dyDescent="0.2">
      <c r="A281" s="30">
        <v>285</v>
      </c>
      <c r="B281" s="31" t="s">
        <v>395</v>
      </c>
      <c r="C281" s="32" t="s">
        <v>65</v>
      </c>
      <c r="D281" s="33">
        <v>6</v>
      </c>
      <c r="E281" s="34">
        <v>10712.49</v>
      </c>
      <c r="F281" s="35">
        <v>13054.66</v>
      </c>
      <c r="G281" s="36" t="s">
        <v>27</v>
      </c>
      <c r="H281" s="37">
        <f>15425.82/1.2</f>
        <v>12854.85</v>
      </c>
      <c r="I281" s="38">
        <f t="shared" si="40"/>
        <v>77129.100000000006</v>
      </c>
      <c r="J281" s="38" t="s">
        <v>28</v>
      </c>
      <c r="K281" s="37">
        <v>13002.74</v>
      </c>
      <c r="L281" s="38">
        <f t="shared" si="41"/>
        <v>78016.44</v>
      </c>
      <c r="M281" s="33" t="s">
        <v>29</v>
      </c>
      <c r="N281" s="37">
        <v>13566.4</v>
      </c>
      <c r="O281" s="38">
        <f t="shared" si="42"/>
        <v>81398.399999999994</v>
      </c>
      <c r="P281" s="39">
        <f t="shared" si="43"/>
        <v>13141.33</v>
      </c>
      <c r="Q281" s="40">
        <f t="shared" si="44"/>
        <v>-0.65952228579602945</v>
      </c>
      <c r="R281" s="39">
        <f t="shared" si="45"/>
        <v>78327.959999999992</v>
      </c>
      <c r="S281" s="41"/>
      <c r="U281" s="42">
        <f t="shared" si="46"/>
        <v>-2</v>
      </c>
      <c r="V281" s="42">
        <f t="shared" si="47"/>
        <v>-1</v>
      </c>
      <c r="W281" s="42">
        <f t="shared" si="48"/>
        <v>3</v>
      </c>
    </row>
    <row r="282" spans="1:25" s="28" customFormat="1" ht="73.5" customHeight="1" x14ac:dyDescent="0.2">
      <c r="A282" s="30">
        <v>290</v>
      </c>
      <c r="B282" s="31" t="s">
        <v>396</v>
      </c>
      <c r="C282" s="32" t="s">
        <v>25</v>
      </c>
      <c r="D282" s="33">
        <v>1</v>
      </c>
      <c r="E282" s="34">
        <v>3933.86</v>
      </c>
      <c r="F282" s="35">
        <v>16735.5</v>
      </c>
      <c r="G282" s="36" t="s">
        <v>27</v>
      </c>
      <c r="H282" s="37">
        <f>20044.48/1.2</f>
        <v>16703.733333333334</v>
      </c>
      <c r="I282" s="38">
        <f t="shared" si="40"/>
        <v>16703.733333333334</v>
      </c>
      <c r="J282" s="38" t="s">
        <v>28</v>
      </c>
      <c r="K282" s="37">
        <v>16540.53</v>
      </c>
      <c r="L282" s="38">
        <f t="shared" si="41"/>
        <v>16540.53</v>
      </c>
      <c r="M282" s="33" t="s">
        <v>29</v>
      </c>
      <c r="N282" s="37">
        <v>17010</v>
      </c>
      <c r="O282" s="38">
        <f t="shared" si="42"/>
        <v>17010</v>
      </c>
      <c r="P282" s="39">
        <f t="shared" si="43"/>
        <v>16751.421111111111</v>
      </c>
      <c r="Q282" s="40">
        <f t="shared" si="44"/>
        <v>-9.5043345907825483E-2</v>
      </c>
      <c r="R282" s="39">
        <f t="shared" si="45"/>
        <v>16735.5</v>
      </c>
      <c r="S282" s="57"/>
      <c r="U282" s="42">
        <f t="shared" si="46"/>
        <v>0</v>
      </c>
      <c r="V282" s="42">
        <f t="shared" si="47"/>
        <v>-1</v>
      </c>
      <c r="W282" s="42">
        <f t="shared" si="48"/>
        <v>2</v>
      </c>
    </row>
    <row r="283" spans="1:25" s="28" customFormat="1" ht="73.5" customHeight="1" x14ac:dyDescent="0.2">
      <c r="A283" s="30">
        <v>291</v>
      </c>
      <c r="B283" s="31" t="s">
        <v>397</v>
      </c>
      <c r="C283" s="32" t="s">
        <v>25</v>
      </c>
      <c r="D283" s="33">
        <v>1</v>
      </c>
      <c r="E283" s="34">
        <v>1841.37</v>
      </c>
      <c r="F283" s="35">
        <v>2330.77</v>
      </c>
      <c r="G283" s="36" t="s">
        <v>27</v>
      </c>
      <c r="H283" s="37">
        <f>2628.72/1.2</f>
        <v>2190.6</v>
      </c>
      <c r="I283" s="38">
        <f t="shared" si="40"/>
        <v>2190.6</v>
      </c>
      <c r="J283" s="38" t="s">
        <v>28</v>
      </c>
      <c r="K283" s="37">
        <v>2345.6799999999998</v>
      </c>
      <c r="L283" s="38">
        <f t="shared" si="41"/>
        <v>2345.6799999999998</v>
      </c>
      <c r="M283" s="33" t="s">
        <v>29</v>
      </c>
      <c r="N283" s="37">
        <v>2487.1999999999998</v>
      </c>
      <c r="O283" s="38">
        <f t="shared" si="42"/>
        <v>2487.1999999999998</v>
      </c>
      <c r="P283" s="39">
        <f t="shared" si="43"/>
        <v>2341.16</v>
      </c>
      <c r="Q283" s="40">
        <f t="shared" si="44"/>
        <v>-0.44379709203984419</v>
      </c>
      <c r="R283" s="39">
        <f t="shared" si="45"/>
        <v>2330.77</v>
      </c>
      <c r="S283" s="41"/>
      <c r="U283" s="42">
        <f t="shared" si="46"/>
        <v>-6</v>
      </c>
      <c r="V283" s="42">
        <f t="shared" si="47"/>
        <v>0</v>
      </c>
      <c r="W283" s="42">
        <f t="shared" si="48"/>
        <v>6</v>
      </c>
    </row>
    <row r="284" spans="1:25" s="28" customFormat="1" ht="73.5" customHeight="1" x14ac:dyDescent="0.2">
      <c r="A284" s="30">
        <v>292</v>
      </c>
      <c r="B284" s="31" t="s">
        <v>398</v>
      </c>
      <c r="C284" s="32" t="s">
        <v>25</v>
      </c>
      <c r="D284" s="33">
        <v>2</v>
      </c>
      <c r="E284" s="34">
        <v>1841.37</v>
      </c>
      <c r="F284" s="35">
        <v>3600</v>
      </c>
      <c r="G284" s="36" t="s">
        <v>27</v>
      </c>
      <c r="H284" s="37">
        <f>3915.81/1.2</f>
        <v>3263.1750000000002</v>
      </c>
      <c r="I284" s="38">
        <f t="shared" si="40"/>
        <v>6526.35</v>
      </c>
      <c r="J284" s="38" t="s">
        <v>28</v>
      </c>
      <c r="K284" s="37">
        <v>3604.32</v>
      </c>
      <c r="L284" s="38">
        <f t="shared" si="41"/>
        <v>7208.64</v>
      </c>
      <c r="M284" s="33" t="s">
        <v>29</v>
      </c>
      <c r="N284" s="37">
        <v>3954.31</v>
      </c>
      <c r="O284" s="38">
        <f t="shared" si="42"/>
        <v>7908.62</v>
      </c>
      <c r="P284" s="39">
        <f t="shared" si="43"/>
        <v>3607.2683333333334</v>
      </c>
      <c r="Q284" s="40">
        <f t="shared" si="44"/>
        <v>-0.20149134086227605</v>
      </c>
      <c r="R284" s="39">
        <f t="shared" si="45"/>
        <v>7200</v>
      </c>
      <c r="S284" s="41"/>
      <c r="U284" s="42">
        <f t="shared" si="46"/>
        <v>-10</v>
      </c>
      <c r="V284" s="42">
        <f t="shared" si="47"/>
        <v>0</v>
      </c>
      <c r="W284" s="42">
        <f t="shared" si="48"/>
        <v>10</v>
      </c>
    </row>
    <row r="285" spans="1:25" s="28" customFormat="1" ht="73.5" customHeight="1" x14ac:dyDescent="0.2">
      <c r="A285" s="30">
        <v>293</v>
      </c>
      <c r="B285" s="31" t="s">
        <v>399</v>
      </c>
      <c r="C285" s="32" t="s">
        <v>25</v>
      </c>
      <c r="D285" s="33">
        <v>1</v>
      </c>
      <c r="E285" s="34">
        <v>6174.53</v>
      </c>
      <c r="F285" s="35">
        <v>6600.75</v>
      </c>
      <c r="G285" s="32" t="s">
        <v>27</v>
      </c>
      <c r="H285" s="37">
        <f>7630.45/1.2</f>
        <v>6358.708333333333</v>
      </c>
      <c r="I285" s="38">
        <f t="shared" si="40"/>
        <v>6358.708333333333</v>
      </c>
      <c r="J285" s="38" t="s">
        <v>28</v>
      </c>
      <c r="K285" s="37">
        <v>6468.15</v>
      </c>
      <c r="L285" s="38">
        <f t="shared" si="41"/>
        <v>6468.15</v>
      </c>
      <c r="M285" s="33" t="s">
        <v>29</v>
      </c>
      <c r="N285" s="37">
        <v>7020.16</v>
      </c>
      <c r="O285" s="38">
        <f t="shared" si="42"/>
        <v>7020.16</v>
      </c>
      <c r="P285" s="39">
        <f t="shared" si="43"/>
        <v>6615.6727777777778</v>
      </c>
      <c r="Q285" s="40">
        <f t="shared" si="44"/>
        <v>-0.22556704781264614</v>
      </c>
      <c r="R285" s="39">
        <f t="shared" si="45"/>
        <v>6600.75</v>
      </c>
      <c r="S285" s="41"/>
      <c r="U285" s="42">
        <f t="shared" si="46"/>
        <v>-4</v>
      </c>
      <c r="V285" s="42">
        <f t="shared" si="47"/>
        <v>-2</v>
      </c>
      <c r="W285" s="42">
        <f t="shared" si="48"/>
        <v>6</v>
      </c>
    </row>
    <row r="286" spans="1:25" s="28" customFormat="1" ht="73.5" customHeight="1" x14ac:dyDescent="0.2">
      <c r="A286" s="30">
        <v>295</v>
      </c>
      <c r="B286" s="31" t="s">
        <v>400</v>
      </c>
      <c r="C286" s="32" t="s">
        <v>25</v>
      </c>
      <c r="D286" s="33">
        <v>2</v>
      </c>
      <c r="E286" s="34" t="s">
        <v>26</v>
      </c>
      <c r="F286" s="35">
        <v>27700.560000000001</v>
      </c>
      <c r="G286" s="32" t="s">
        <v>27</v>
      </c>
      <c r="H286" s="37">
        <f>32738.89/1.2</f>
        <v>27282.408333333333</v>
      </c>
      <c r="I286" s="38">
        <f t="shared" si="40"/>
        <v>54564.816666666666</v>
      </c>
      <c r="J286" s="38" t="s">
        <v>28</v>
      </c>
      <c r="K286" s="37">
        <v>28314.240000000002</v>
      </c>
      <c r="L286" s="38">
        <f t="shared" si="41"/>
        <v>56628.480000000003</v>
      </c>
      <c r="M286" s="33" t="s">
        <v>29</v>
      </c>
      <c r="N286" s="37">
        <v>27597.599999999999</v>
      </c>
      <c r="O286" s="38">
        <f t="shared" si="42"/>
        <v>55195.199999999997</v>
      </c>
      <c r="P286" s="39">
        <f t="shared" si="43"/>
        <v>27731.416111111106</v>
      </c>
      <c r="Q286" s="40">
        <f t="shared" si="44"/>
        <v>-0.11126770803004149</v>
      </c>
      <c r="R286" s="39">
        <f t="shared" si="45"/>
        <v>55401.120000000003</v>
      </c>
      <c r="S286" s="41"/>
      <c r="U286" s="42">
        <f t="shared" si="46"/>
        <v>-2</v>
      </c>
      <c r="V286" s="42">
        <f t="shared" si="47"/>
        <v>2</v>
      </c>
      <c r="W286" s="42">
        <f t="shared" si="48"/>
        <v>0</v>
      </c>
    </row>
    <row r="287" spans="1:25" s="28" customFormat="1" ht="73.5" customHeight="1" x14ac:dyDescent="0.2">
      <c r="A287" s="30">
        <v>296</v>
      </c>
      <c r="B287" s="31" t="s">
        <v>401</v>
      </c>
      <c r="C287" s="32" t="s">
        <v>25</v>
      </c>
      <c r="D287" s="33">
        <v>1</v>
      </c>
      <c r="E287" s="34">
        <v>36961.480000000003</v>
      </c>
      <c r="F287" s="35">
        <v>46300.5</v>
      </c>
      <c r="G287" s="32" t="s">
        <v>27</v>
      </c>
      <c r="H287" s="37">
        <f>54979.55/1.2</f>
        <v>45816.291666666672</v>
      </c>
      <c r="I287" s="38">
        <f t="shared" si="40"/>
        <v>45816.291666666672</v>
      </c>
      <c r="J287" s="38" t="s">
        <v>28</v>
      </c>
      <c r="K287" s="37">
        <v>46315.48</v>
      </c>
      <c r="L287" s="38">
        <f t="shared" si="41"/>
        <v>46315.48</v>
      </c>
      <c r="M287" s="33" t="s">
        <v>29</v>
      </c>
      <c r="N287" s="37">
        <v>46780.3</v>
      </c>
      <c r="O287" s="38">
        <f t="shared" si="42"/>
        <v>46780.3</v>
      </c>
      <c r="P287" s="39">
        <f t="shared" si="43"/>
        <v>46304.023888888885</v>
      </c>
      <c r="Q287" s="40">
        <f t="shared" si="44"/>
        <v>-7.6103297141969506E-3</v>
      </c>
      <c r="R287" s="39">
        <f t="shared" si="45"/>
        <v>46300.5</v>
      </c>
      <c r="S287" s="41"/>
      <c r="U287" s="42">
        <f t="shared" si="46"/>
        <v>-1</v>
      </c>
      <c r="V287" s="42">
        <f t="shared" si="47"/>
        <v>0</v>
      </c>
      <c r="W287" s="42">
        <f t="shared" si="48"/>
        <v>1</v>
      </c>
    </row>
    <row r="288" spans="1:25" s="28" customFormat="1" ht="73.5" hidden="1" customHeight="1" x14ac:dyDescent="0.2">
      <c r="A288" s="30">
        <v>297</v>
      </c>
      <c r="B288" s="31" t="s">
        <v>402</v>
      </c>
      <c r="C288" s="32" t="s">
        <v>147</v>
      </c>
      <c r="D288" s="33">
        <v>2</v>
      </c>
      <c r="E288" s="34">
        <v>41.08</v>
      </c>
      <c r="F288" s="35">
        <v>42.3</v>
      </c>
      <c r="G288" s="32" t="s">
        <v>27</v>
      </c>
      <c r="H288" s="37">
        <f>50.03/1.2</f>
        <v>41.69166666666667</v>
      </c>
      <c r="I288" s="38">
        <f t="shared" si="40"/>
        <v>83.38333333333334</v>
      </c>
      <c r="J288" s="38" t="s">
        <v>28</v>
      </c>
      <c r="K288" s="37">
        <v>42.01</v>
      </c>
      <c r="L288" s="38">
        <f t="shared" si="41"/>
        <v>84.02</v>
      </c>
      <c r="M288" s="33" t="s">
        <v>29</v>
      </c>
      <c r="N288" s="37">
        <v>44.25</v>
      </c>
      <c r="O288" s="38">
        <f t="shared" si="42"/>
        <v>88.5</v>
      </c>
      <c r="P288" s="39">
        <f t="shared" si="43"/>
        <v>42.650555555555556</v>
      </c>
      <c r="Q288" s="40">
        <f t="shared" si="44"/>
        <v>-0.82192494561748219</v>
      </c>
      <c r="R288" s="39">
        <f t="shared" si="45"/>
        <v>84.6</v>
      </c>
      <c r="S288" s="47" t="s">
        <v>116</v>
      </c>
      <c r="U288" s="42">
        <f t="shared" si="46"/>
        <v>-2</v>
      </c>
      <c r="V288" s="42">
        <f t="shared" si="47"/>
        <v>-2</v>
      </c>
      <c r="W288" s="42">
        <f t="shared" si="48"/>
        <v>4</v>
      </c>
      <c r="Y288" s="28">
        <v>286</v>
      </c>
    </row>
    <row r="289" spans="1:25" s="28" customFormat="1" ht="73.5" hidden="1" customHeight="1" x14ac:dyDescent="0.2">
      <c r="A289" s="30">
        <v>298</v>
      </c>
      <c r="B289" s="31" t="s">
        <v>403</v>
      </c>
      <c r="C289" s="32" t="s">
        <v>147</v>
      </c>
      <c r="D289" s="33">
        <v>10</v>
      </c>
      <c r="E289" s="34">
        <v>19.62</v>
      </c>
      <c r="F289" s="35">
        <v>21.55</v>
      </c>
      <c r="G289" s="32" t="s">
        <v>27</v>
      </c>
      <c r="H289" s="37">
        <f>23.86/1.2</f>
        <v>19.883333333333333</v>
      </c>
      <c r="I289" s="38">
        <f t="shared" si="40"/>
        <v>198.83333333333331</v>
      </c>
      <c r="J289" s="38" t="s">
        <v>28</v>
      </c>
      <c r="K289" s="37">
        <v>23.66</v>
      </c>
      <c r="L289" s="38">
        <f t="shared" si="41"/>
        <v>236.6</v>
      </c>
      <c r="M289" s="33" t="s">
        <v>29</v>
      </c>
      <c r="N289" s="37">
        <v>21.7</v>
      </c>
      <c r="O289" s="38">
        <f t="shared" si="42"/>
        <v>217</v>
      </c>
      <c r="P289" s="39">
        <f t="shared" si="43"/>
        <v>21.747777777777781</v>
      </c>
      <c r="Q289" s="40">
        <f t="shared" si="44"/>
        <v>-0.90941603228939982</v>
      </c>
      <c r="R289" s="39">
        <f t="shared" si="45"/>
        <v>215.5</v>
      </c>
      <c r="S289" s="47" t="s">
        <v>116</v>
      </c>
      <c r="U289" s="42">
        <f t="shared" si="46"/>
        <v>-9</v>
      </c>
      <c r="V289" s="42">
        <f t="shared" si="47"/>
        <v>9</v>
      </c>
      <c r="W289" s="42">
        <f t="shared" si="48"/>
        <v>0</v>
      </c>
      <c r="Y289" s="28">
        <v>287</v>
      </c>
    </row>
    <row r="290" spans="1:25" s="28" customFormat="1" ht="73.5" hidden="1" customHeight="1" x14ac:dyDescent="0.2">
      <c r="A290" s="30">
        <v>299</v>
      </c>
      <c r="B290" s="31" t="s">
        <v>404</v>
      </c>
      <c r="C290" s="32" t="s">
        <v>147</v>
      </c>
      <c r="D290" s="33">
        <v>2</v>
      </c>
      <c r="E290" s="34">
        <v>15.79</v>
      </c>
      <c r="F290" s="35">
        <v>17.5</v>
      </c>
      <c r="G290" s="32" t="s">
        <v>27</v>
      </c>
      <c r="H290" s="37">
        <f>19.58/1.2</f>
        <v>16.316666666666666</v>
      </c>
      <c r="I290" s="38">
        <f t="shared" si="40"/>
        <v>32.633333333333333</v>
      </c>
      <c r="J290" s="38" t="s">
        <v>28</v>
      </c>
      <c r="K290" s="37">
        <v>17.739999999999998</v>
      </c>
      <c r="L290" s="38">
        <f t="shared" si="41"/>
        <v>35.479999999999997</v>
      </c>
      <c r="M290" s="33" t="s">
        <v>29</v>
      </c>
      <c r="N290" s="37">
        <v>19.7</v>
      </c>
      <c r="O290" s="38">
        <f t="shared" si="42"/>
        <v>39.4</v>
      </c>
      <c r="P290" s="39">
        <f t="shared" si="43"/>
        <v>17.918888888888887</v>
      </c>
      <c r="Q290" s="40">
        <f t="shared" si="44"/>
        <v>-2.3376945495132304</v>
      </c>
      <c r="R290" s="39">
        <f t="shared" si="45"/>
        <v>35</v>
      </c>
      <c r="S290" s="47" t="s">
        <v>116</v>
      </c>
      <c r="U290" s="42">
        <f t="shared" si="46"/>
        <v>-9</v>
      </c>
      <c r="V290" s="42">
        <f t="shared" si="47"/>
        <v>-1</v>
      </c>
      <c r="W290" s="42">
        <f t="shared" si="48"/>
        <v>10</v>
      </c>
      <c r="Y290" s="28">
        <v>288</v>
      </c>
    </row>
    <row r="291" spans="1:25" s="28" customFormat="1" ht="73.5" hidden="1" customHeight="1" x14ac:dyDescent="0.2">
      <c r="A291" s="30">
        <v>300</v>
      </c>
      <c r="B291" s="31" t="s">
        <v>405</v>
      </c>
      <c r="C291" s="32" t="s">
        <v>147</v>
      </c>
      <c r="D291" s="33">
        <v>10</v>
      </c>
      <c r="E291" s="34">
        <v>38.33</v>
      </c>
      <c r="F291" s="35">
        <v>48.02</v>
      </c>
      <c r="G291" s="32" t="s">
        <v>27</v>
      </c>
      <c r="H291" s="37">
        <f>55.42/1.2</f>
        <v>46.183333333333337</v>
      </c>
      <c r="I291" s="38">
        <f t="shared" si="40"/>
        <v>461.83333333333337</v>
      </c>
      <c r="J291" s="38" t="s">
        <v>28</v>
      </c>
      <c r="K291" s="37">
        <v>51.47</v>
      </c>
      <c r="L291" s="38">
        <f t="shared" si="41"/>
        <v>514.70000000000005</v>
      </c>
      <c r="M291" s="33" t="s">
        <v>29</v>
      </c>
      <c r="N291" s="37">
        <v>48.63</v>
      </c>
      <c r="O291" s="38">
        <f t="shared" si="42"/>
        <v>486.3</v>
      </c>
      <c r="P291" s="39">
        <f t="shared" si="43"/>
        <v>48.761111111111113</v>
      </c>
      <c r="Q291" s="40">
        <f t="shared" si="44"/>
        <v>-1.5198815084880977</v>
      </c>
      <c r="R291" s="39">
        <f t="shared" si="45"/>
        <v>480.20000000000005</v>
      </c>
      <c r="S291" s="47" t="s">
        <v>116</v>
      </c>
      <c r="U291" s="42">
        <f t="shared" si="46"/>
        <v>-5</v>
      </c>
      <c r="V291" s="42">
        <f t="shared" si="47"/>
        <v>6</v>
      </c>
      <c r="W291" s="42">
        <f t="shared" si="48"/>
        <v>0</v>
      </c>
      <c r="Y291" s="28">
        <v>289</v>
      </c>
    </row>
    <row r="292" spans="1:25" s="28" customFormat="1" ht="73.5" customHeight="1" x14ac:dyDescent="0.2">
      <c r="A292" s="30">
        <v>301</v>
      </c>
      <c r="B292" s="31" t="s">
        <v>406</v>
      </c>
      <c r="C292" s="32" t="s">
        <v>25</v>
      </c>
      <c r="D292" s="33">
        <v>4</v>
      </c>
      <c r="E292" s="34" t="s">
        <v>26</v>
      </c>
      <c r="F292" s="35">
        <v>869.7</v>
      </c>
      <c r="G292" s="32" t="s">
        <v>27</v>
      </c>
      <c r="H292" s="37">
        <f>998.09/1.2</f>
        <v>831.74166666666667</v>
      </c>
      <c r="I292" s="38">
        <f t="shared" ref="I292:I323" si="49">D292*H292</f>
        <v>3326.9666666666667</v>
      </c>
      <c r="J292" s="38" t="s">
        <v>28</v>
      </c>
      <c r="K292" s="37">
        <v>864.2</v>
      </c>
      <c r="L292" s="38">
        <f t="shared" si="41"/>
        <v>3456.8</v>
      </c>
      <c r="M292" s="33" t="s">
        <v>29</v>
      </c>
      <c r="N292" s="37">
        <v>921.4</v>
      </c>
      <c r="O292" s="38">
        <f t="shared" si="42"/>
        <v>3685.6</v>
      </c>
      <c r="P292" s="39">
        <f t="shared" si="43"/>
        <v>872.44722222222219</v>
      </c>
      <c r="Q292" s="40">
        <f t="shared" si="44"/>
        <v>-0.31488692407371843</v>
      </c>
      <c r="R292" s="39">
        <f t="shared" si="45"/>
        <v>3478.8</v>
      </c>
      <c r="S292" s="48"/>
      <c r="U292" s="42">
        <f t="shared" si="46"/>
        <v>-5</v>
      </c>
      <c r="V292" s="42">
        <f t="shared" si="47"/>
        <v>-1</v>
      </c>
      <c r="W292" s="42">
        <f t="shared" si="48"/>
        <v>6</v>
      </c>
    </row>
    <row r="293" spans="1:25" s="28" customFormat="1" ht="73.5" customHeight="1" x14ac:dyDescent="0.2">
      <c r="A293" s="30">
        <v>302</v>
      </c>
      <c r="B293" s="31" t="s">
        <v>407</v>
      </c>
      <c r="C293" s="32" t="s">
        <v>25</v>
      </c>
      <c r="D293" s="33">
        <v>100</v>
      </c>
      <c r="E293" s="34">
        <v>1579.17</v>
      </c>
      <c r="F293" s="35">
        <v>2075.4</v>
      </c>
      <c r="G293" s="32" t="s">
        <v>56</v>
      </c>
      <c r="H293" s="37">
        <v>2105.69</v>
      </c>
      <c r="I293" s="38">
        <f t="shared" si="49"/>
        <v>210569</v>
      </c>
      <c r="J293" s="32" t="s">
        <v>57</v>
      </c>
      <c r="K293" s="37">
        <v>1929.86</v>
      </c>
      <c r="L293" s="38">
        <f t="shared" si="41"/>
        <v>192986</v>
      </c>
      <c r="M293" s="32" t="s">
        <v>119</v>
      </c>
      <c r="N293" s="37">
        <v>2201.34</v>
      </c>
      <c r="O293" s="38">
        <f t="shared" si="42"/>
        <v>220134</v>
      </c>
      <c r="P293" s="39">
        <f t="shared" si="43"/>
        <v>2078.9633333333336</v>
      </c>
      <c r="Q293" s="40">
        <f t="shared" si="44"/>
        <v>-0.17139952764921418</v>
      </c>
      <c r="R293" s="39">
        <f t="shared" si="45"/>
        <v>207540</v>
      </c>
      <c r="S293" s="48"/>
      <c r="U293" s="42">
        <f t="shared" si="46"/>
        <v>1</v>
      </c>
      <c r="V293" s="42">
        <f t="shared" si="47"/>
        <v>-7</v>
      </c>
      <c r="W293" s="42">
        <f t="shared" si="48"/>
        <v>6</v>
      </c>
    </row>
    <row r="294" spans="1:25" s="28" customFormat="1" ht="73.5" customHeight="1" x14ac:dyDescent="0.2">
      <c r="A294" s="30">
        <v>303</v>
      </c>
      <c r="B294" s="31" t="s">
        <v>408</v>
      </c>
      <c r="C294" s="32" t="s">
        <v>25</v>
      </c>
      <c r="D294" s="33">
        <v>10</v>
      </c>
      <c r="E294" s="34">
        <v>1698.61</v>
      </c>
      <c r="F294" s="35">
        <v>1865.8</v>
      </c>
      <c r="G294" s="32" t="s">
        <v>27</v>
      </c>
      <c r="H294" s="37">
        <f>2139.16/1.2</f>
        <v>1782.6333333333332</v>
      </c>
      <c r="I294" s="38">
        <f t="shared" si="49"/>
        <v>17826.333333333332</v>
      </c>
      <c r="J294" s="38" t="s">
        <v>28</v>
      </c>
      <c r="K294" s="37">
        <v>1874.56</v>
      </c>
      <c r="L294" s="38">
        <f t="shared" si="41"/>
        <v>18745.599999999999</v>
      </c>
      <c r="M294" s="33" t="s">
        <v>29</v>
      </c>
      <c r="N294" s="37">
        <v>1947.3</v>
      </c>
      <c r="O294" s="38">
        <f t="shared" si="42"/>
        <v>19473</v>
      </c>
      <c r="P294" s="39">
        <f t="shared" si="43"/>
        <v>1868.1644444444444</v>
      </c>
      <c r="Q294" s="40">
        <f t="shared" si="44"/>
        <v>-0.12656511323056918</v>
      </c>
      <c r="R294" s="39">
        <f t="shared" si="45"/>
        <v>18658</v>
      </c>
      <c r="S294" s="48"/>
      <c r="U294" s="42">
        <f t="shared" si="46"/>
        <v>-5</v>
      </c>
      <c r="V294" s="42">
        <f t="shared" si="47"/>
        <v>0</v>
      </c>
      <c r="W294" s="42">
        <f t="shared" si="48"/>
        <v>4</v>
      </c>
    </row>
    <row r="295" spans="1:25" s="28" customFormat="1" ht="73.5" customHeight="1" x14ac:dyDescent="0.2">
      <c r="A295" s="30">
        <v>304</v>
      </c>
      <c r="B295" s="31" t="s">
        <v>409</v>
      </c>
      <c r="C295" s="32" t="s">
        <v>25</v>
      </c>
      <c r="D295" s="33">
        <v>2</v>
      </c>
      <c r="E295" s="34" t="s">
        <v>26</v>
      </c>
      <c r="F295" s="35">
        <v>31990.5</v>
      </c>
      <c r="G295" s="32" t="s">
        <v>27</v>
      </c>
      <c r="H295" s="37">
        <f>37069.36/1.2</f>
        <v>30891.133333333335</v>
      </c>
      <c r="I295" s="38">
        <f t="shared" si="49"/>
        <v>61782.26666666667</v>
      </c>
      <c r="J295" s="38" t="s">
        <v>28</v>
      </c>
      <c r="K295" s="37">
        <v>32114.720000000001</v>
      </c>
      <c r="L295" s="38">
        <f t="shared" si="41"/>
        <v>64229.440000000002</v>
      </c>
      <c r="M295" s="33" t="s">
        <v>29</v>
      </c>
      <c r="N295" s="37">
        <v>32972.6</v>
      </c>
      <c r="O295" s="38">
        <f t="shared" si="42"/>
        <v>65945.2</v>
      </c>
      <c r="P295" s="39">
        <f t="shared" si="43"/>
        <v>31992.817777777778</v>
      </c>
      <c r="Q295" s="40">
        <f t="shared" si="44"/>
        <v>-7.2446815840834233E-3</v>
      </c>
      <c r="R295" s="39">
        <f t="shared" si="45"/>
        <v>63981</v>
      </c>
      <c r="S295" s="48"/>
      <c r="U295" s="42">
        <f t="shared" si="46"/>
        <v>-3</v>
      </c>
      <c r="V295" s="42">
        <f t="shared" si="47"/>
        <v>0</v>
      </c>
      <c r="W295" s="42">
        <f t="shared" si="48"/>
        <v>3</v>
      </c>
    </row>
    <row r="296" spans="1:25" s="28" customFormat="1" ht="73.5" hidden="1" customHeight="1" x14ac:dyDescent="0.2">
      <c r="A296" s="30">
        <v>305</v>
      </c>
      <c r="B296" s="31" t="s">
        <v>410</v>
      </c>
      <c r="C296" s="32" t="s">
        <v>25</v>
      </c>
      <c r="D296" s="33">
        <v>20</v>
      </c>
      <c r="E296" s="34">
        <v>84.32</v>
      </c>
      <c r="F296" s="35">
        <v>110.4</v>
      </c>
      <c r="G296" s="32" t="s">
        <v>27</v>
      </c>
      <c r="H296" s="37">
        <f>130.26/1.2</f>
        <v>108.55</v>
      </c>
      <c r="I296" s="38">
        <f t="shared" si="49"/>
        <v>2171</v>
      </c>
      <c r="J296" s="38" t="s">
        <v>28</v>
      </c>
      <c r="K296" s="37">
        <v>110.5</v>
      </c>
      <c r="L296" s="38">
        <f t="shared" si="41"/>
        <v>2210</v>
      </c>
      <c r="M296" s="33" t="s">
        <v>29</v>
      </c>
      <c r="N296" s="37">
        <v>114.8</v>
      </c>
      <c r="O296" s="38">
        <f t="shared" si="42"/>
        <v>2296</v>
      </c>
      <c r="P296" s="39">
        <f t="shared" si="43"/>
        <v>111.28333333333335</v>
      </c>
      <c r="Q296" s="40">
        <f t="shared" si="44"/>
        <v>-0.79376965703161773</v>
      </c>
      <c r="R296" s="39">
        <f t="shared" si="45"/>
        <v>2208</v>
      </c>
      <c r="S296" s="47" t="s">
        <v>116</v>
      </c>
      <c r="U296" s="42">
        <f t="shared" si="46"/>
        <v>-2</v>
      </c>
      <c r="V296" s="42">
        <f t="shared" si="47"/>
        <v>-1</v>
      </c>
      <c r="W296" s="42">
        <f t="shared" si="48"/>
        <v>3</v>
      </c>
      <c r="Y296" s="28">
        <v>294</v>
      </c>
    </row>
    <row r="297" spans="1:25" s="28" customFormat="1" ht="73.5" customHeight="1" x14ac:dyDescent="0.2">
      <c r="A297" s="30">
        <v>306</v>
      </c>
      <c r="B297" s="31" t="s">
        <v>411</v>
      </c>
      <c r="C297" s="32" t="s">
        <v>25</v>
      </c>
      <c r="D297" s="33">
        <v>1</v>
      </c>
      <c r="E297" s="34">
        <v>2607.7399999999998</v>
      </c>
      <c r="F297" s="35">
        <v>2664.2</v>
      </c>
      <c r="G297" s="32" t="s">
        <v>27</v>
      </c>
      <c r="H297" s="37">
        <f>3124.54/1.2</f>
        <v>2603.7833333333333</v>
      </c>
      <c r="I297" s="38">
        <f t="shared" si="49"/>
        <v>2603.7833333333333</v>
      </c>
      <c r="J297" s="38" t="s">
        <v>28</v>
      </c>
      <c r="K297" s="37">
        <v>2754.12</v>
      </c>
      <c r="L297" s="38">
        <f t="shared" si="41"/>
        <v>2754.12</v>
      </c>
      <c r="M297" s="33" t="s">
        <v>29</v>
      </c>
      <c r="N297" s="37">
        <v>2697.35</v>
      </c>
      <c r="O297" s="38">
        <f t="shared" si="42"/>
        <v>2697.35</v>
      </c>
      <c r="P297" s="39">
        <f t="shared" si="43"/>
        <v>2685.0844444444447</v>
      </c>
      <c r="Q297" s="40">
        <f t="shared" si="44"/>
        <v>-0.77779469795281386</v>
      </c>
      <c r="R297" s="39">
        <f t="shared" si="45"/>
        <v>2664.2</v>
      </c>
      <c r="S297" s="48"/>
      <c r="U297" s="42">
        <f t="shared" si="46"/>
        <v>-3</v>
      </c>
      <c r="V297" s="42">
        <f t="shared" si="47"/>
        <v>3</v>
      </c>
      <c r="W297" s="42">
        <f t="shared" si="48"/>
        <v>0</v>
      </c>
    </row>
    <row r="298" spans="1:25" s="28" customFormat="1" ht="73.5" customHeight="1" x14ac:dyDescent="0.2">
      <c r="A298" s="30">
        <v>307</v>
      </c>
      <c r="B298" s="31" t="s">
        <v>412</v>
      </c>
      <c r="C298" s="32" t="s">
        <v>25</v>
      </c>
      <c r="D298" s="33">
        <v>1250</v>
      </c>
      <c r="E298" s="34" t="s">
        <v>26</v>
      </c>
      <c r="F298" s="35">
        <v>1.37</v>
      </c>
      <c r="G298" s="32" t="s">
        <v>27</v>
      </c>
      <c r="H298" s="37">
        <f>1.55/1.2</f>
        <v>1.2916666666666667</v>
      </c>
      <c r="I298" s="38">
        <f t="shared" si="49"/>
        <v>1614.5833333333335</v>
      </c>
      <c r="J298" s="38" t="s">
        <v>28</v>
      </c>
      <c r="K298" s="37">
        <v>1.36</v>
      </c>
      <c r="L298" s="38">
        <f t="shared" si="41"/>
        <v>1700.0000000000002</v>
      </c>
      <c r="M298" s="33" t="s">
        <v>29</v>
      </c>
      <c r="N298" s="37">
        <v>1.51</v>
      </c>
      <c r="O298" s="38">
        <f t="shared" si="42"/>
        <v>1887.5</v>
      </c>
      <c r="P298" s="39">
        <f t="shared" si="43"/>
        <v>1.3872222222222224</v>
      </c>
      <c r="Q298" s="40">
        <f t="shared" si="44"/>
        <v>-1.2414897877453086</v>
      </c>
      <c r="R298" s="39">
        <f t="shared" si="45"/>
        <v>1712.5000000000002</v>
      </c>
      <c r="S298" s="48"/>
      <c r="U298" s="42">
        <f t="shared" si="46"/>
        <v>-7</v>
      </c>
      <c r="V298" s="42">
        <f t="shared" si="47"/>
        <v>-2</v>
      </c>
      <c r="W298" s="42">
        <f t="shared" si="48"/>
        <v>9</v>
      </c>
    </row>
    <row r="299" spans="1:25" s="28" customFormat="1" ht="73.5" customHeight="1" x14ac:dyDescent="0.2">
      <c r="A299" s="30">
        <v>308</v>
      </c>
      <c r="B299" s="31" t="s">
        <v>413</v>
      </c>
      <c r="C299" s="32" t="s">
        <v>25</v>
      </c>
      <c r="D299" s="33">
        <v>80</v>
      </c>
      <c r="E299" s="34">
        <v>0.94</v>
      </c>
      <c r="F299" s="35">
        <v>1.18</v>
      </c>
      <c r="G299" s="32" t="s">
        <v>39</v>
      </c>
      <c r="H299" s="37">
        <v>1.1399999999999999</v>
      </c>
      <c r="I299" s="38">
        <f t="shared" si="49"/>
        <v>91.199999999999989</v>
      </c>
      <c r="J299" s="32" t="s">
        <v>54</v>
      </c>
      <c r="K299" s="37">
        <v>1.2</v>
      </c>
      <c r="L299" s="38">
        <f t="shared" si="41"/>
        <v>96</v>
      </c>
      <c r="M299" s="38" t="s">
        <v>41</v>
      </c>
      <c r="N299" s="37">
        <v>1.23</v>
      </c>
      <c r="O299" s="38">
        <f t="shared" si="42"/>
        <v>98.4</v>
      </c>
      <c r="P299" s="39">
        <f t="shared" si="43"/>
        <v>1.19</v>
      </c>
      <c r="Q299" s="40">
        <f t="shared" si="44"/>
        <v>-0.84033613445377853</v>
      </c>
      <c r="R299" s="39">
        <f t="shared" si="45"/>
        <v>94.399999999999991</v>
      </c>
      <c r="S299" s="41"/>
      <c r="U299" s="42">
        <f t="shared" si="46"/>
        <v>-4</v>
      </c>
      <c r="V299" s="42">
        <f t="shared" si="47"/>
        <v>1</v>
      </c>
      <c r="W299" s="42">
        <f t="shared" si="48"/>
        <v>3</v>
      </c>
    </row>
    <row r="300" spans="1:25" s="28" customFormat="1" ht="73.5" customHeight="1" x14ac:dyDescent="0.2">
      <c r="A300" s="30">
        <v>309</v>
      </c>
      <c r="B300" s="31" t="s">
        <v>414</v>
      </c>
      <c r="C300" s="32" t="s">
        <v>25</v>
      </c>
      <c r="D300" s="33">
        <v>40</v>
      </c>
      <c r="E300" s="34">
        <v>3.08</v>
      </c>
      <c r="F300" s="35">
        <v>3.91</v>
      </c>
      <c r="G300" s="32" t="s">
        <v>39</v>
      </c>
      <c r="H300" s="37">
        <v>3.82</v>
      </c>
      <c r="I300" s="38">
        <f t="shared" si="49"/>
        <v>152.79999999999998</v>
      </c>
      <c r="J300" s="32" t="s">
        <v>54</v>
      </c>
      <c r="K300" s="37">
        <v>4.01</v>
      </c>
      <c r="L300" s="38">
        <f t="shared" si="41"/>
        <v>160.39999999999998</v>
      </c>
      <c r="M300" s="38" t="s">
        <v>41</v>
      </c>
      <c r="N300" s="37">
        <v>4.05</v>
      </c>
      <c r="O300" s="38">
        <f t="shared" si="42"/>
        <v>162</v>
      </c>
      <c r="P300" s="39">
        <f t="shared" si="43"/>
        <v>3.9599999999999995</v>
      </c>
      <c r="Q300" s="40">
        <f t="shared" si="44"/>
        <v>-1.2626262626262559</v>
      </c>
      <c r="R300" s="39">
        <f t="shared" si="45"/>
        <v>156.4</v>
      </c>
      <c r="S300" s="41"/>
      <c r="U300" s="42">
        <f t="shared" si="46"/>
        <v>-4</v>
      </c>
      <c r="V300" s="42">
        <f t="shared" si="47"/>
        <v>1</v>
      </c>
      <c r="W300" s="42">
        <f t="shared" si="48"/>
        <v>2</v>
      </c>
    </row>
    <row r="301" spans="1:25" s="28" customFormat="1" ht="73.5" customHeight="1" x14ac:dyDescent="0.2">
      <c r="A301" s="30">
        <v>310</v>
      </c>
      <c r="B301" s="31" t="s">
        <v>415</v>
      </c>
      <c r="C301" s="32" t="s">
        <v>25</v>
      </c>
      <c r="D301" s="33">
        <v>960</v>
      </c>
      <c r="E301" s="34">
        <v>1.91</v>
      </c>
      <c r="F301" s="35">
        <v>2.4</v>
      </c>
      <c r="G301" s="32" t="s">
        <v>39</v>
      </c>
      <c r="H301" s="37">
        <v>2.36</v>
      </c>
      <c r="I301" s="38">
        <f t="shared" si="49"/>
        <v>2265.6</v>
      </c>
      <c r="J301" s="32" t="s">
        <v>54</v>
      </c>
      <c r="K301" s="37">
        <v>2.42</v>
      </c>
      <c r="L301" s="38">
        <f t="shared" si="41"/>
        <v>2323.1999999999998</v>
      </c>
      <c r="M301" s="38" t="s">
        <v>41</v>
      </c>
      <c r="N301" s="37">
        <v>2.4500000000000002</v>
      </c>
      <c r="O301" s="38">
        <f t="shared" si="42"/>
        <v>2352</v>
      </c>
      <c r="P301" s="39">
        <f t="shared" si="43"/>
        <v>2.4099999999999997</v>
      </c>
      <c r="Q301" s="40">
        <f t="shared" si="44"/>
        <v>-0.4149377593360839</v>
      </c>
      <c r="R301" s="39">
        <f t="shared" si="45"/>
        <v>2304</v>
      </c>
      <c r="S301" s="41"/>
      <c r="U301" s="42">
        <f t="shared" si="46"/>
        <v>-2</v>
      </c>
      <c r="V301" s="42">
        <f t="shared" si="47"/>
        <v>0</v>
      </c>
      <c r="W301" s="42">
        <f t="shared" si="48"/>
        <v>2</v>
      </c>
    </row>
    <row r="302" spans="1:25" s="28" customFormat="1" ht="73.5" customHeight="1" x14ac:dyDescent="0.2">
      <c r="A302" s="30">
        <v>311</v>
      </c>
      <c r="B302" s="31" t="s">
        <v>416</v>
      </c>
      <c r="C302" s="32" t="s">
        <v>25</v>
      </c>
      <c r="D302" s="33">
        <v>1200</v>
      </c>
      <c r="E302" s="34">
        <v>10.130000000000001</v>
      </c>
      <c r="F302" s="35">
        <v>12.6</v>
      </c>
      <c r="G302" s="32" t="s">
        <v>39</v>
      </c>
      <c r="H302" s="37">
        <v>12.21</v>
      </c>
      <c r="I302" s="38">
        <f t="shared" si="49"/>
        <v>14652.000000000002</v>
      </c>
      <c r="J302" s="32" t="s">
        <v>54</v>
      </c>
      <c r="K302" s="37">
        <v>12.8</v>
      </c>
      <c r="L302" s="38">
        <f t="shared" si="41"/>
        <v>15360</v>
      </c>
      <c r="M302" s="38" t="s">
        <v>41</v>
      </c>
      <c r="N302" s="37">
        <v>13.01</v>
      </c>
      <c r="O302" s="38">
        <f t="shared" si="42"/>
        <v>15612</v>
      </c>
      <c r="P302" s="39">
        <f t="shared" si="43"/>
        <v>12.673333333333334</v>
      </c>
      <c r="Q302" s="40">
        <f t="shared" si="44"/>
        <v>-0.57864281956865682</v>
      </c>
      <c r="R302" s="39">
        <f t="shared" si="45"/>
        <v>15120</v>
      </c>
      <c r="S302" s="41"/>
      <c r="U302" s="42">
        <f t="shared" si="46"/>
        <v>-4</v>
      </c>
      <c r="V302" s="42">
        <f t="shared" si="47"/>
        <v>1</v>
      </c>
      <c r="W302" s="42">
        <f t="shared" si="48"/>
        <v>3</v>
      </c>
    </row>
    <row r="303" spans="1:25" s="28" customFormat="1" ht="73.5" customHeight="1" x14ac:dyDescent="0.2">
      <c r="A303" s="30">
        <v>312</v>
      </c>
      <c r="B303" s="31" t="s">
        <v>417</v>
      </c>
      <c r="C303" s="32" t="s">
        <v>25</v>
      </c>
      <c r="D303" s="33">
        <v>80</v>
      </c>
      <c r="E303" s="34">
        <v>0.91</v>
      </c>
      <c r="F303" s="35">
        <v>1.17</v>
      </c>
      <c r="G303" s="32" t="s">
        <v>39</v>
      </c>
      <c r="H303" s="37">
        <v>1.1100000000000001</v>
      </c>
      <c r="I303" s="38">
        <f t="shared" si="49"/>
        <v>88.800000000000011</v>
      </c>
      <c r="J303" s="32" t="s">
        <v>54</v>
      </c>
      <c r="K303" s="37">
        <v>1.1599999999999999</v>
      </c>
      <c r="L303" s="38">
        <f t="shared" si="41"/>
        <v>92.8</v>
      </c>
      <c r="M303" s="38" t="s">
        <v>41</v>
      </c>
      <c r="N303" s="37">
        <v>1.31</v>
      </c>
      <c r="O303" s="38">
        <f t="shared" si="42"/>
        <v>104.80000000000001</v>
      </c>
      <c r="P303" s="39">
        <f t="shared" si="43"/>
        <v>1.1933333333333334</v>
      </c>
      <c r="Q303" s="40">
        <f t="shared" si="44"/>
        <v>-1.955307262569832</v>
      </c>
      <c r="R303" s="39">
        <f t="shared" si="45"/>
        <v>93.6</v>
      </c>
      <c r="S303" s="41"/>
      <c r="U303" s="42">
        <f t="shared" si="46"/>
        <v>-7</v>
      </c>
      <c r="V303" s="42">
        <f t="shared" si="47"/>
        <v>-3</v>
      </c>
      <c r="W303" s="42">
        <f t="shared" si="48"/>
        <v>10</v>
      </c>
    </row>
    <row r="304" spans="1:25" s="28" customFormat="1" ht="73.5" customHeight="1" x14ac:dyDescent="0.2">
      <c r="A304" s="30">
        <v>313</v>
      </c>
      <c r="B304" s="31" t="s">
        <v>418</v>
      </c>
      <c r="C304" s="32" t="s">
        <v>25</v>
      </c>
      <c r="D304" s="33">
        <v>60</v>
      </c>
      <c r="E304" s="34">
        <v>0.39</v>
      </c>
      <c r="F304" s="35">
        <v>0.51</v>
      </c>
      <c r="G304" s="32" t="s">
        <v>39</v>
      </c>
      <c r="H304" s="37">
        <v>0.49</v>
      </c>
      <c r="I304" s="38">
        <f t="shared" si="49"/>
        <v>29.4</v>
      </c>
      <c r="J304" s="32" t="s">
        <v>54</v>
      </c>
      <c r="K304" s="37">
        <v>0.51</v>
      </c>
      <c r="L304" s="38">
        <f t="shared" si="41"/>
        <v>30.6</v>
      </c>
      <c r="M304" s="38" t="s">
        <v>41</v>
      </c>
      <c r="N304" s="37">
        <v>0.55000000000000004</v>
      </c>
      <c r="O304" s="38">
        <f t="shared" si="42"/>
        <v>33</v>
      </c>
      <c r="P304" s="39">
        <f t="shared" si="43"/>
        <v>0.51666666666666672</v>
      </c>
      <c r="Q304" s="40">
        <f t="shared" si="44"/>
        <v>-1.2903225806451672</v>
      </c>
      <c r="R304" s="39">
        <f t="shared" si="45"/>
        <v>30.6</v>
      </c>
      <c r="S304" s="41"/>
      <c r="U304" s="42">
        <f t="shared" si="46"/>
        <v>-5</v>
      </c>
      <c r="V304" s="42">
        <f t="shared" si="47"/>
        <v>-1</v>
      </c>
      <c r="W304" s="42">
        <f t="shared" si="48"/>
        <v>6</v>
      </c>
    </row>
    <row r="305" spans="1:23" s="28" customFormat="1" ht="73.5" customHeight="1" x14ac:dyDescent="0.2">
      <c r="A305" s="30">
        <v>314</v>
      </c>
      <c r="B305" s="31" t="s">
        <v>419</v>
      </c>
      <c r="C305" s="32" t="s">
        <v>25</v>
      </c>
      <c r="D305" s="33">
        <v>40</v>
      </c>
      <c r="E305" s="34">
        <v>1.77</v>
      </c>
      <c r="F305" s="35">
        <v>2.35</v>
      </c>
      <c r="G305" s="32" t="s">
        <v>39</v>
      </c>
      <c r="H305" s="37">
        <v>2.14</v>
      </c>
      <c r="I305" s="38">
        <f t="shared" si="49"/>
        <v>85.600000000000009</v>
      </c>
      <c r="J305" s="32" t="s">
        <v>54</v>
      </c>
      <c r="K305" s="37">
        <v>2.64</v>
      </c>
      <c r="L305" s="38">
        <f t="shared" si="41"/>
        <v>105.60000000000001</v>
      </c>
      <c r="M305" s="38" t="s">
        <v>41</v>
      </c>
      <c r="N305" s="37">
        <v>2.33</v>
      </c>
      <c r="O305" s="38">
        <f t="shared" si="42"/>
        <v>93.2</v>
      </c>
      <c r="P305" s="39">
        <f t="shared" si="43"/>
        <v>2.37</v>
      </c>
      <c r="Q305" s="40">
        <f t="shared" si="44"/>
        <v>-0.84388185654009362</v>
      </c>
      <c r="R305" s="39">
        <f t="shared" si="45"/>
        <v>94</v>
      </c>
      <c r="S305" s="41"/>
      <c r="U305" s="42">
        <f t="shared" si="46"/>
        <v>-10</v>
      </c>
      <c r="V305" s="42">
        <f t="shared" si="47"/>
        <v>11</v>
      </c>
      <c r="W305" s="42">
        <f t="shared" si="48"/>
        <v>-2</v>
      </c>
    </row>
    <row r="306" spans="1:23" s="28" customFormat="1" ht="73.5" customHeight="1" x14ac:dyDescent="0.2">
      <c r="A306" s="30">
        <v>315</v>
      </c>
      <c r="B306" s="31" t="s">
        <v>420</v>
      </c>
      <c r="C306" s="32" t="s">
        <v>25</v>
      </c>
      <c r="D306" s="33" t="s">
        <v>421</v>
      </c>
      <c r="E306" s="34">
        <v>2.23</v>
      </c>
      <c r="F306" s="35">
        <v>2.71</v>
      </c>
      <c r="G306" s="32" t="s">
        <v>39</v>
      </c>
      <c r="H306" s="37">
        <v>2.68</v>
      </c>
      <c r="I306" s="38">
        <f t="shared" si="49"/>
        <v>6592.8</v>
      </c>
      <c r="J306" s="32" t="s">
        <v>54</v>
      </c>
      <c r="K306" s="37">
        <v>2.72</v>
      </c>
      <c r="L306" s="38">
        <f t="shared" si="41"/>
        <v>6691.2000000000007</v>
      </c>
      <c r="M306" s="38" t="s">
        <v>41</v>
      </c>
      <c r="N306" s="37">
        <v>2.75</v>
      </c>
      <c r="O306" s="38">
        <f t="shared" si="42"/>
        <v>6765</v>
      </c>
      <c r="P306" s="39">
        <f t="shared" si="43"/>
        <v>2.7166666666666668</v>
      </c>
      <c r="Q306" s="40">
        <f t="shared" si="44"/>
        <v>-0.24539877300614421</v>
      </c>
      <c r="R306" s="39">
        <f t="shared" si="45"/>
        <v>6666.6</v>
      </c>
      <c r="S306" s="41"/>
      <c r="U306" s="42">
        <f t="shared" si="46"/>
        <v>-1</v>
      </c>
      <c r="V306" s="42">
        <f t="shared" si="47"/>
        <v>0</v>
      </c>
      <c r="W306" s="42">
        <f t="shared" si="48"/>
        <v>1</v>
      </c>
    </row>
    <row r="307" spans="1:23" s="28" customFormat="1" ht="73.5" customHeight="1" x14ac:dyDescent="0.2">
      <c r="A307" s="30">
        <v>316</v>
      </c>
      <c r="B307" s="31" t="s">
        <v>422</v>
      </c>
      <c r="C307" s="32" t="s">
        <v>25</v>
      </c>
      <c r="D307" s="33">
        <v>480</v>
      </c>
      <c r="E307" s="34">
        <v>4.74</v>
      </c>
      <c r="F307" s="35">
        <v>5.82</v>
      </c>
      <c r="G307" s="32" t="s">
        <v>39</v>
      </c>
      <c r="H307" s="37">
        <v>5.76</v>
      </c>
      <c r="I307" s="38">
        <f t="shared" si="49"/>
        <v>2764.7999999999997</v>
      </c>
      <c r="J307" s="32" t="s">
        <v>54</v>
      </c>
      <c r="K307" s="37">
        <v>5.87</v>
      </c>
      <c r="L307" s="38">
        <f t="shared" si="41"/>
        <v>2817.6</v>
      </c>
      <c r="M307" s="38" t="s">
        <v>41</v>
      </c>
      <c r="N307" s="37">
        <v>6.02</v>
      </c>
      <c r="O307" s="38">
        <f t="shared" si="42"/>
        <v>2889.6</v>
      </c>
      <c r="P307" s="39">
        <f t="shared" si="43"/>
        <v>5.8833333333333329</v>
      </c>
      <c r="Q307" s="40">
        <f t="shared" si="44"/>
        <v>-1.076487252124636</v>
      </c>
      <c r="R307" s="39">
        <f t="shared" si="45"/>
        <v>2793.6000000000004</v>
      </c>
      <c r="S307" s="41"/>
      <c r="U307" s="42">
        <f t="shared" si="46"/>
        <v>-2</v>
      </c>
      <c r="V307" s="42">
        <f t="shared" si="47"/>
        <v>0</v>
      </c>
      <c r="W307" s="42">
        <f t="shared" si="48"/>
        <v>2</v>
      </c>
    </row>
    <row r="308" spans="1:23" s="28" customFormat="1" ht="73.5" customHeight="1" x14ac:dyDescent="0.2">
      <c r="A308" s="30">
        <v>317</v>
      </c>
      <c r="B308" s="31" t="s">
        <v>423</v>
      </c>
      <c r="C308" s="32" t="s">
        <v>25</v>
      </c>
      <c r="D308" s="33">
        <v>40</v>
      </c>
      <c r="E308" s="34">
        <v>0.26</v>
      </c>
      <c r="F308" s="35">
        <v>0.39</v>
      </c>
      <c r="G308" s="32" t="s">
        <v>39</v>
      </c>
      <c r="H308" s="37">
        <v>0.34</v>
      </c>
      <c r="I308" s="38">
        <f t="shared" si="49"/>
        <v>13.600000000000001</v>
      </c>
      <c r="J308" s="32" t="s">
        <v>54</v>
      </c>
      <c r="K308" s="37">
        <v>0.44</v>
      </c>
      <c r="L308" s="38">
        <f t="shared" si="41"/>
        <v>17.600000000000001</v>
      </c>
      <c r="M308" s="38" t="s">
        <v>41</v>
      </c>
      <c r="N308" s="37">
        <v>0.42</v>
      </c>
      <c r="O308" s="38">
        <f t="shared" si="42"/>
        <v>16.8</v>
      </c>
      <c r="P308" s="39">
        <f t="shared" si="43"/>
        <v>0.39999999999999997</v>
      </c>
      <c r="Q308" s="40">
        <f t="shared" si="44"/>
        <v>-2.4999999999999858</v>
      </c>
      <c r="R308" s="39">
        <f t="shared" si="45"/>
        <v>15.600000000000001</v>
      </c>
      <c r="S308" s="41"/>
      <c r="U308" s="42">
        <f t="shared" si="46"/>
        <v>-15</v>
      </c>
      <c r="V308" s="42">
        <f t="shared" si="47"/>
        <v>10</v>
      </c>
      <c r="W308" s="42">
        <f t="shared" si="48"/>
        <v>5</v>
      </c>
    </row>
    <row r="309" spans="1:23" s="28" customFormat="1" ht="73.5" customHeight="1" x14ac:dyDescent="0.2">
      <c r="A309" s="30">
        <v>318</v>
      </c>
      <c r="B309" s="31" t="s">
        <v>424</v>
      </c>
      <c r="C309" s="32" t="s">
        <v>25</v>
      </c>
      <c r="D309" s="33">
        <v>30</v>
      </c>
      <c r="E309" s="34">
        <v>1.0900000000000001</v>
      </c>
      <c r="F309" s="35">
        <v>1.44</v>
      </c>
      <c r="G309" s="32" t="s">
        <v>39</v>
      </c>
      <c r="H309" s="37">
        <v>1.37</v>
      </c>
      <c r="I309" s="38">
        <f t="shared" si="49"/>
        <v>41.1</v>
      </c>
      <c r="J309" s="32" t="s">
        <v>54</v>
      </c>
      <c r="K309" s="37">
        <v>1.58</v>
      </c>
      <c r="L309" s="38">
        <f t="shared" si="41"/>
        <v>47.400000000000006</v>
      </c>
      <c r="M309" s="38" t="s">
        <v>41</v>
      </c>
      <c r="N309" s="37">
        <v>1.44</v>
      </c>
      <c r="O309" s="38">
        <f t="shared" si="42"/>
        <v>43.199999999999996</v>
      </c>
      <c r="P309" s="39">
        <f t="shared" si="43"/>
        <v>1.4633333333333336</v>
      </c>
      <c r="Q309" s="40">
        <f t="shared" si="44"/>
        <v>-1.5945330296127764</v>
      </c>
      <c r="R309" s="39">
        <f t="shared" si="45"/>
        <v>43.199999999999996</v>
      </c>
      <c r="S309" s="41"/>
      <c r="U309" s="42">
        <f t="shared" si="46"/>
        <v>-6</v>
      </c>
      <c r="V309" s="42">
        <f t="shared" si="47"/>
        <v>8</v>
      </c>
      <c r="W309" s="42">
        <f t="shared" si="48"/>
        <v>-2</v>
      </c>
    </row>
    <row r="310" spans="1:23" s="28" customFormat="1" ht="66.75" customHeight="1" x14ac:dyDescent="0.2">
      <c r="A310" s="30"/>
      <c r="B310" s="31" t="s">
        <v>425</v>
      </c>
      <c r="C310" s="32" t="s">
        <v>25</v>
      </c>
      <c r="D310" s="33">
        <v>200</v>
      </c>
      <c r="E310" s="34">
        <v>31.33</v>
      </c>
      <c r="F310" s="35">
        <v>39</v>
      </c>
      <c r="G310" s="32" t="s">
        <v>39</v>
      </c>
      <c r="H310" s="37">
        <v>37.82</v>
      </c>
      <c r="I310" s="38">
        <f t="shared" si="49"/>
        <v>7564</v>
      </c>
      <c r="J310" s="32" t="s">
        <v>54</v>
      </c>
      <c r="K310" s="37">
        <v>41.02</v>
      </c>
      <c r="L310" s="38">
        <f t="shared" si="41"/>
        <v>8204</v>
      </c>
      <c r="M310" s="38" t="s">
        <v>41</v>
      </c>
      <c r="N310" s="37">
        <v>38.46</v>
      </c>
      <c r="O310" s="38">
        <f t="shared" si="42"/>
        <v>7692</v>
      </c>
      <c r="P310" s="39">
        <f t="shared" si="43"/>
        <v>39.1</v>
      </c>
      <c r="Q310" s="40">
        <f t="shared" si="44"/>
        <v>-0.25575447570332699</v>
      </c>
      <c r="R310" s="39">
        <f t="shared" si="45"/>
        <v>7800</v>
      </c>
      <c r="S310" s="41"/>
      <c r="U310" s="42">
        <f t="shared" si="46"/>
        <v>-3</v>
      </c>
      <c r="V310" s="42">
        <f t="shared" si="47"/>
        <v>5</v>
      </c>
      <c r="W310" s="42">
        <f t="shared" si="48"/>
        <v>-2</v>
      </c>
    </row>
    <row r="311" spans="1:23" s="28" customFormat="1" ht="73.5" customHeight="1" x14ac:dyDescent="0.2">
      <c r="A311" s="30">
        <v>319</v>
      </c>
      <c r="B311" s="31" t="s">
        <v>426</v>
      </c>
      <c r="C311" s="32" t="s">
        <v>147</v>
      </c>
      <c r="D311" s="33">
        <v>48</v>
      </c>
      <c r="E311" s="34">
        <v>14885.42</v>
      </c>
      <c r="F311" s="35">
        <v>17801.5</v>
      </c>
      <c r="G311" s="32" t="s">
        <v>27</v>
      </c>
      <c r="H311" s="37">
        <f>20996.75/1.2</f>
        <v>17497.291666666668</v>
      </c>
      <c r="I311" s="38">
        <f t="shared" si="49"/>
        <v>839870</v>
      </c>
      <c r="J311" s="38" t="s">
        <v>28</v>
      </c>
      <c r="K311" s="37">
        <v>17891.400000000001</v>
      </c>
      <c r="L311" s="38">
        <f t="shared" si="41"/>
        <v>858787.20000000007</v>
      </c>
      <c r="M311" s="33" t="s">
        <v>29</v>
      </c>
      <c r="N311" s="37">
        <v>18112.77</v>
      </c>
      <c r="O311" s="38">
        <f t="shared" si="42"/>
        <v>869412.96</v>
      </c>
      <c r="P311" s="39">
        <f t="shared" si="43"/>
        <v>17833.820555555558</v>
      </c>
      <c r="Q311" s="40">
        <f t="shared" si="44"/>
        <v>-0.18123180871351963</v>
      </c>
      <c r="R311" s="39">
        <f t="shared" si="45"/>
        <v>854472</v>
      </c>
      <c r="S311" s="41"/>
      <c r="U311" s="42">
        <f t="shared" si="46"/>
        <v>-2</v>
      </c>
      <c r="V311" s="42">
        <f t="shared" si="47"/>
        <v>0</v>
      </c>
      <c r="W311" s="42">
        <f t="shared" si="48"/>
        <v>2</v>
      </c>
    </row>
    <row r="312" spans="1:23" s="28" customFormat="1" ht="73.5" customHeight="1" x14ac:dyDescent="0.2">
      <c r="A312" s="30">
        <f t="shared" ref="A312:A331" si="50">A311+1</f>
        <v>320</v>
      </c>
      <c r="B312" s="31" t="s">
        <v>427</v>
      </c>
      <c r="C312" s="32" t="s">
        <v>25</v>
      </c>
      <c r="D312" s="33">
        <v>96</v>
      </c>
      <c r="E312" s="34" t="s">
        <v>26</v>
      </c>
      <c r="F312" s="35">
        <v>15087.84</v>
      </c>
      <c r="G312" s="32" t="s">
        <v>27</v>
      </c>
      <c r="H312" s="37">
        <v>15023.18</v>
      </c>
      <c r="I312" s="38">
        <f t="shared" si="49"/>
        <v>1442225.28</v>
      </c>
      <c r="J312" s="38" t="s">
        <v>28</v>
      </c>
      <c r="K312" s="37">
        <v>14681.33</v>
      </c>
      <c r="L312" s="38">
        <f t="shared" si="41"/>
        <v>1409407.68</v>
      </c>
      <c r="M312" s="33" t="s">
        <v>29</v>
      </c>
      <c r="N312" s="37">
        <v>15762.2</v>
      </c>
      <c r="O312" s="38">
        <f t="shared" si="42"/>
        <v>1513171.2000000002</v>
      </c>
      <c r="P312" s="39">
        <f t="shared" si="43"/>
        <v>15155.570000000002</v>
      </c>
      <c r="Q312" s="40">
        <f t="shared" si="44"/>
        <v>-0.44689840104992129</v>
      </c>
      <c r="R312" s="39">
        <f t="shared" si="45"/>
        <v>1448432.6400000001</v>
      </c>
      <c r="S312" s="41"/>
      <c r="U312" s="42">
        <f t="shared" si="46"/>
        <v>-1</v>
      </c>
      <c r="V312" s="42">
        <f t="shared" si="47"/>
        <v>-3</v>
      </c>
      <c r="W312" s="42">
        <f t="shared" si="48"/>
        <v>4</v>
      </c>
    </row>
    <row r="313" spans="1:23" s="28" customFormat="1" ht="73.5" customHeight="1" x14ac:dyDescent="0.2">
      <c r="A313" s="30">
        <f t="shared" si="50"/>
        <v>321</v>
      </c>
      <c r="B313" s="31" t="s">
        <v>428</v>
      </c>
      <c r="C313" s="32" t="s">
        <v>25</v>
      </c>
      <c r="D313" s="33">
        <v>48</v>
      </c>
      <c r="E313" s="34">
        <v>19410.310000000001</v>
      </c>
      <c r="F313" s="35">
        <v>24326.9</v>
      </c>
      <c r="G313" s="32" t="s">
        <v>56</v>
      </c>
      <c r="H313" s="37">
        <v>24568.84</v>
      </c>
      <c r="I313" s="38">
        <f t="shared" si="49"/>
        <v>1179304.32</v>
      </c>
      <c r="J313" s="32" t="s">
        <v>57</v>
      </c>
      <c r="K313" s="37">
        <v>25037.67</v>
      </c>
      <c r="L313" s="38">
        <f t="shared" si="41"/>
        <v>1201808.1599999999</v>
      </c>
      <c r="M313" s="32" t="s">
        <v>119</v>
      </c>
      <c r="N313" s="37">
        <v>23991.05</v>
      </c>
      <c r="O313" s="38">
        <f t="shared" si="42"/>
        <v>1151570.3999999999</v>
      </c>
      <c r="P313" s="39">
        <f t="shared" si="43"/>
        <v>24532.52</v>
      </c>
      <c r="Q313" s="40">
        <f t="shared" si="44"/>
        <v>-0.83815278658694581</v>
      </c>
      <c r="R313" s="39">
        <f t="shared" si="45"/>
        <v>1167691.2000000002</v>
      </c>
      <c r="S313" s="41"/>
      <c r="U313" s="42">
        <f t="shared" si="46"/>
        <v>0</v>
      </c>
      <c r="V313" s="42">
        <f t="shared" si="47"/>
        <v>2</v>
      </c>
      <c r="W313" s="42">
        <f t="shared" si="48"/>
        <v>-2</v>
      </c>
    </row>
    <row r="314" spans="1:23" s="28" customFormat="1" ht="73.5" customHeight="1" x14ac:dyDescent="0.2">
      <c r="A314" s="30">
        <f t="shared" si="50"/>
        <v>322</v>
      </c>
      <c r="B314" s="31" t="s">
        <v>429</v>
      </c>
      <c r="C314" s="32" t="s">
        <v>25</v>
      </c>
      <c r="D314" s="33">
        <v>400</v>
      </c>
      <c r="E314" s="34">
        <v>33.17</v>
      </c>
      <c r="F314" s="35">
        <v>37.4</v>
      </c>
      <c r="G314" s="32" t="s">
        <v>39</v>
      </c>
      <c r="H314" s="37">
        <v>39.6</v>
      </c>
      <c r="I314" s="38">
        <f t="shared" si="49"/>
        <v>15840</v>
      </c>
      <c r="J314" s="32" t="s">
        <v>430</v>
      </c>
      <c r="K314" s="37">
        <f>46.28/1.2</f>
        <v>38.56666666666667</v>
      </c>
      <c r="L314" s="38">
        <f t="shared" si="41"/>
        <v>15426.666666666668</v>
      </c>
      <c r="M314" s="32" t="s">
        <v>431</v>
      </c>
      <c r="N314" s="37">
        <f>42.67/1.2</f>
        <v>35.558333333333337</v>
      </c>
      <c r="O314" s="38">
        <f t="shared" si="42"/>
        <v>14223.333333333336</v>
      </c>
      <c r="P314" s="39">
        <f t="shared" si="43"/>
        <v>37.908333333333339</v>
      </c>
      <c r="Q314" s="40">
        <f t="shared" si="44"/>
        <v>-1.3409540558364625</v>
      </c>
      <c r="R314" s="39">
        <f t="shared" si="45"/>
        <v>14960</v>
      </c>
      <c r="S314" s="41"/>
      <c r="U314" s="42">
        <f t="shared" si="46"/>
        <v>4</v>
      </c>
      <c r="V314" s="42">
        <f t="shared" si="47"/>
        <v>2</v>
      </c>
      <c r="W314" s="42">
        <f t="shared" si="48"/>
        <v>-6</v>
      </c>
    </row>
    <row r="315" spans="1:23" s="28" customFormat="1" ht="73.5" customHeight="1" x14ac:dyDescent="0.2">
      <c r="A315" s="30">
        <f t="shared" si="50"/>
        <v>323</v>
      </c>
      <c r="B315" s="31" t="s">
        <v>432</v>
      </c>
      <c r="C315" s="32" t="s">
        <v>147</v>
      </c>
      <c r="D315" s="33" t="s">
        <v>433</v>
      </c>
      <c r="E315" s="34">
        <v>8.76</v>
      </c>
      <c r="F315" s="35">
        <v>11.03</v>
      </c>
      <c r="G315" s="36" t="s">
        <v>90</v>
      </c>
      <c r="H315" s="37">
        <f>13.24/1.2</f>
        <v>11.033333333333333</v>
      </c>
      <c r="I315" s="38">
        <f t="shared" si="49"/>
        <v>17653.333333333332</v>
      </c>
      <c r="J315" s="32" t="s">
        <v>46</v>
      </c>
      <c r="K315" s="37">
        <v>10.93</v>
      </c>
      <c r="L315" s="38">
        <f t="shared" si="41"/>
        <v>17488</v>
      </c>
      <c r="M315" s="32" t="s">
        <v>58</v>
      </c>
      <c r="N315" s="37">
        <v>11.89</v>
      </c>
      <c r="O315" s="38">
        <f t="shared" si="42"/>
        <v>19024</v>
      </c>
      <c r="P315" s="39">
        <f t="shared" si="43"/>
        <v>11.284444444444444</v>
      </c>
      <c r="Q315" s="40">
        <f t="shared" si="44"/>
        <v>-2.2548247341473058</v>
      </c>
      <c r="R315" s="39">
        <f t="shared" si="45"/>
        <v>17648</v>
      </c>
      <c r="S315" s="41"/>
      <c r="U315" s="42">
        <f t="shared" si="46"/>
        <v>-2</v>
      </c>
      <c r="V315" s="42">
        <f t="shared" si="47"/>
        <v>-3</v>
      </c>
      <c r="W315" s="42">
        <f t="shared" si="48"/>
        <v>5</v>
      </c>
    </row>
    <row r="316" spans="1:23" s="28" customFormat="1" ht="73.5" customHeight="1" x14ac:dyDescent="0.2">
      <c r="A316" s="30">
        <f t="shared" si="50"/>
        <v>324</v>
      </c>
      <c r="B316" s="31" t="s">
        <v>434</v>
      </c>
      <c r="C316" s="32" t="s">
        <v>25</v>
      </c>
      <c r="D316" s="33">
        <v>30</v>
      </c>
      <c r="E316" s="34">
        <v>872.67</v>
      </c>
      <c r="F316" s="35">
        <v>1285.6600000000001</v>
      </c>
      <c r="G316" s="32" t="s">
        <v>435</v>
      </c>
      <c r="H316" s="37">
        <v>1300</v>
      </c>
      <c r="I316" s="38">
        <f t="shared" si="49"/>
        <v>39000</v>
      </c>
      <c r="J316" s="32" t="s">
        <v>436</v>
      </c>
      <c r="K316" s="37">
        <v>1300</v>
      </c>
      <c r="L316" s="38">
        <f t="shared" si="41"/>
        <v>39000</v>
      </c>
      <c r="M316" s="32" t="s">
        <v>437</v>
      </c>
      <c r="N316" s="37">
        <v>1260</v>
      </c>
      <c r="O316" s="38">
        <f t="shared" si="42"/>
        <v>37800</v>
      </c>
      <c r="P316" s="39">
        <f t="shared" si="43"/>
        <v>1286.6666666666667</v>
      </c>
      <c r="Q316" s="40">
        <f t="shared" si="44"/>
        <v>-7.823834196891255E-2</v>
      </c>
      <c r="R316" s="39">
        <f t="shared" si="45"/>
        <v>38569.800000000003</v>
      </c>
      <c r="S316" s="41"/>
      <c r="U316" s="42">
        <f t="shared" si="46"/>
        <v>1</v>
      </c>
      <c r="V316" s="42">
        <f t="shared" si="47"/>
        <v>1</v>
      </c>
      <c r="W316" s="42">
        <f t="shared" si="48"/>
        <v>-2</v>
      </c>
    </row>
    <row r="317" spans="1:23" s="28" customFormat="1" ht="73.5" customHeight="1" x14ac:dyDescent="0.2">
      <c r="A317" s="30">
        <f t="shared" si="50"/>
        <v>325</v>
      </c>
      <c r="B317" s="31" t="s">
        <v>438</v>
      </c>
      <c r="C317" s="32" t="s">
        <v>25</v>
      </c>
      <c r="D317" s="33">
        <v>1</v>
      </c>
      <c r="E317" s="34">
        <v>20102.93</v>
      </c>
      <c r="F317" s="35">
        <v>26054.6</v>
      </c>
      <c r="G317" s="32" t="s">
        <v>27</v>
      </c>
      <c r="H317" s="37">
        <f>30302.49/1.2</f>
        <v>25252.075000000001</v>
      </c>
      <c r="I317" s="38">
        <f t="shared" si="49"/>
        <v>25252.075000000001</v>
      </c>
      <c r="J317" s="38" t="s">
        <v>28</v>
      </c>
      <c r="K317" s="37">
        <v>26315.4</v>
      </c>
      <c r="L317" s="38">
        <f t="shared" si="41"/>
        <v>26315.4</v>
      </c>
      <c r="M317" s="33" t="s">
        <v>29</v>
      </c>
      <c r="N317" s="37">
        <v>26678.22</v>
      </c>
      <c r="O317" s="38">
        <f t="shared" si="42"/>
        <v>26678.22</v>
      </c>
      <c r="P317" s="39">
        <f t="shared" si="43"/>
        <v>26081.898333333334</v>
      </c>
      <c r="Q317" s="40">
        <f t="shared" si="44"/>
        <v>-0.10466390515159674</v>
      </c>
      <c r="R317" s="39">
        <f t="shared" si="45"/>
        <v>26054.6</v>
      </c>
      <c r="S317" s="41"/>
      <c r="U317" s="42">
        <f t="shared" si="46"/>
        <v>-3</v>
      </c>
      <c r="V317" s="42">
        <f t="shared" si="47"/>
        <v>1</v>
      </c>
      <c r="W317" s="42">
        <f t="shared" si="48"/>
        <v>2</v>
      </c>
    </row>
    <row r="318" spans="1:23" s="28" customFormat="1" ht="73.5" customHeight="1" x14ac:dyDescent="0.2">
      <c r="A318" s="30">
        <f t="shared" si="50"/>
        <v>326</v>
      </c>
      <c r="B318" s="31" t="s">
        <v>439</v>
      </c>
      <c r="C318" s="32" t="s">
        <v>25</v>
      </c>
      <c r="D318" s="33">
        <v>1</v>
      </c>
      <c r="E318" s="34">
        <v>8208.33</v>
      </c>
      <c r="F318" s="35">
        <v>8930.15</v>
      </c>
      <c r="G318" s="32" t="s">
        <v>56</v>
      </c>
      <c r="H318" s="37">
        <v>9150.2199999999993</v>
      </c>
      <c r="I318" s="38">
        <f t="shared" si="49"/>
        <v>9150.2199999999993</v>
      </c>
      <c r="J318" s="32" t="s">
        <v>57</v>
      </c>
      <c r="K318" s="37">
        <v>8700</v>
      </c>
      <c r="L318" s="38">
        <f t="shared" si="41"/>
        <v>8700</v>
      </c>
      <c r="M318" s="37" t="s">
        <v>67</v>
      </c>
      <c r="N318" s="37">
        <f>10766.52/1.2</f>
        <v>8972.1</v>
      </c>
      <c r="O318" s="38">
        <f t="shared" si="42"/>
        <v>8972.1</v>
      </c>
      <c r="P318" s="39">
        <f t="shared" si="43"/>
        <v>8940.7733333333326</v>
      </c>
      <c r="Q318" s="40">
        <f t="shared" si="44"/>
        <v>-0.11881895376686202</v>
      </c>
      <c r="R318" s="39">
        <f t="shared" si="45"/>
        <v>8930.15</v>
      </c>
      <c r="S318" s="41"/>
      <c r="U318" s="42">
        <f t="shared" si="46"/>
        <v>2</v>
      </c>
      <c r="V318" s="42">
        <f t="shared" si="47"/>
        <v>-3</v>
      </c>
      <c r="W318" s="42">
        <f t="shared" si="48"/>
        <v>0</v>
      </c>
    </row>
    <row r="319" spans="1:23" s="28" customFormat="1" ht="73.5" customHeight="1" x14ac:dyDescent="0.2">
      <c r="A319" s="30">
        <f t="shared" si="50"/>
        <v>327</v>
      </c>
      <c r="B319" s="31" t="s">
        <v>440</v>
      </c>
      <c r="C319" s="32" t="s">
        <v>25</v>
      </c>
      <c r="D319" s="33">
        <v>1</v>
      </c>
      <c r="E319" s="34">
        <v>9087.5</v>
      </c>
      <c r="F319" s="35">
        <v>9080.1200000000008</v>
      </c>
      <c r="G319" s="32" t="s">
        <v>56</v>
      </c>
      <c r="H319" s="37">
        <v>9205.49</v>
      </c>
      <c r="I319" s="38">
        <f t="shared" si="49"/>
        <v>9205.49</v>
      </c>
      <c r="J319" s="32" t="s">
        <v>57</v>
      </c>
      <c r="K319" s="37">
        <v>8900</v>
      </c>
      <c r="L319" s="38">
        <f t="shared" si="41"/>
        <v>8900</v>
      </c>
      <c r="M319" s="37" t="s">
        <v>67</v>
      </c>
      <c r="N319" s="37">
        <f>10969.78/1.2</f>
        <v>9141.4833333333336</v>
      </c>
      <c r="O319" s="38">
        <f t="shared" si="42"/>
        <v>9141.4833333333336</v>
      </c>
      <c r="P319" s="39">
        <f t="shared" si="43"/>
        <v>9082.3244444444445</v>
      </c>
      <c r="Q319" s="40">
        <f t="shared" si="44"/>
        <v>-2.427180902782311E-2</v>
      </c>
      <c r="R319" s="39">
        <f t="shared" si="45"/>
        <v>9080.1200000000008</v>
      </c>
      <c r="S319" s="41"/>
      <c r="U319" s="42">
        <f t="shared" si="46"/>
        <v>1</v>
      </c>
      <c r="V319" s="42">
        <f t="shared" si="47"/>
        <v>-2</v>
      </c>
      <c r="W319" s="42">
        <f t="shared" si="48"/>
        <v>1</v>
      </c>
    </row>
    <row r="320" spans="1:23" s="28" customFormat="1" ht="73.5" customHeight="1" x14ac:dyDescent="0.2">
      <c r="A320" s="30">
        <f t="shared" si="50"/>
        <v>328</v>
      </c>
      <c r="B320" s="31" t="s">
        <v>441</v>
      </c>
      <c r="C320" s="32" t="s">
        <v>25</v>
      </c>
      <c r="D320" s="33">
        <v>2</v>
      </c>
      <c r="E320" s="34">
        <v>37760.83</v>
      </c>
      <c r="F320" s="35">
        <v>33102.400000000001</v>
      </c>
      <c r="G320" s="32" t="s">
        <v>56</v>
      </c>
      <c r="H320" s="37">
        <v>33450</v>
      </c>
      <c r="I320" s="38">
        <f t="shared" si="49"/>
        <v>66900</v>
      </c>
      <c r="J320" s="32" t="s">
        <v>57</v>
      </c>
      <c r="K320" s="37">
        <v>32000</v>
      </c>
      <c r="L320" s="38">
        <f t="shared" si="41"/>
        <v>64000</v>
      </c>
      <c r="M320" s="37" t="s">
        <v>67</v>
      </c>
      <c r="N320" s="37">
        <f>40734.72/1.2</f>
        <v>33945.600000000006</v>
      </c>
      <c r="O320" s="38">
        <f t="shared" si="42"/>
        <v>67891.200000000012</v>
      </c>
      <c r="P320" s="39">
        <f t="shared" si="43"/>
        <v>33131.866666666669</v>
      </c>
      <c r="Q320" s="40">
        <f t="shared" si="44"/>
        <v>-8.8937538482596779E-2</v>
      </c>
      <c r="R320" s="39">
        <f t="shared" si="45"/>
        <v>66204.800000000003</v>
      </c>
      <c r="S320" s="41"/>
      <c r="U320" s="42">
        <f t="shared" si="46"/>
        <v>1</v>
      </c>
      <c r="V320" s="42">
        <f t="shared" si="47"/>
        <v>-3</v>
      </c>
      <c r="W320" s="42">
        <f t="shared" si="48"/>
        <v>2</v>
      </c>
    </row>
    <row r="321" spans="1:23" s="28" customFormat="1" ht="73.5" customHeight="1" x14ac:dyDescent="0.2">
      <c r="A321" s="30">
        <f t="shared" si="50"/>
        <v>329</v>
      </c>
      <c r="B321" s="31" t="s">
        <v>442</v>
      </c>
      <c r="C321" s="32" t="s">
        <v>25</v>
      </c>
      <c r="D321" s="33">
        <v>2</v>
      </c>
      <c r="E321" s="34">
        <v>67797.5</v>
      </c>
      <c r="F321" s="35">
        <v>69148.5</v>
      </c>
      <c r="G321" s="32" t="s">
        <v>56</v>
      </c>
      <c r="H321" s="37">
        <v>69725.600000000006</v>
      </c>
      <c r="I321" s="38">
        <f t="shared" si="49"/>
        <v>139451.20000000001</v>
      </c>
      <c r="J321" s="32" t="s">
        <v>57</v>
      </c>
      <c r="K321" s="37">
        <v>68000</v>
      </c>
      <c r="L321" s="38">
        <f t="shared" si="41"/>
        <v>136000</v>
      </c>
      <c r="M321" s="37" t="s">
        <v>67</v>
      </c>
      <c r="N321" s="37">
        <f>84060.86/1.2</f>
        <v>70050.716666666674</v>
      </c>
      <c r="O321" s="38">
        <f t="shared" si="42"/>
        <v>140101.43333333335</v>
      </c>
      <c r="P321" s="39">
        <f t="shared" si="43"/>
        <v>69258.772222222222</v>
      </c>
      <c r="Q321" s="40">
        <f t="shared" si="44"/>
        <v>-0.15921769717257916</v>
      </c>
      <c r="R321" s="39">
        <f t="shared" si="45"/>
        <v>138297</v>
      </c>
      <c r="S321" s="41"/>
      <c r="U321" s="42">
        <f t="shared" si="46"/>
        <v>1</v>
      </c>
      <c r="V321" s="42">
        <f t="shared" si="47"/>
        <v>-2</v>
      </c>
      <c r="W321" s="42">
        <f t="shared" si="48"/>
        <v>1</v>
      </c>
    </row>
    <row r="322" spans="1:23" s="28" customFormat="1" ht="73.5" customHeight="1" x14ac:dyDescent="0.2">
      <c r="A322" s="30">
        <f t="shared" si="50"/>
        <v>330</v>
      </c>
      <c r="B322" s="31" t="s">
        <v>443</v>
      </c>
      <c r="C322" s="32" t="s">
        <v>45</v>
      </c>
      <c r="D322" s="33">
        <v>125.8</v>
      </c>
      <c r="E322" s="34">
        <v>287.33</v>
      </c>
      <c r="F322" s="35">
        <v>395.2</v>
      </c>
      <c r="G322" s="32" t="s">
        <v>39</v>
      </c>
      <c r="H322" s="37">
        <v>388.09</v>
      </c>
      <c r="I322" s="38">
        <f t="shared" si="49"/>
        <v>48821.721999999994</v>
      </c>
      <c r="J322" s="32" t="s">
        <v>54</v>
      </c>
      <c r="K322" s="37">
        <v>410.77</v>
      </c>
      <c r="L322" s="38">
        <f t="shared" si="41"/>
        <v>51674.865999999995</v>
      </c>
      <c r="M322" s="37" t="s">
        <v>67</v>
      </c>
      <c r="N322" s="37">
        <f>488.26/1.2</f>
        <v>406.88333333333333</v>
      </c>
      <c r="O322" s="38">
        <f t="shared" si="42"/>
        <v>51185.923333333332</v>
      </c>
      <c r="P322" s="39">
        <f t="shared" si="43"/>
        <v>401.91444444444443</v>
      </c>
      <c r="Q322" s="40">
        <f t="shared" si="44"/>
        <v>-1.6706153603724374</v>
      </c>
      <c r="R322" s="39">
        <f t="shared" si="45"/>
        <v>49716.159999999996</v>
      </c>
      <c r="S322" s="41"/>
      <c r="U322" s="42">
        <f t="shared" si="46"/>
        <v>-3</v>
      </c>
      <c r="V322" s="42">
        <f t="shared" si="47"/>
        <v>2</v>
      </c>
      <c r="W322" s="42">
        <f t="shared" si="48"/>
        <v>1</v>
      </c>
    </row>
    <row r="323" spans="1:23" s="28" customFormat="1" ht="73.5" customHeight="1" x14ac:dyDescent="0.2">
      <c r="A323" s="30">
        <f t="shared" si="50"/>
        <v>331</v>
      </c>
      <c r="B323" s="31" t="s">
        <v>444</v>
      </c>
      <c r="C323" s="32" t="s">
        <v>45</v>
      </c>
      <c r="D323" s="33" t="s">
        <v>445</v>
      </c>
      <c r="E323" s="34">
        <v>277.19</v>
      </c>
      <c r="F323" s="35">
        <v>385.4</v>
      </c>
      <c r="G323" s="32" t="s">
        <v>39</v>
      </c>
      <c r="H323" s="37">
        <v>395.81</v>
      </c>
      <c r="I323" s="38">
        <f t="shared" si="49"/>
        <v>28498.32</v>
      </c>
      <c r="J323" s="32" t="s">
        <v>54</v>
      </c>
      <c r="K323" s="37">
        <v>403.69</v>
      </c>
      <c r="L323" s="38">
        <f t="shared" si="41"/>
        <v>29065.68</v>
      </c>
      <c r="M323" s="37" t="s">
        <v>67</v>
      </c>
      <c r="N323" s="37">
        <f>465/1.2</f>
        <v>387.5</v>
      </c>
      <c r="O323" s="38">
        <f t="shared" si="42"/>
        <v>27900</v>
      </c>
      <c r="P323" s="39">
        <f t="shared" si="43"/>
        <v>395.66666666666669</v>
      </c>
      <c r="Q323" s="40">
        <f t="shared" si="44"/>
        <v>-2.594776748104465</v>
      </c>
      <c r="R323" s="39">
        <f t="shared" si="45"/>
        <v>27748.799999999999</v>
      </c>
      <c r="S323" s="41"/>
      <c r="U323" s="42">
        <f t="shared" si="46"/>
        <v>0</v>
      </c>
      <c r="V323" s="42">
        <f t="shared" si="47"/>
        <v>2</v>
      </c>
      <c r="W323" s="42">
        <f t="shared" si="48"/>
        <v>-2</v>
      </c>
    </row>
    <row r="324" spans="1:23" s="28" customFormat="1" ht="73.5" customHeight="1" x14ac:dyDescent="0.2">
      <c r="A324" s="30">
        <f t="shared" si="50"/>
        <v>332</v>
      </c>
      <c r="B324" s="31" t="s">
        <v>446</v>
      </c>
      <c r="C324" s="32" t="s">
        <v>45</v>
      </c>
      <c r="D324" s="33">
        <v>24</v>
      </c>
      <c r="E324" s="34">
        <v>277.19</v>
      </c>
      <c r="F324" s="35">
        <v>383</v>
      </c>
      <c r="G324" s="32" t="s">
        <v>39</v>
      </c>
      <c r="H324" s="37">
        <v>395.81</v>
      </c>
      <c r="I324" s="38">
        <f t="shared" ref="I324:I331" si="51">D324*H324</f>
        <v>9499.44</v>
      </c>
      <c r="J324" s="32" t="s">
        <v>54</v>
      </c>
      <c r="K324" s="37">
        <v>403.69</v>
      </c>
      <c r="L324" s="38">
        <f t="shared" si="41"/>
        <v>9688.56</v>
      </c>
      <c r="M324" s="37" t="s">
        <v>67</v>
      </c>
      <c r="N324" s="37">
        <f>460.44/1.2</f>
        <v>383.7</v>
      </c>
      <c r="O324" s="38">
        <f t="shared" si="42"/>
        <v>9208.7999999999993</v>
      </c>
      <c r="P324" s="39">
        <f t="shared" si="43"/>
        <v>394.40000000000003</v>
      </c>
      <c r="Q324" s="40">
        <f t="shared" si="44"/>
        <v>-2.8904665314401683</v>
      </c>
      <c r="R324" s="39">
        <f t="shared" si="45"/>
        <v>9192</v>
      </c>
      <c r="S324" s="41"/>
      <c r="U324" s="42">
        <f t="shared" si="46"/>
        <v>0</v>
      </c>
      <c r="V324" s="42">
        <f t="shared" si="47"/>
        <v>2</v>
      </c>
      <c r="W324" s="42">
        <f t="shared" si="48"/>
        <v>-3</v>
      </c>
    </row>
    <row r="325" spans="1:23" s="28" customFormat="1" ht="73.5" customHeight="1" x14ac:dyDescent="0.2">
      <c r="A325" s="30">
        <f t="shared" si="50"/>
        <v>333</v>
      </c>
      <c r="B325" s="31" t="s">
        <v>447</v>
      </c>
      <c r="C325" s="32" t="s">
        <v>25</v>
      </c>
      <c r="D325" s="33">
        <v>4</v>
      </c>
      <c r="E325" s="34">
        <v>925.16</v>
      </c>
      <c r="F325" s="35">
        <v>1175.2</v>
      </c>
      <c r="G325" s="32" t="s">
        <v>27</v>
      </c>
      <c r="H325" s="37">
        <f>1338.34/1.2</f>
        <v>1115.2833333333333</v>
      </c>
      <c r="I325" s="38">
        <f t="shared" si="51"/>
        <v>4461.1333333333332</v>
      </c>
      <c r="J325" s="38" t="s">
        <v>28</v>
      </c>
      <c r="K325" s="37">
        <v>1170.6400000000001</v>
      </c>
      <c r="L325" s="38">
        <f t="shared" si="41"/>
        <v>4682.5600000000004</v>
      </c>
      <c r="M325" s="33" t="s">
        <v>29</v>
      </c>
      <c r="N325" s="37">
        <v>1246.5</v>
      </c>
      <c r="O325" s="38">
        <f t="shared" si="42"/>
        <v>4986</v>
      </c>
      <c r="P325" s="39">
        <f t="shared" si="43"/>
        <v>1177.4744444444443</v>
      </c>
      <c r="Q325" s="40">
        <f t="shared" si="44"/>
        <v>-0.19316295611982071</v>
      </c>
      <c r="R325" s="39">
        <f t="shared" si="45"/>
        <v>4700.8</v>
      </c>
      <c r="S325" s="41"/>
      <c r="U325" s="42">
        <f t="shared" si="46"/>
        <v>-5</v>
      </c>
      <c r="V325" s="42">
        <f t="shared" si="47"/>
        <v>-1</v>
      </c>
      <c r="W325" s="42">
        <f t="shared" si="48"/>
        <v>6</v>
      </c>
    </row>
    <row r="326" spans="1:23" s="28" customFormat="1" ht="73.5" customHeight="1" x14ac:dyDescent="0.2">
      <c r="A326" s="30">
        <f t="shared" si="50"/>
        <v>334</v>
      </c>
      <c r="B326" s="31" t="s">
        <v>448</v>
      </c>
      <c r="C326" s="32" t="s">
        <v>25</v>
      </c>
      <c r="D326" s="32">
        <v>71</v>
      </c>
      <c r="E326" s="34">
        <v>1325.04</v>
      </c>
      <c r="F326" s="35">
        <v>1974.45</v>
      </c>
      <c r="G326" s="32" t="s">
        <v>27</v>
      </c>
      <c r="H326" s="37">
        <f>2332.39/1.2</f>
        <v>1943.6583333333333</v>
      </c>
      <c r="I326" s="38">
        <f t="shared" si="51"/>
        <v>137999.74166666667</v>
      </c>
      <c r="J326" s="38" t="s">
        <v>28</v>
      </c>
      <c r="K326" s="37">
        <v>2010.42</v>
      </c>
      <c r="L326" s="38">
        <f t="shared" si="41"/>
        <v>142739.82</v>
      </c>
      <c r="M326" s="33" t="s">
        <v>29</v>
      </c>
      <c r="N326" s="37">
        <v>1972.2</v>
      </c>
      <c r="O326" s="38">
        <f t="shared" si="42"/>
        <v>140026.20000000001</v>
      </c>
      <c r="P326" s="39">
        <f t="shared" si="43"/>
        <v>1975.4261111111111</v>
      </c>
      <c r="Q326" s="40">
        <f t="shared" si="44"/>
        <v>-4.9412686489304747E-2</v>
      </c>
      <c r="R326" s="39">
        <f t="shared" si="45"/>
        <v>140185.95000000001</v>
      </c>
      <c r="S326" s="41"/>
      <c r="U326" s="42">
        <f t="shared" si="46"/>
        <v>-2</v>
      </c>
      <c r="V326" s="42">
        <f t="shared" si="47"/>
        <v>2</v>
      </c>
      <c r="W326" s="42">
        <f t="shared" si="48"/>
        <v>0</v>
      </c>
    </row>
    <row r="327" spans="1:23" s="28" customFormat="1" ht="73.5" customHeight="1" x14ac:dyDescent="0.2">
      <c r="A327" s="30">
        <f t="shared" si="50"/>
        <v>335</v>
      </c>
      <c r="B327" s="31" t="s">
        <v>449</v>
      </c>
      <c r="C327" s="32" t="s">
        <v>25</v>
      </c>
      <c r="D327" s="33">
        <v>34</v>
      </c>
      <c r="E327" s="34">
        <v>1487.95</v>
      </c>
      <c r="F327" s="35">
        <v>2651.1</v>
      </c>
      <c r="G327" s="32" t="s">
        <v>27</v>
      </c>
      <c r="H327" s="37">
        <f>2925.52/1.2</f>
        <v>2437.9333333333334</v>
      </c>
      <c r="I327" s="38">
        <f t="shared" si="51"/>
        <v>82889.733333333337</v>
      </c>
      <c r="J327" s="38" t="s">
        <v>28</v>
      </c>
      <c r="K327" s="37">
        <v>2845.3</v>
      </c>
      <c r="L327" s="38">
        <f t="shared" si="41"/>
        <v>96740.200000000012</v>
      </c>
      <c r="M327" s="33" t="s">
        <v>29</v>
      </c>
      <c r="N327" s="37">
        <v>2680.49</v>
      </c>
      <c r="O327" s="38">
        <f t="shared" si="42"/>
        <v>91136.659999999989</v>
      </c>
      <c r="P327" s="39">
        <f t="shared" si="43"/>
        <v>2654.5744444444445</v>
      </c>
      <c r="Q327" s="40">
        <f t="shared" si="44"/>
        <v>-0.13088517640618136</v>
      </c>
      <c r="R327" s="39">
        <f t="shared" si="45"/>
        <v>90137.4</v>
      </c>
      <c r="S327" s="41"/>
      <c r="U327" s="42">
        <f t="shared" si="46"/>
        <v>-8</v>
      </c>
      <c r="V327" s="42">
        <f t="shared" si="47"/>
        <v>7</v>
      </c>
      <c r="W327" s="42">
        <f t="shared" si="48"/>
        <v>1</v>
      </c>
    </row>
    <row r="328" spans="1:23" s="28" customFormat="1" ht="73.5" customHeight="1" x14ac:dyDescent="0.2">
      <c r="A328" s="30">
        <f t="shared" si="50"/>
        <v>336</v>
      </c>
      <c r="B328" s="31" t="s">
        <v>450</v>
      </c>
      <c r="C328" s="32" t="s">
        <v>25</v>
      </c>
      <c r="D328" s="33" t="s">
        <v>451</v>
      </c>
      <c r="E328" s="34">
        <v>2941.87</v>
      </c>
      <c r="F328" s="35">
        <v>3640.5</v>
      </c>
      <c r="G328" s="32" t="s">
        <v>27</v>
      </c>
      <c r="H328" s="37">
        <f>4199.67/1.2</f>
        <v>3499.7250000000004</v>
      </c>
      <c r="I328" s="38">
        <f t="shared" si="51"/>
        <v>34997.25</v>
      </c>
      <c r="J328" s="38" t="s">
        <v>28</v>
      </c>
      <c r="K328" s="37">
        <v>3754.2</v>
      </c>
      <c r="L328" s="38">
        <f t="shared" si="41"/>
        <v>37542</v>
      </c>
      <c r="M328" s="33" t="s">
        <v>29</v>
      </c>
      <c r="N328" s="37">
        <v>3674.62</v>
      </c>
      <c r="O328" s="38">
        <f t="shared" si="42"/>
        <v>36746.199999999997</v>
      </c>
      <c r="P328" s="39">
        <f t="shared" si="43"/>
        <v>3642.8483333333334</v>
      </c>
      <c r="Q328" s="40">
        <f t="shared" si="44"/>
        <v>-6.4464208181419735E-2</v>
      </c>
      <c r="R328" s="39">
        <f t="shared" si="45"/>
        <v>36405</v>
      </c>
      <c r="S328" s="41"/>
      <c r="U328" s="42">
        <f t="shared" si="46"/>
        <v>-4</v>
      </c>
      <c r="V328" s="42">
        <f t="shared" si="47"/>
        <v>3</v>
      </c>
      <c r="W328" s="42">
        <f t="shared" si="48"/>
        <v>1</v>
      </c>
    </row>
    <row r="329" spans="1:23" s="28" customFormat="1" ht="73.5" customHeight="1" x14ac:dyDescent="0.2">
      <c r="A329" s="30">
        <f t="shared" si="50"/>
        <v>337</v>
      </c>
      <c r="B329" s="31" t="s">
        <v>452</v>
      </c>
      <c r="C329" s="32" t="s">
        <v>25</v>
      </c>
      <c r="D329" s="33">
        <v>266</v>
      </c>
      <c r="E329" s="34">
        <v>480</v>
      </c>
      <c r="F329" s="35">
        <v>591.6</v>
      </c>
      <c r="G329" s="32" t="s">
        <v>56</v>
      </c>
      <c r="H329" s="37">
        <v>589.70000000000005</v>
      </c>
      <c r="I329" s="38">
        <f t="shared" si="51"/>
        <v>156860.20000000001</v>
      </c>
      <c r="J329" s="32" t="s">
        <v>57</v>
      </c>
      <c r="K329" s="37">
        <v>578.64</v>
      </c>
      <c r="L329" s="38">
        <f t="shared" si="41"/>
        <v>153918.24</v>
      </c>
      <c r="M329" s="38" t="s">
        <v>68</v>
      </c>
      <c r="N329" s="37">
        <v>610.24</v>
      </c>
      <c r="O329" s="38">
        <f t="shared" si="42"/>
        <v>162323.84</v>
      </c>
      <c r="P329" s="39">
        <f t="shared" si="43"/>
        <v>592.86</v>
      </c>
      <c r="Q329" s="40">
        <f t="shared" si="44"/>
        <v>-0.21252909624531924</v>
      </c>
      <c r="R329" s="39">
        <f t="shared" si="45"/>
        <v>157365.6</v>
      </c>
      <c r="S329" s="41"/>
      <c r="U329" s="42">
        <f t="shared" si="46"/>
        <v>-1</v>
      </c>
      <c r="V329" s="42">
        <f t="shared" si="47"/>
        <v>-2</v>
      </c>
      <c r="W329" s="42">
        <f t="shared" si="48"/>
        <v>3</v>
      </c>
    </row>
    <row r="330" spans="1:23" s="28" customFormat="1" ht="73.5" customHeight="1" x14ac:dyDescent="0.2">
      <c r="A330" s="30">
        <f t="shared" si="50"/>
        <v>338</v>
      </c>
      <c r="B330" s="31" t="s">
        <v>453</v>
      </c>
      <c r="C330" s="32" t="s">
        <v>25</v>
      </c>
      <c r="D330" s="33">
        <v>654</v>
      </c>
      <c r="E330" s="34">
        <v>450</v>
      </c>
      <c r="F330" s="35">
        <v>595.79999999999995</v>
      </c>
      <c r="G330" s="32" t="s">
        <v>56</v>
      </c>
      <c r="H330" s="37">
        <v>630.12</v>
      </c>
      <c r="I330" s="38">
        <f t="shared" si="51"/>
        <v>412098.48</v>
      </c>
      <c r="J330" s="32" t="s">
        <v>57</v>
      </c>
      <c r="K330" s="37">
        <v>562.09</v>
      </c>
      <c r="L330" s="38">
        <f t="shared" si="41"/>
        <v>367606.86000000004</v>
      </c>
      <c r="M330" s="38" t="s">
        <v>68</v>
      </c>
      <c r="N330" s="37">
        <v>599.4</v>
      </c>
      <c r="O330" s="38">
        <f t="shared" si="42"/>
        <v>392007.6</v>
      </c>
      <c r="P330" s="39">
        <f t="shared" si="43"/>
        <v>597.20333333333338</v>
      </c>
      <c r="Q330" s="40">
        <f t="shared" si="44"/>
        <v>-0.23498417624372792</v>
      </c>
      <c r="R330" s="39">
        <f t="shared" si="45"/>
        <v>389653.19999999995</v>
      </c>
      <c r="S330" s="41"/>
      <c r="U330" s="42">
        <f t="shared" si="46"/>
        <v>6</v>
      </c>
      <c r="V330" s="42">
        <f t="shared" si="47"/>
        <v>-6</v>
      </c>
      <c r="W330" s="42">
        <f t="shared" si="48"/>
        <v>0</v>
      </c>
    </row>
    <row r="331" spans="1:23" s="28" customFormat="1" ht="73.5" customHeight="1" x14ac:dyDescent="0.2">
      <c r="A331" s="30">
        <f t="shared" si="50"/>
        <v>339</v>
      </c>
      <c r="B331" s="31" t="s">
        <v>454</v>
      </c>
      <c r="C331" s="32" t="s">
        <v>25</v>
      </c>
      <c r="D331" s="33">
        <v>20</v>
      </c>
      <c r="E331" s="34">
        <v>1970.31</v>
      </c>
      <c r="F331" s="35">
        <v>2045.3</v>
      </c>
      <c r="G331" s="32" t="s">
        <v>27</v>
      </c>
      <c r="H331" s="37">
        <f>2395.66/1.2</f>
        <v>1996.3833333333332</v>
      </c>
      <c r="I331" s="38">
        <f t="shared" si="51"/>
        <v>39927.666666666664</v>
      </c>
      <c r="J331" s="38" t="s">
        <v>28</v>
      </c>
      <c r="K331" s="37">
        <v>2100.3000000000002</v>
      </c>
      <c r="L331" s="38">
        <f t="shared" si="41"/>
        <v>42006</v>
      </c>
      <c r="M331" s="33" t="s">
        <v>29</v>
      </c>
      <c r="N331" s="37">
        <v>2050.88</v>
      </c>
      <c r="O331" s="38">
        <f t="shared" si="42"/>
        <v>41017.600000000006</v>
      </c>
      <c r="P331" s="39">
        <f t="shared" si="43"/>
        <v>2049.1877777777777</v>
      </c>
      <c r="Q331" s="40">
        <f t="shared" si="44"/>
        <v>-0.18972286580753916</v>
      </c>
      <c r="R331" s="39">
        <f t="shared" si="45"/>
        <v>40906</v>
      </c>
      <c r="S331" s="41"/>
      <c r="U331" s="42">
        <f t="shared" si="46"/>
        <v>-3</v>
      </c>
      <c r="V331" s="42">
        <f t="shared" si="47"/>
        <v>2</v>
      </c>
      <c r="W331" s="42">
        <f t="shared" si="48"/>
        <v>0</v>
      </c>
    </row>
    <row r="332" spans="1:23" s="28" customFormat="1" ht="32.25" customHeight="1" x14ac:dyDescent="0.2">
      <c r="A332" s="30"/>
      <c r="B332" s="178" t="s">
        <v>455</v>
      </c>
      <c r="C332" s="178"/>
      <c r="D332" s="178"/>
      <c r="E332" s="178"/>
      <c r="F332" s="178"/>
      <c r="G332" s="178"/>
      <c r="H332" s="178"/>
      <c r="I332" s="178"/>
      <c r="J332" s="178"/>
      <c r="K332" s="178"/>
      <c r="L332" s="178"/>
      <c r="M332" s="178"/>
      <c r="N332" s="178"/>
      <c r="O332" s="178"/>
      <c r="P332" s="178"/>
      <c r="Q332" s="178"/>
      <c r="R332" s="178"/>
      <c r="S332" s="178"/>
      <c r="U332" s="42"/>
      <c r="V332" s="42"/>
      <c r="W332" s="42"/>
    </row>
    <row r="333" spans="1:23" s="28" customFormat="1" ht="73.5" customHeight="1" x14ac:dyDescent="0.2">
      <c r="A333" s="30">
        <v>319</v>
      </c>
      <c r="B333" s="31" t="s">
        <v>456</v>
      </c>
      <c r="C333" s="32" t="s">
        <v>25</v>
      </c>
      <c r="D333" s="33">
        <v>8</v>
      </c>
      <c r="E333" s="34">
        <v>84891.83</v>
      </c>
      <c r="F333" s="35">
        <v>87042.7</v>
      </c>
      <c r="G333" s="32" t="s">
        <v>56</v>
      </c>
      <c r="H333" s="37">
        <v>85925.72</v>
      </c>
      <c r="I333" s="38">
        <f>D333*H333</f>
        <v>687405.76</v>
      </c>
      <c r="J333" s="32" t="s">
        <v>57</v>
      </c>
      <c r="K333" s="37">
        <v>88479.67</v>
      </c>
      <c r="L333" s="38">
        <f>D333*K333</f>
        <v>707837.36</v>
      </c>
      <c r="M333" s="32" t="s">
        <v>457</v>
      </c>
      <c r="N333" s="37">
        <f>87011.83</f>
        <v>87011.83</v>
      </c>
      <c r="O333" s="38">
        <f>D333*N333</f>
        <v>696094.64</v>
      </c>
      <c r="P333" s="39">
        <f>AVERAGE(H333,K333,N333)</f>
        <v>87139.073333333348</v>
      </c>
      <c r="Q333" s="40">
        <f>F333*100/P333-100</f>
        <v>-0.11059715193974284</v>
      </c>
      <c r="R333" s="39">
        <f>D333*F333</f>
        <v>696341.6</v>
      </c>
      <c r="S333" s="31"/>
      <c r="U333" s="42">
        <f>ROUND(H333*100/P333-100,0)</f>
        <v>-1</v>
      </c>
      <c r="V333" s="42">
        <f>ROUND(K333*100/P333-100,0)</f>
        <v>2</v>
      </c>
      <c r="W333" s="42">
        <f>ROUND(N333*100/P333-100,0)</f>
        <v>0</v>
      </c>
    </row>
    <row r="334" spans="1:23" s="28" customFormat="1" ht="25.5" customHeight="1" x14ac:dyDescent="0.2">
      <c r="A334" s="189" t="s">
        <v>458</v>
      </c>
      <c r="B334" s="189"/>
      <c r="C334" s="189"/>
      <c r="D334" s="189"/>
      <c r="E334" s="189"/>
      <c r="F334" s="189"/>
      <c r="G334" s="189"/>
      <c r="H334" s="189"/>
      <c r="I334" s="189"/>
      <c r="J334" s="189"/>
      <c r="K334" s="189"/>
      <c r="L334" s="189"/>
      <c r="M334" s="189"/>
      <c r="N334" s="189"/>
      <c r="O334" s="189"/>
      <c r="P334" s="39" t="e">
        <f>SUM(P11:P333)</f>
        <v>#DIV/0!</v>
      </c>
      <c r="Q334" s="40"/>
      <c r="R334" s="39" t="e">
        <f>SUM(R11:R333)</f>
        <v>#VALUE!</v>
      </c>
      <c r="S334" s="31"/>
    </row>
    <row r="335" spans="1:23" s="10" customFormat="1" ht="33" customHeight="1" x14ac:dyDescent="0.25">
      <c r="A335" s="58"/>
      <c r="B335" s="190"/>
      <c r="C335" s="190"/>
      <c r="D335" s="190"/>
      <c r="E335" s="190"/>
      <c r="F335" s="190"/>
      <c r="G335" s="190"/>
      <c r="H335" s="190"/>
      <c r="I335" s="190"/>
      <c r="J335" s="59"/>
      <c r="K335" s="60"/>
      <c r="L335" s="58"/>
      <c r="M335" s="58"/>
      <c r="N335" s="60"/>
      <c r="O335" s="58"/>
      <c r="P335" s="58"/>
      <c r="Q335" s="58"/>
      <c r="R335" s="58"/>
      <c r="S335" s="58"/>
    </row>
    <row r="336" spans="1:23" ht="15.75" x14ac:dyDescent="0.25">
      <c r="J336" s="59"/>
    </row>
    <row r="337" spans="2:17" ht="15.75" x14ac:dyDescent="0.25">
      <c r="J337" s="59"/>
    </row>
    <row r="339" spans="2:17" ht="124.5" customHeight="1" x14ac:dyDescent="0.25">
      <c r="B339" s="191" t="s">
        <v>459</v>
      </c>
      <c r="C339" s="191"/>
      <c r="D339" s="191"/>
      <c r="E339" s="191"/>
      <c r="F339" s="191"/>
      <c r="G339" s="191"/>
      <c r="H339" s="191"/>
      <c r="I339" s="191"/>
      <c r="J339" s="191"/>
      <c r="K339" s="191"/>
      <c r="L339" s="191"/>
      <c r="M339" s="191"/>
      <c r="N339" s="191"/>
      <c r="O339" s="191"/>
      <c r="P339" s="191"/>
      <c r="Q339" s="191"/>
    </row>
    <row r="341" spans="2:17" ht="32.25" customHeight="1" x14ac:dyDescent="0.25">
      <c r="B341" s="191" t="s">
        <v>460</v>
      </c>
      <c r="C341" s="191"/>
      <c r="D341" s="191"/>
      <c r="E341" s="191"/>
      <c r="F341" s="191"/>
      <c r="G341" s="191"/>
      <c r="H341" s="191"/>
      <c r="I341" s="191"/>
      <c r="J341" s="191"/>
      <c r="K341" s="191"/>
      <c r="L341" s="191"/>
      <c r="M341" s="191"/>
      <c r="N341" s="191"/>
      <c r="O341" s="191"/>
      <c r="P341" s="191"/>
      <c r="Q341" s="191"/>
    </row>
    <row r="349" spans="2:17" x14ac:dyDescent="0.2">
      <c r="G349" s="36"/>
      <c r="H349" s="37"/>
    </row>
  </sheetData>
  <autoFilter ref="A10:S334">
    <filterColumn colId="18">
      <filters blank="1">
        <filter val="удаляем"/>
      </filters>
    </filterColumn>
  </autoFilter>
  <mergeCells count="25">
    <mergeCell ref="A334:O334"/>
    <mergeCell ref="B335:I335"/>
    <mergeCell ref="B339:Q339"/>
    <mergeCell ref="B341:Q341"/>
    <mergeCell ref="S7:S9"/>
    <mergeCell ref="M7:O8"/>
    <mergeCell ref="P7:P9"/>
    <mergeCell ref="Q7:Q9"/>
    <mergeCell ref="R7:R9"/>
    <mergeCell ref="U7:W8"/>
    <mergeCell ref="A11:S11"/>
    <mergeCell ref="E32:E33"/>
    <mergeCell ref="B332:S332"/>
    <mergeCell ref="P1:S1"/>
    <mergeCell ref="P2:S2"/>
    <mergeCell ref="A3:P3"/>
    <mergeCell ref="A5:Q5"/>
    <mergeCell ref="A7:A9"/>
    <mergeCell ref="B7:B9"/>
    <mergeCell ref="C7:C9"/>
    <mergeCell ref="D7:D9"/>
    <mergeCell ref="E7:E9"/>
    <mergeCell ref="F7:F9"/>
    <mergeCell ref="G7:I8"/>
    <mergeCell ref="J7:L8"/>
  </mergeCells>
  <conditionalFormatting sqref="Q333">
    <cfRule type="cellIs" dxfId="18" priority="2" operator="greaterThan">
      <formula>0</formula>
    </cfRule>
  </conditionalFormatting>
  <conditionalFormatting sqref="U11:W333">
    <cfRule type="expression" dxfId="17" priority="3">
      <formula>AND(U11&lt;-20,U11&lt;0)</formula>
    </cfRule>
    <cfRule type="expression" dxfId="16" priority="4">
      <formula>AND(U11&gt;20,U11&gt;0)</formula>
    </cfRule>
  </conditionalFormatting>
  <conditionalFormatting sqref="Q12:Q331">
    <cfRule type="cellIs" dxfId="15" priority="5" operator="greaterThan">
      <formula>0</formula>
    </cfRule>
  </conditionalFormatting>
  <pageMargins left="0.25" right="0.25" top="0.75" bottom="0.75" header="0.511811023622047" footer="0.511811023622047"/>
  <pageSetup paperSize="9" scale="35" orientation="landscape"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49"/>
  <sheetViews>
    <sheetView topLeftCell="A7" zoomScale="65" zoomScaleNormal="65" workbookViewId="0">
      <pane ySplit="4" topLeftCell="A31" activePane="bottomLeft" state="frozen"/>
      <selection activeCell="A7" sqref="A7"/>
      <selection pane="bottomLeft" activeCell="E38" activeCellId="1" sqref="J50:J51 E38"/>
    </sheetView>
  </sheetViews>
  <sheetFormatPr defaultColWidth="9.140625" defaultRowHeight="14.25" outlineLevelCol="1" x14ac:dyDescent="0.2"/>
  <cols>
    <col min="1" max="1" width="6.7109375" style="1" customWidth="1"/>
    <col min="2" max="2" width="39.7109375" style="2" customWidth="1"/>
    <col min="3" max="3" width="14.28515625" style="2" customWidth="1"/>
    <col min="4" max="4" width="15.140625" style="2" customWidth="1"/>
    <col min="5" max="5" width="16" style="1" customWidth="1"/>
    <col min="6" max="6" width="21" style="1" customWidth="1"/>
    <col min="7" max="7" width="17.5703125" style="4" customWidth="1"/>
    <col min="8" max="8" width="17.42578125" style="1" customWidth="1"/>
    <col min="9" max="9" width="19.85546875" style="1" customWidth="1"/>
    <col min="10" max="10" width="16.28515625" style="4" customWidth="1"/>
    <col min="11" max="11" width="17.85546875" style="1" customWidth="1"/>
    <col min="12" max="12" width="20.140625" style="1" customWidth="1"/>
    <col min="13" max="13" width="17.28515625" style="4" customWidth="1"/>
    <col min="14" max="14" width="19.7109375" style="1" customWidth="1"/>
    <col min="15" max="15" width="23.42578125" style="1" customWidth="1"/>
    <col min="16" max="16" width="21.42578125" style="1" customWidth="1"/>
    <col min="17" max="17" width="21.85546875" style="1" customWidth="1"/>
    <col min="18" max="18" width="26" style="1" customWidth="1"/>
    <col min="19" max="19" width="9.140625" style="1"/>
    <col min="20" max="22" width="13" style="1" customWidth="1" outlineLevel="1"/>
    <col min="23" max="16384" width="9.140625" style="1"/>
  </cols>
  <sheetData>
    <row r="1" spans="1:35" x14ac:dyDescent="0.2">
      <c r="O1" s="179" t="s">
        <v>0</v>
      </c>
      <c r="P1" s="179"/>
      <c r="Q1" s="179"/>
      <c r="R1" s="179"/>
    </row>
    <row r="2" spans="1:35" ht="32.25" customHeight="1" x14ac:dyDescent="0.2">
      <c r="O2" s="180" t="s">
        <v>1</v>
      </c>
      <c r="P2" s="180"/>
      <c r="Q2" s="180"/>
      <c r="R2" s="180"/>
    </row>
    <row r="3" spans="1:35" ht="25.5" customHeight="1" x14ac:dyDescent="0.2">
      <c r="A3" s="181" t="s">
        <v>2</v>
      </c>
      <c r="B3" s="181"/>
      <c r="C3" s="181"/>
      <c r="D3" s="181"/>
      <c r="E3" s="181"/>
      <c r="F3" s="181"/>
      <c r="G3" s="181"/>
      <c r="H3" s="181"/>
      <c r="I3" s="181"/>
      <c r="J3" s="181"/>
      <c r="K3" s="181"/>
      <c r="L3" s="181"/>
      <c r="M3" s="181"/>
      <c r="N3" s="181"/>
      <c r="O3" s="181"/>
      <c r="P3" s="5"/>
      <c r="Q3" s="5"/>
    </row>
    <row r="4" spans="1:35" ht="17.25" customHeight="1" x14ac:dyDescent="0.2">
      <c r="A4" s="6"/>
      <c r="B4" s="7"/>
      <c r="C4" s="7"/>
      <c r="D4" s="7"/>
      <c r="E4" s="6"/>
      <c r="F4" s="6"/>
      <c r="G4" s="9"/>
      <c r="H4" s="6"/>
      <c r="I4" s="6"/>
      <c r="J4" s="9"/>
      <c r="K4" s="6"/>
      <c r="L4" s="6"/>
      <c r="M4" s="9"/>
      <c r="N4" s="6"/>
    </row>
    <row r="5" spans="1:35" s="10" customFormat="1" ht="28.5" customHeight="1" x14ac:dyDescent="0.2">
      <c r="A5" s="182" t="s">
        <v>3</v>
      </c>
      <c r="B5" s="182"/>
      <c r="C5" s="182"/>
      <c r="D5" s="182"/>
      <c r="E5" s="182"/>
      <c r="F5" s="182"/>
      <c r="G5" s="182"/>
      <c r="H5" s="182"/>
      <c r="I5" s="182"/>
      <c r="J5" s="182"/>
      <c r="K5" s="182"/>
      <c r="L5" s="182"/>
      <c r="M5" s="182"/>
      <c r="N5" s="182"/>
      <c r="O5" s="182"/>
      <c r="P5" s="182"/>
    </row>
    <row r="6" spans="1:35" s="10" customFormat="1" x14ac:dyDescent="0.2">
      <c r="B6" s="11"/>
      <c r="C6" s="11"/>
      <c r="D6" s="11"/>
      <c r="G6" s="13"/>
      <c r="J6" s="13"/>
      <c r="M6" s="13"/>
    </row>
    <row r="7" spans="1:35" s="10" customFormat="1" ht="27" customHeight="1" x14ac:dyDescent="0.2">
      <c r="A7" s="183" t="s">
        <v>4</v>
      </c>
      <c r="B7" s="184" t="s">
        <v>5</v>
      </c>
      <c r="C7" s="185" t="s">
        <v>6</v>
      </c>
      <c r="D7" s="185" t="s">
        <v>7</v>
      </c>
      <c r="E7" s="187" t="s">
        <v>9</v>
      </c>
      <c r="F7" s="188" t="s">
        <v>10</v>
      </c>
      <c r="G7" s="188"/>
      <c r="H7" s="188"/>
      <c r="I7" s="188" t="s">
        <v>11</v>
      </c>
      <c r="J7" s="188"/>
      <c r="K7" s="188"/>
      <c r="L7" s="192" t="s">
        <v>12</v>
      </c>
      <c r="M7" s="192"/>
      <c r="N7" s="192"/>
      <c r="O7" s="193" t="s">
        <v>13</v>
      </c>
      <c r="P7" s="194" t="s">
        <v>14</v>
      </c>
      <c r="Q7" s="193" t="s">
        <v>15</v>
      </c>
      <c r="R7" s="185" t="s">
        <v>16</v>
      </c>
      <c r="T7" s="175" t="s">
        <v>17</v>
      </c>
      <c r="U7" s="175"/>
      <c r="V7" s="175"/>
    </row>
    <row r="8" spans="1:35" s="10" customFormat="1" ht="30.75" customHeight="1" x14ac:dyDescent="0.2">
      <c r="A8" s="183"/>
      <c r="B8" s="183"/>
      <c r="C8" s="183"/>
      <c r="D8" s="183"/>
      <c r="E8" s="187"/>
      <c r="F8" s="188"/>
      <c r="G8" s="188"/>
      <c r="H8" s="188"/>
      <c r="I8" s="188"/>
      <c r="J8" s="188"/>
      <c r="K8" s="188"/>
      <c r="L8" s="192"/>
      <c r="M8" s="192"/>
      <c r="N8" s="192"/>
      <c r="O8" s="193"/>
      <c r="P8" s="194"/>
      <c r="Q8" s="193"/>
      <c r="R8" s="185"/>
      <c r="T8" s="175"/>
      <c r="U8" s="175"/>
      <c r="V8" s="175"/>
    </row>
    <row r="9" spans="1:35" s="18" customFormat="1" ht="132.75" customHeight="1" x14ac:dyDescent="0.2">
      <c r="A9" s="183"/>
      <c r="B9" s="183"/>
      <c r="C9" s="185"/>
      <c r="D9" s="185"/>
      <c r="E9" s="187"/>
      <c r="F9" s="14" t="s">
        <v>18</v>
      </c>
      <c r="G9" s="15" t="s">
        <v>19</v>
      </c>
      <c r="H9" s="16" t="s">
        <v>20</v>
      </c>
      <c r="I9" s="14" t="s">
        <v>18</v>
      </c>
      <c r="J9" s="15" t="s">
        <v>19</v>
      </c>
      <c r="K9" s="16" t="s">
        <v>20</v>
      </c>
      <c r="L9" s="14" t="s">
        <v>18</v>
      </c>
      <c r="M9" s="15" t="s">
        <v>21</v>
      </c>
      <c r="N9" s="16" t="s">
        <v>22</v>
      </c>
      <c r="O9" s="193"/>
      <c r="P9" s="194"/>
      <c r="Q9" s="193"/>
      <c r="R9" s="185"/>
      <c r="S9" s="10"/>
      <c r="T9" s="17" t="s">
        <v>10</v>
      </c>
      <c r="U9" s="17" t="s">
        <v>11</v>
      </c>
      <c r="V9" s="17" t="s">
        <v>12</v>
      </c>
      <c r="W9" s="10"/>
      <c r="X9" s="10"/>
      <c r="Y9" s="10"/>
      <c r="Z9" s="10"/>
      <c r="AA9" s="10"/>
      <c r="AB9" s="10"/>
      <c r="AC9" s="10"/>
      <c r="AD9" s="10"/>
      <c r="AE9" s="10"/>
      <c r="AF9" s="10"/>
      <c r="AG9" s="10"/>
      <c r="AH9" s="10"/>
      <c r="AI9" s="10"/>
    </row>
    <row r="10" spans="1:35" s="26" customFormat="1" ht="14.25" customHeight="1" x14ac:dyDescent="0.25">
      <c r="A10" s="19">
        <v>1</v>
      </c>
      <c r="B10" s="20">
        <v>2</v>
      </c>
      <c r="C10" s="21">
        <v>3</v>
      </c>
      <c r="D10" s="21">
        <v>4</v>
      </c>
      <c r="E10" s="21"/>
      <c r="F10" s="23">
        <v>5</v>
      </c>
      <c r="G10" s="24">
        <v>6</v>
      </c>
      <c r="H10" s="20">
        <v>7</v>
      </c>
      <c r="I10" s="23">
        <v>8</v>
      </c>
      <c r="J10" s="25">
        <v>9</v>
      </c>
      <c r="K10" s="20">
        <v>10</v>
      </c>
      <c r="L10" s="23">
        <v>11</v>
      </c>
      <c r="M10" s="25">
        <v>12</v>
      </c>
      <c r="N10" s="20">
        <v>12</v>
      </c>
      <c r="O10" s="23">
        <v>15</v>
      </c>
      <c r="P10" s="23">
        <v>16</v>
      </c>
      <c r="Q10" s="23">
        <v>17</v>
      </c>
      <c r="R10" s="23">
        <v>18</v>
      </c>
      <c r="T10" s="27"/>
      <c r="U10" s="27"/>
      <c r="V10" s="27"/>
    </row>
    <row r="11" spans="1:35" s="28" customFormat="1" ht="35.25" customHeight="1" x14ac:dyDescent="0.2">
      <c r="A11" s="176" t="s">
        <v>23</v>
      </c>
      <c r="B11" s="176"/>
      <c r="C11" s="176"/>
      <c r="D11" s="176"/>
      <c r="E11" s="176"/>
      <c r="F11" s="176"/>
      <c r="G11" s="176"/>
      <c r="H11" s="176"/>
      <c r="I11" s="176"/>
      <c r="J11" s="176"/>
      <c r="K11" s="176"/>
      <c r="L11" s="176"/>
      <c r="M11" s="176"/>
      <c r="N11" s="176"/>
      <c r="O11" s="176"/>
      <c r="P11" s="176"/>
      <c r="Q11" s="176"/>
      <c r="R11" s="176"/>
      <c r="T11" s="29"/>
      <c r="U11" s="29"/>
      <c r="V11" s="29"/>
    </row>
    <row r="12" spans="1:35" s="28" customFormat="1" ht="73.5" customHeight="1" x14ac:dyDescent="0.2">
      <c r="A12" s="30">
        <v>1</v>
      </c>
      <c r="B12" s="31" t="s">
        <v>24</v>
      </c>
      <c r="C12" s="32" t="s">
        <v>25</v>
      </c>
      <c r="D12" s="33">
        <v>12</v>
      </c>
      <c r="E12" s="35">
        <v>211.5</v>
      </c>
      <c r="F12" s="32" t="s">
        <v>27</v>
      </c>
      <c r="G12" s="37">
        <f>241.6/1.2</f>
        <v>201.33333333333334</v>
      </c>
      <c r="H12" s="38">
        <f t="shared" ref="H12:H43" si="0">D12*G12</f>
        <v>2416</v>
      </c>
      <c r="I12" s="38" t="s">
        <v>28</v>
      </c>
      <c r="J12" s="37">
        <f>264.54/1.2</f>
        <v>220.45000000000002</v>
      </c>
      <c r="K12" s="38">
        <f t="shared" ref="K12:K75" si="1">D12*J12</f>
        <v>2645.4</v>
      </c>
      <c r="L12" s="32" t="s">
        <v>29</v>
      </c>
      <c r="M12" s="37">
        <v>214.67</v>
      </c>
      <c r="N12" s="38">
        <f t="shared" ref="N12:N75" si="2">D12*M12</f>
        <v>2576.04</v>
      </c>
      <c r="O12" s="39">
        <f t="shared" ref="O12:O75" si="3">AVERAGE(G12,J12,M12)</f>
        <v>212.15111111111113</v>
      </c>
      <c r="P12" s="40">
        <f t="shared" ref="P12:P75" si="4">E12*100/O12-100</f>
        <v>-0.30690912138099691</v>
      </c>
      <c r="Q12" s="39">
        <f t="shared" ref="Q12:Q75" si="5">D12*E12</f>
        <v>2538</v>
      </c>
      <c r="R12" s="41"/>
      <c r="T12" s="42">
        <f t="shared" ref="T12:T75" si="6">ROUND(G12*100/O12-100,0)</f>
        <v>-5</v>
      </c>
      <c r="U12" s="42">
        <f t="shared" ref="U12:U75" si="7">ROUND(J12*100/O12-100,0)</f>
        <v>4</v>
      </c>
      <c r="V12" s="42">
        <f t="shared" ref="V12:V75" si="8">ROUND(M12*100/O12-100,0)</f>
        <v>1</v>
      </c>
    </row>
    <row r="13" spans="1:35" s="28" customFormat="1" ht="73.5" customHeight="1" x14ac:dyDescent="0.2">
      <c r="A13" s="30">
        <v>2</v>
      </c>
      <c r="B13" s="31" t="s">
        <v>30</v>
      </c>
      <c r="C13" s="32" t="s">
        <v>25</v>
      </c>
      <c r="D13" s="33">
        <v>1</v>
      </c>
      <c r="E13" s="35">
        <v>77750.45</v>
      </c>
      <c r="F13" s="32" t="s">
        <v>31</v>
      </c>
      <c r="G13" s="37">
        <f>89307.79/1.2</f>
        <v>74423.158333333326</v>
      </c>
      <c r="H13" s="38">
        <f t="shared" si="0"/>
        <v>74423.158333333326</v>
      </c>
      <c r="I13" s="32" t="s">
        <v>32</v>
      </c>
      <c r="J13" s="37">
        <f>107832.34/1.2</f>
        <v>89860.28333333334</v>
      </c>
      <c r="K13" s="38">
        <f t="shared" si="1"/>
        <v>89860.28333333334</v>
      </c>
      <c r="L13" s="32" t="s">
        <v>33</v>
      </c>
      <c r="M13" s="37">
        <f>82801.69/1.2</f>
        <v>69001.40833333334</v>
      </c>
      <c r="N13" s="38">
        <f t="shared" si="2"/>
        <v>69001.40833333334</v>
      </c>
      <c r="O13" s="39">
        <f t="shared" si="3"/>
        <v>77761.616666666654</v>
      </c>
      <c r="P13" s="40">
        <f t="shared" si="4"/>
        <v>-1.4360126686312924E-2</v>
      </c>
      <c r="Q13" s="39">
        <f t="shared" si="5"/>
        <v>77750.45</v>
      </c>
      <c r="R13" s="41"/>
      <c r="T13" s="42">
        <f t="shared" si="6"/>
        <v>-4</v>
      </c>
      <c r="U13" s="42">
        <f t="shared" si="7"/>
        <v>16</v>
      </c>
      <c r="V13" s="42">
        <f t="shared" si="8"/>
        <v>-11</v>
      </c>
    </row>
    <row r="14" spans="1:35" s="28" customFormat="1" ht="73.5" customHeight="1" x14ac:dyDescent="0.2">
      <c r="A14" s="30">
        <v>3</v>
      </c>
      <c r="B14" s="31" t="s">
        <v>34</v>
      </c>
      <c r="C14" s="32" t="s">
        <v>25</v>
      </c>
      <c r="D14" s="33">
        <v>1</v>
      </c>
      <c r="E14" s="35">
        <v>84551</v>
      </c>
      <c r="F14" s="32" t="s">
        <v>31</v>
      </c>
      <c r="G14" s="37">
        <f>99534.53/1.2</f>
        <v>82945.441666666666</v>
      </c>
      <c r="H14" s="38">
        <f t="shared" si="0"/>
        <v>82945.441666666666</v>
      </c>
      <c r="I14" s="32" t="s">
        <v>32</v>
      </c>
      <c r="J14" s="37">
        <f>115890.88/1.2</f>
        <v>96575.733333333337</v>
      </c>
      <c r="K14" s="38">
        <f t="shared" si="1"/>
        <v>96575.733333333337</v>
      </c>
      <c r="L14" s="32" t="s">
        <v>33</v>
      </c>
      <c r="M14" s="37">
        <f>88990.14/1.2</f>
        <v>74158.45</v>
      </c>
      <c r="N14" s="38">
        <f t="shared" si="2"/>
        <v>74158.45</v>
      </c>
      <c r="O14" s="39">
        <f t="shared" si="3"/>
        <v>84559.875</v>
      </c>
      <c r="P14" s="40">
        <f t="shared" si="4"/>
        <v>-1.0495521664381613E-2</v>
      </c>
      <c r="Q14" s="39">
        <f t="shared" si="5"/>
        <v>84551</v>
      </c>
      <c r="R14" s="41"/>
      <c r="T14" s="42">
        <f t="shared" si="6"/>
        <v>-2</v>
      </c>
      <c r="U14" s="42">
        <f t="shared" si="7"/>
        <v>14</v>
      </c>
      <c r="V14" s="42">
        <f t="shared" si="8"/>
        <v>-12</v>
      </c>
    </row>
    <row r="15" spans="1:35" s="28" customFormat="1" ht="73.5" customHeight="1" x14ac:dyDescent="0.2">
      <c r="A15" s="30">
        <v>4</v>
      </c>
      <c r="B15" s="31" t="s">
        <v>35</v>
      </c>
      <c r="C15" s="32" t="s">
        <v>25</v>
      </c>
      <c r="D15" s="33">
        <v>1</v>
      </c>
      <c r="E15" s="35">
        <v>155.25</v>
      </c>
      <c r="F15" s="32" t="s">
        <v>27</v>
      </c>
      <c r="G15" s="37">
        <f>177.86/1.2</f>
        <v>148.2166666666667</v>
      </c>
      <c r="H15" s="38">
        <f t="shared" si="0"/>
        <v>148.2166666666667</v>
      </c>
      <c r="I15" s="38" t="s">
        <v>28</v>
      </c>
      <c r="J15" s="37">
        <v>165.48</v>
      </c>
      <c r="K15" s="38">
        <f t="shared" si="1"/>
        <v>165.48</v>
      </c>
      <c r="L15" s="32" t="s">
        <v>29</v>
      </c>
      <c r="M15" s="37">
        <v>159.71</v>
      </c>
      <c r="N15" s="38">
        <f t="shared" si="2"/>
        <v>159.71</v>
      </c>
      <c r="O15" s="39">
        <f t="shared" si="3"/>
        <v>157.80222222222224</v>
      </c>
      <c r="P15" s="40">
        <f t="shared" si="4"/>
        <v>-1.6173550576671403</v>
      </c>
      <c r="Q15" s="39">
        <f t="shared" si="5"/>
        <v>155.25</v>
      </c>
      <c r="R15" s="41"/>
      <c r="T15" s="42">
        <f t="shared" si="6"/>
        <v>-6</v>
      </c>
      <c r="U15" s="42">
        <f t="shared" si="7"/>
        <v>5</v>
      </c>
      <c r="V15" s="42">
        <f t="shared" si="8"/>
        <v>1</v>
      </c>
    </row>
    <row r="16" spans="1:35" s="28" customFormat="1" ht="73.5" customHeight="1" x14ac:dyDescent="0.2">
      <c r="A16" s="30">
        <v>5</v>
      </c>
      <c r="B16" s="31" t="s">
        <v>36</v>
      </c>
      <c r="C16" s="32" t="s">
        <v>25</v>
      </c>
      <c r="D16" s="33">
        <v>2</v>
      </c>
      <c r="E16" s="35">
        <v>1088.6500000000001</v>
      </c>
      <c r="F16" s="32" t="s">
        <v>27</v>
      </c>
      <c r="G16" s="37">
        <f>1302.94/1.2</f>
        <v>1085.7833333333335</v>
      </c>
      <c r="H16" s="38">
        <f t="shared" si="0"/>
        <v>2171.5666666666671</v>
      </c>
      <c r="I16" s="38" t="s">
        <v>28</v>
      </c>
      <c r="J16" s="37">
        <v>1070.69</v>
      </c>
      <c r="K16" s="38">
        <f t="shared" si="1"/>
        <v>2141.38</v>
      </c>
      <c r="L16" s="32" t="s">
        <v>29</v>
      </c>
      <c r="M16" s="37">
        <v>1115.47</v>
      </c>
      <c r="N16" s="38">
        <f t="shared" si="2"/>
        <v>2230.94</v>
      </c>
      <c r="O16" s="39">
        <f t="shared" si="3"/>
        <v>1090.6477777777779</v>
      </c>
      <c r="P16" s="40">
        <f t="shared" si="4"/>
        <v>-0.18317350646863417</v>
      </c>
      <c r="Q16" s="39">
        <f t="shared" si="5"/>
        <v>2177.3000000000002</v>
      </c>
      <c r="R16" s="41"/>
      <c r="T16" s="42">
        <f t="shared" si="6"/>
        <v>0</v>
      </c>
      <c r="U16" s="42">
        <f t="shared" si="7"/>
        <v>-2</v>
      </c>
      <c r="V16" s="42">
        <f t="shared" si="8"/>
        <v>2</v>
      </c>
    </row>
    <row r="17" spans="1:22" s="28" customFormat="1" ht="73.5" customHeight="1" x14ac:dyDescent="0.2">
      <c r="A17" s="30">
        <v>6</v>
      </c>
      <c r="B17" s="31" t="s">
        <v>37</v>
      </c>
      <c r="C17" s="32" t="s">
        <v>25</v>
      </c>
      <c r="D17" s="33">
        <v>12</v>
      </c>
      <c r="E17" s="35">
        <v>810.4</v>
      </c>
      <c r="F17" s="32" t="s">
        <v>27</v>
      </c>
      <c r="G17" s="37">
        <f>957.31/1.2</f>
        <v>797.75833333333333</v>
      </c>
      <c r="H17" s="38">
        <f t="shared" si="0"/>
        <v>9573.1</v>
      </c>
      <c r="I17" s="38" t="s">
        <v>28</v>
      </c>
      <c r="J17" s="37">
        <v>850.7</v>
      </c>
      <c r="K17" s="38">
        <f t="shared" si="1"/>
        <v>10208.400000000001</v>
      </c>
      <c r="L17" s="32" t="s">
        <v>29</v>
      </c>
      <c r="M17" s="37">
        <v>786.42</v>
      </c>
      <c r="N17" s="38">
        <f t="shared" si="2"/>
        <v>9437.0399999999991</v>
      </c>
      <c r="O17" s="39">
        <f t="shared" si="3"/>
        <v>811.62611111111119</v>
      </c>
      <c r="P17" s="40">
        <f t="shared" si="4"/>
        <v>-0.15106846543325503</v>
      </c>
      <c r="Q17" s="39">
        <f t="shared" si="5"/>
        <v>9724.7999999999993</v>
      </c>
      <c r="R17" s="41"/>
      <c r="T17" s="42">
        <f t="shared" si="6"/>
        <v>-2</v>
      </c>
      <c r="U17" s="42">
        <f t="shared" si="7"/>
        <v>5</v>
      </c>
      <c r="V17" s="42">
        <f t="shared" si="8"/>
        <v>-3</v>
      </c>
    </row>
    <row r="18" spans="1:22" s="28" customFormat="1" ht="73.5" customHeight="1" x14ac:dyDescent="0.2">
      <c r="A18" s="30">
        <v>7</v>
      </c>
      <c r="B18" s="31" t="s">
        <v>38</v>
      </c>
      <c r="C18" s="32" t="s">
        <v>25</v>
      </c>
      <c r="D18" s="33">
        <v>4</v>
      </c>
      <c r="E18" s="35">
        <v>4105.6000000000004</v>
      </c>
      <c r="F18" s="32" t="s">
        <v>39</v>
      </c>
      <c r="G18" s="37">
        <v>3911.74</v>
      </c>
      <c r="H18" s="38">
        <f t="shared" si="0"/>
        <v>15646.96</v>
      </c>
      <c r="I18" s="32" t="s">
        <v>40</v>
      </c>
      <c r="J18" s="37">
        <f>5150/1.2</f>
        <v>4291.666666666667</v>
      </c>
      <c r="K18" s="38">
        <f t="shared" si="1"/>
        <v>17166.666666666668</v>
      </c>
      <c r="L18" s="38" t="s">
        <v>41</v>
      </c>
      <c r="M18" s="37">
        <f>4944.77/1.2</f>
        <v>4120.6416666666673</v>
      </c>
      <c r="N18" s="38">
        <f t="shared" si="2"/>
        <v>16482.566666666669</v>
      </c>
      <c r="O18" s="39">
        <f t="shared" si="3"/>
        <v>4108.0161111111111</v>
      </c>
      <c r="P18" s="40">
        <f t="shared" si="4"/>
        <v>-5.8814548087468665E-2</v>
      </c>
      <c r="Q18" s="39">
        <f t="shared" si="5"/>
        <v>16422.400000000001</v>
      </c>
      <c r="R18" s="41"/>
      <c r="T18" s="42">
        <f t="shared" si="6"/>
        <v>-5</v>
      </c>
      <c r="U18" s="42">
        <f t="shared" si="7"/>
        <v>4</v>
      </c>
      <c r="V18" s="42">
        <f t="shared" si="8"/>
        <v>0</v>
      </c>
    </row>
    <row r="19" spans="1:22" s="28" customFormat="1" ht="73.5" customHeight="1" x14ac:dyDescent="0.2">
      <c r="A19" s="30">
        <v>8</v>
      </c>
      <c r="B19" s="31" t="s">
        <v>42</v>
      </c>
      <c r="C19" s="32" t="s">
        <v>25</v>
      </c>
      <c r="D19" s="33" t="s">
        <v>43</v>
      </c>
      <c r="E19" s="35">
        <v>5173.66</v>
      </c>
      <c r="F19" s="32" t="s">
        <v>27</v>
      </c>
      <c r="G19" s="37">
        <f>6183.86/1.2</f>
        <v>5153.2166666666662</v>
      </c>
      <c r="H19" s="38">
        <f t="shared" si="0"/>
        <v>288580.1333333333</v>
      </c>
      <c r="I19" s="38" t="s">
        <v>28</v>
      </c>
      <c r="J19" s="37">
        <v>5129.75</v>
      </c>
      <c r="K19" s="38">
        <f t="shared" si="1"/>
        <v>287266</v>
      </c>
      <c r="L19" s="32" t="s">
        <v>29</v>
      </c>
      <c r="M19" s="37">
        <v>5251.46</v>
      </c>
      <c r="N19" s="38">
        <f t="shared" si="2"/>
        <v>294081.76</v>
      </c>
      <c r="O19" s="39">
        <f t="shared" si="3"/>
        <v>5178.1422222222218</v>
      </c>
      <c r="P19" s="40">
        <f t="shared" si="4"/>
        <v>-8.6560430939613298E-2</v>
      </c>
      <c r="Q19" s="39">
        <f t="shared" si="5"/>
        <v>289724.95999999996</v>
      </c>
      <c r="R19" s="41"/>
      <c r="T19" s="42">
        <f t="shared" si="6"/>
        <v>0</v>
      </c>
      <c r="U19" s="42">
        <f t="shared" si="7"/>
        <v>-1</v>
      </c>
      <c r="V19" s="42">
        <f t="shared" si="8"/>
        <v>1</v>
      </c>
    </row>
    <row r="20" spans="1:22" s="28" customFormat="1" ht="73.5" customHeight="1" x14ac:dyDescent="0.2">
      <c r="A20" s="30">
        <v>9</v>
      </c>
      <c r="B20" s="31" t="s">
        <v>44</v>
      </c>
      <c r="C20" s="32" t="s">
        <v>45</v>
      </c>
      <c r="D20" s="33">
        <v>24.9</v>
      </c>
      <c r="E20" s="35">
        <v>2000</v>
      </c>
      <c r="F20" s="32" t="s">
        <v>39</v>
      </c>
      <c r="G20" s="37">
        <f>123.52*1000/65</f>
        <v>1900.3076923076924</v>
      </c>
      <c r="H20" s="38">
        <f t="shared" si="0"/>
        <v>47317.661538461536</v>
      </c>
      <c r="I20" s="32" t="s">
        <v>46</v>
      </c>
      <c r="J20" s="37">
        <v>2005.78</v>
      </c>
      <c r="K20" s="38">
        <f t="shared" si="1"/>
        <v>49943.921999999999</v>
      </c>
      <c r="L20" s="38" t="s">
        <v>41</v>
      </c>
      <c r="M20" s="37">
        <f>2520.94/1.2</f>
        <v>2100.7833333333333</v>
      </c>
      <c r="N20" s="38">
        <f t="shared" si="2"/>
        <v>52309.504999999997</v>
      </c>
      <c r="O20" s="39">
        <f t="shared" si="3"/>
        <v>2002.2903418803417</v>
      </c>
      <c r="P20" s="40">
        <f t="shared" si="4"/>
        <v>-0.11438610237668456</v>
      </c>
      <c r="Q20" s="39">
        <f t="shared" si="5"/>
        <v>49800</v>
      </c>
      <c r="R20" s="41"/>
      <c r="T20" s="42">
        <f t="shared" si="6"/>
        <v>-5</v>
      </c>
      <c r="U20" s="42">
        <f t="shared" si="7"/>
        <v>0</v>
      </c>
      <c r="V20" s="42">
        <f t="shared" si="8"/>
        <v>5</v>
      </c>
    </row>
    <row r="21" spans="1:22" s="28" customFormat="1" ht="73.5" customHeight="1" x14ac:dyDescent="0.2">
      <c r="A21" s="30">
        <v>10</v>
      </c>
      <c r="B21" s="31" t="s">
        <v>47</v>
      </c>
      <c r="C21" s="32" t="s">
        <v>25</v>
      </c>
      <c r="D21" s="33">
        <v>1</v>
      </c>
      <c r="E21" s="35">
        <v>227.1</v>
      </c>
      <c r="F21" s="32" t="s">
        <v>27</v>
      </c>
      <c r="G21" s="37">
        <f>272.44/1.2</f>
        <v>227.03333333333333</v>
      </c>
      <c r="H21" s="38">
        <f t="shared" si="0"/>
        <v>227.03333333333333</v>
      </c>
      <c r="I21" s="38" t="s">
        <v>28</v>
      </c>
      <c r="J21" s="37">
        <v>219.78</v>
      </c>
      <c r="K21" s="38">
        <f t="shared" si="1"/>
        <v>219.78</v>
      </c>
      <c r="L21" s="32" t="s">
        <v>29</v>
      </c>
      <c r="M21" s="37">
        <v>235.12</v>
      </c>
      <c r="N21" s="38">
        <f t="shared" si="2"/>
        <v>235.12</v>
      </c>
      <c r="O21" s="39">
        <f t="shared" si="3"/>
        <v>227.31111111111113</v>
      </c>
      <c r="P21" s="40">
        <f t="shared" si="4"/>
        <v>-9.2873203636727908E-2</v>
      </c>
      <c r="Q21" s="39">
        <f t="shared" si="5"/>
        <v>227.1</v>
      </c>
      <c r="R21" s="41"/>
      <c r="T21" s="42">
        <f t="shared" si="6"/>
        <v>0</v>
      </c>
      <c r="U21" s="42">
        <f t="shared" si="7"/>
        <v>-3</v>
      </c>
      <c r="V21" s="42">
        <f t="shared" si="8"/>
        <v>3</v>
      </c>
    </row>
    <row r="22" spans="1:22" s="28" customFormat="1" ht="73.5" customHeight="1" x14ac:dyDescent="0.2">
      <c r="A22" s="30">
        <v>11</v>
      </c>
      <c r="B22" s="31" t="s">
        <v>48</v>
      </c>
      <c r="C22" s="32" t="s">
        <v>25</v>
      </c>
      <c r="D22" s="33">
        <v>1</v>
      </c>
      <c r="E22" s="35">
        <v>261.5</v>
      </c>
      <c r="F22" s="32" t="s">
        <v>27</v>
      </c>
      <c r="G22" s="37">
        <f>311.2/1.2</f>
        <v>259.33333333333331</v>
      </c>
      <c r="H22" s="38">
        <f t="shared" si="0"/>
        <v>259.33333333333331</v>
      </c>
      <c r="I22" s="38" t="s">
        <v>28</v>
      </c>
      <c r="J22" s="37">
        <v>255.13</v>
      </c>
      <c r="K22" s="38">
        <f t="shared" si="1"/>
        <v>255.13</v>
      </c>
      <c r="L22" s="32" t="s">
        <v>29</v>
      </c>
      <c r="M22" s="37">
        <v>272.39999999999998</v>
      </c>
      <c r="N22" s="38">
        <f t="shared" si="2"/>
        <v>272.39999999999998</v>
      </c>
      <c r="O22" s="39">
        <f t="shared" si="3"/>
        <v>262.28777777777776</v>
      </c>
      <c r="P22" s="40">
        <f t="shared" si="4"/>
        <v>-0.30034864165314445</v>
      </c>
      <c r="Q22" s="39">
        <f t="shared" si="5"/>
        <v>261.5</v>
      </c>
      <c r="R22" s="41"/>
      <c r="T22" s="42">
        <f t="shared" si="6"/>
        <v>-1</v>
      </c>
      <c r="U22" s="42">
        <f t="shared" si="7"/>
        <v>-3</v>
      </c>
      <c r="V22" s="42">
        <f t="shared" si="8"/>
        <v>4</v>
      </c>
    </row>
    <row r="23" spans="1:22" s="28" customFormat="1" ht="73.5" customHeight="1" x14ac:dyDescent="0.2">
      <c r="A23" s="30">
        <v>12</v>
      </c>
      <c r="B23" s="31" t="s">
        <v>49</v>
      </c>
      <c r="C23" s="32" t="s">
        <v>25</v>
      </c>
      <c r="D23" s="33">
        <v>61</v>
      </c>
      <c r="E23" s="35">
        <v>501.3</v>
      </c>
      <c r="F23" s="32" t="s">
        <v>27</v>
      </c>
      <c r="G23" s="37">
        <f>588.83/1.2</f>
        <v>490.69166666666672</v>
      </c>
      <c r="H23" s="38">
        <f t="shared" si="0"/>
        <v>29932.191666666669</v>
      </c>
      <c r="I23" s="38" t="s">
        <v>28</v>
      </c>
      <c r="J23" s="37">
        <v>536.87</v>
      </c>
      <c r="K23" s="38">
        <f t="shared" si="1"/>
        <v>32749.07</v>
      </c>
      <c r="L23" s="32" t="s">
        <v>29</v>
      </c>
      <c r="M23" s="37">
        <v>480.65</v>
      </c>
      <c r="N23" s="38">
        <f t="shared" si="2"/>
        <v>29319.649999999998</v>
      </c>
      <c r="O23" s="39">
        <f t="shared" si="3"/>
        <v>502.73722222222221</v>
      </c>
      <c r="P23" s="40">
        <f t="shared" si="4"/>
        <v>-0.28587941347754509</v>
      </c>
      <c r="Q23" s="39">
        <f t="shared" si="5"/>
        <v>30579.3</v>
      </c>
      <c r="R23" s="41"/>
      <c r="T23" s="42">
        <f t="shared" si="6"/>
        <v>-2</v>
      </c>
      <c r="U23" s="42">
        <f t="shared" si="7"/>
        <v>7</v>
      </c>
      <c r="V23" s="42">
        <f t="shared" si="8"/>
        <v>-4</v>
      </c>
    </row>
    <row r="24" spans="1:22" s="28" customFormat="1" ht="73.5" customHeight="1" x14ac:dyDescent="0.2">
      <c r="A24" s="30">
        <v>13</v>
      </c>
      <c r="B24" s="31" t="s">
        <v>50</v>
      </c>
      <c r="C24" s="32" t="s">
        <v>25</v>
      </c>
      <c r="D24" s="33">
        <v>107</v>
      </c>
      <c r="E24" s="35">
        <v>487.5</v>
      </c>
      <c r="F24" s="32" t="s">
        <v>27</v>
      </c>
      <c r="G24" s="37">
        <f>569.51/1.2</f>
        <v>474.5916666666667</v>
      </c>
      <c r="H24" s="38">
        <f t="shared" si="0"/>
        <v>50781.308333333334</v>
      </c>
      <c r="I24" s="38" t="s">
        <v>28</v>
      </c>
      <c r="J24" s="37">
        <f>640.09/1.2</f>
        <v>533.40833333333342</v>
      </c>
      <c r="K24" s="38">
        <f t="shared" si="1"/>
        <v>57074.691666666673</v>
      </c>
      <c r="L24" s="32" t="s">
        <v>29</v>
      </c>
      <c r="M24" s="37">
        <v>460.72</v>
      </c>
      <c r="N24" s="38">
        <f t="shared" si="2"/>
        <v>49297.04</v>
      </c>
      <c r="O24" s="39">
        <f t="shared" si="3"/>
        <v>489.57333333333344</v>
      </c>
      <c r="P24" s="40">
        <f t="shared" si="4"/>
        <v>-0.42349801187430103</v>
      </c>
      <c r="Q24" s="39">
        <f t="shared" si="5"/>
        <v>52162.5</v>
      </c>
      <c r="R24" s="41"/>
      <c r="T24" s="42">
        <f t="shared" si="6"/>
        <v>-3</v>
      </c>
      <c r="U24" s="42">
        <f t="shared" si="7"/>
        <v>9</v>
      </c>
      <c r="V24" s="42">
        <f t="shared" si="8"/>
        <v>-6</v>
      </c>
    </row>
    <row r="25" spans="1:22" s="28" customFormat="1" ht="73.5" customHeight="1" x14ac:dyDescent="0.2">
      <c r="A25" s="30">
        <v>14</v>
      </c>
      <c r="B25" s="31" t="s">
        <v>51</v>
      </c>
      <c r="C25" s="32" t="s">
        <v>25</v>
      </c>
      <c r="D25" s="33">
        <v>2</v>
      </c>
      <c r="E25" s="35">
        <v>1920.6</v>
      </c>
      <c r="F25" s="32" t="s">
        <v>27</v>
      </c>
      <c r="G25" s="37">
        <f>2205.97/1.2</f>
        <v>1838.3083333333332</v>
      </c>
      <c r="H25" s="38">
        <f t="shared" si="0"/>
        <v>3676.6166666666663</v>
      </c>
      <c r="I25" s="38" t="s">
        <v>28</v>
      </c>
      <c r="J25" s="37">
        <v>1945.34</v>
      </c>
      <c r="K25" s="38">
        <f t="shared" si="1"/>
        <v>3890.68</v>
      </c>
      <c r="L25" s="32" t="s">
        <v>29</v>
      </c>
      <c r="M25" s="37">
        <v>1990.71</v>
      </c>
      <c r="N25" s="38">
        <f t="shared" si="2"/>
        <v>3981.42</v>
      </c>
      <c r="O25" s="39">
        <f t="shared" si="3"/>
        <v>1924.7861111111113</v>
      </c>
      <c r="P25" s="40">
        <f t="shared" si="4"/>
        <v>-0.21748448240280993</v>
      </c>
      <c r="Q25" s="39">
        <f t="shared" si="5"/>
        <v>3841.2</v>
      </c>
      <c r="R25" s="41"/>
      <c r="T25" s="42">
        <f t="shared" si="6"/>
        <v>-4</v>
      </c>
      <c r="U25" s="42">
        <f t="shared" si="7"/>
        <v>1</v>
      </c>
      <c r="V25" s="42">
        <f t="shared" si="8"/>
        <v>3</v>
      </c>
    </row>
    <row r="26" spans="1:22" s="28" customFormat="1" ht="73.5" customHeight="1" x14ac:dyDescent="0.2">
      <c r="A26" s="30">
        <v>15</v>
      </c>
      <c r="B26" s="31" t="s">
        <v>52</v>
      </c>
      <c r="C26" s="32" t="s">
        <v>53</v>
      </c>
      <c r="D26" s="33">
        <v>240</v>
      </c>
      <c r="E26" s="35">
        <v>331.49</v>
      </c>
      <c r="F26" s="32" t="s">
        <v>54</v>
      </c>
      <c r="G26" s="37">
        <v>323.02</v>
      </c>
      <c r="H26" s="38">
        <f t="shared" si="0"/>
        <v>77524.799999999988</v>
      </c>
      <c r="I26" s="32" t="s">
        <v>46</v>
      </c>
      <c r="J26" s="37">
        <v>355.87</v>
      </c>
      <c r="K26" s="38">
        <f t="shared" si="1"/>
        <v>85408.8</v>
      </c>
      <c r="L26" s="38" t="s">
        <v>41</v>
      </c>
      <c r="M26" s="37">
        <v>317.56</v>
      </c>
      <c r="N26" s="38">
        <f t="shared" si="2"/>
        <v>76214.399999999994</v>
      </c>
      <c r="O26" s="39">
        <f t="shared" si="3"/>
        <v>332.15000000000003</v>
      </c>
      <c r="P26" s="40">
        <f t="shared" si="4"/>
        <v>-0.19870540418486371</v>
      </c>
      <c r="Q26" s="39">
        <f t="shared" si="5"/>
        <v>79557.600000000006</v>
      </c>
      <c r="R26" s="41"/>
      <c r="T26" s="42">
        <f t="shared" si="6"/>
        <v>-3</v>
      </c>
      <c r="U26" s="42">
        <f t="shared" si="7"/>
        <v>7</v>
      </c>
      <c r="V26" s="42">
        <f t="shared" si="8"/>
        <v>-4</v>
      </c>
    </row>
    <row r="27" spans="1:22" s="28" customFormat="1" ht="73.5" customHeight="1" x14ac:dyDescent="0.2">
      <c r="A27" s="30">
        <v>16</v>
      </c>
      <c r="B27" s="31" t="s">
        <v>55</v>
      </c>
      <c r="C27" s="32" t="s">
        <v>25</v>
      </c>
      <c r="D27" s="33">
        <v>2</v>
      </c>
      <c r="E27" s="35">
        <v>19052</v>
      </c>
      <c r="F27" s="32" t="s">
        <v>56</v>
      </c>
      <c r="G27" s="37">
        <v>19820.740000000002</v>
      </c>
      <c r="H27" s="38">
        <f t="shared" si="0"/>
        <v>39641.480000000003</v>
      </c>
      <c r="I27" s="32" t="s">
        <v>57</v>
      </c>
      <c r="J27" s="37">
        <v>19276.63</v>
      </c>
      <c r="K27" s="38">
        <f t="shared" si="1"/>
        <v>38553.26</v>
      </c>
      <c r="L27" s="32" t="s">
        <v>58</v>
      </c>
      <c r="M27" s="37">
        <v>18175.310000000001</v>
      </c>
      <c r="N27" s="38">
        <f t="shared" si="2"/>
        <v>36350.620000000003</v>
      </c>
      <c r="O27" s="39">
        <f t="shared" si="3"/>
        <v>19090.893333333337</v>
      </c>
      <c r="P27" s="40">
        <f t="shared" si="4"/>
        <v>-0.2037271522827524</v>
      </c>
      <c r="Q27" s="39">
        <f t="shared" si="5"/>
        <v>38104</v>
      </c>
      <c r="R27" s="41"/>
      <c r="T27" s="42">
        <f t="shared" si="6"/>
        <v>4</v>
      </c>
      <c r="U27" s="42">
        <f t="shared" si="7"/>
        <v>1</v>
      </c>
      <c r="V27" s="42">
        <f t="shared" si="8"/>
        <v>-5</v>
      </c>
    </row>
    <row r="28" spans="1:22" s="28" customFormat="1" ht="73.5" customHeight="1" x14ac:dyDescent="0.2">
      <c r="A28" s="30">
        <v>17</v>
      </c>
      <c r="B28" s="31" t="s">
        <v>59</v>
      </c>
      <c r="C28" s="32" t="s">
        <v>25</v>
      </c>
      <c r="D28" s="33">
        <v>84</v>
      </c>
      <c r="E28" s="35">
        <v>29.9</v>
      </c>
      <c r="F28" s="32" t="s">
        <v>39</v>
      </c>
      <c r="G28" s="37">
        <v>27.94</v>
      </c>
      <c r="H28" s="38">
        <f t="shared" si="0"/>
        <v>2346.96</v>
      </c>
      <c r="I28" s="32" t="s">
        <v>54</v>
      </c>
      <c r="J28" s="37">
        <v>29.88</v>
      </c>
      <c r="K28" s="38">
        <f t="shared" si="1"/>
        <v>2509.92</v>
      </c>
      <c r="L28" s="38" t="s">
        <v>41</v>
      </c>
      <c r="M28" s="37">
        <v>32.450000000000003</v>
      </c>
      <c r="N28" s="38">
        <f t="shared" si="2"/>
        <v>2725.8</v>
      </c>
      <c r="O28" s="39">
        <f t="shared" si="3"/>
        <v>30.090000000000003</v>
      </c>
      <c r="P28" s="40">
        <f t="shared" si="4"/>
        <v>-0.63143901628448873</v>
      </c>
      <c r="Q28" s="39">
        <f t="shared" si="5"/>
        <v>2511.6</v>
      </c>
      <c r="R28" s="41"/>
      <c r="T28" s="42">
        <f t="shared" si="6"/>
        <v>-7</v>
      </c>
      <c r="U28" s="42">
        <f t="shared" si="7"/>
        <v>-1</v>
      </c>
      <c r="V28" s="42">
        <f t="shared" si="8"/>
        <v>8</v>
      </c>
    </row>
    <row r="29" spans="1:22" s="28" customFormat="1" ht="73.5" customHeight="1" x14ac:dyDescent="0.2">
      <c r="A29" s="30">
        <v>18</v>
      </c>
      <c r="B29" s="31" t="s">
        <v>60</v>
      </c>
      <c r="C29" s="32" t="s">
        <v>25</v>
      </c>
      <c r="D29" s="33">
        <v>4</v>
      </c>
      <c r="E29" s="35">
        <v>477.5</v>
      </c>
      <c r="F29" s="32" t="s">
        <v>27</v>
      </c>
      <c r="G29" s="37">
        <f>557.23/1.2</f>
        <v>464.35833333333335</v>
      </c>
      <c r="H29" s="38">
        <f t="shared" si="0"/>
        <v>1857.4333333333334</v>
      </c>
      <c r="I29" s="38" t="s">
        <v>28</v>
      </c>
      <c r="J29" s="37">
        <v>515.64</v>
      </c>
      <c r="K29" s="38">
        <f t="shared" si="1"/>
        <v>2062.56</v>
      </c>
      <c r="L29" s="32" t="s">
        <v>29</v>
      </c>
      <c r="M29" s="37">
        <v>458.56</v>
      </c>
      <c r="N29" s="38">
        <f t="shared" si="2"/>
        <v>1834.24</v>
      </c>
      <c r="O29" s="39">
        <f t="shared" si="3"/>
        <v>479.51944444444445</v>
      </c>
      <c r="P29" s="40">
        <f t="shared" si="4"/>
        <v>-0.42113921924148201</v>
      </c>
      <c r="Q29" s="39">
        <f t="shared" si="5"/>
        <v>1910</v>
      </c>
      <c r="R29" s="41"/>
      <c r="T29" s="42">
        <f t="shared" si="6"/>
        <v>-3</v>
      </c>
      <c r="U29" s="42">
        <f t="shared" si="7"/>
        <v>8</v>
      </c>
      <c r="V29" s="42">
        <f t="shared" si="8"/>
        <v>-4</v>
      </c>
    </row>
    <row r="30" spans="1:22" s="28" customFormat="1" ht="73.5" customHeight="1" x14ac:dyDescent="0.2">
      <c r="A30" s="30">
        <v>19</v>
      </c>
      <c r="B30" s="31" t="s">
        <v>61</v>
      </c>
      <c r="C30" s="32" t="s">
        <v>45</v>
      </c>
      <c r="D30" s="33">
        <v>80</v>
      </c>
      <c r="E30" s="35">
        <v>473.4</v>
      </c>
      <c r="F30" s="32" t="s">
        <v>62</v>
      </c>
      <c r="G30" s="37">
        <v>475</v>
      </c>
      <c r="H30" s="38">
        <f t="shared" si="0"/>
        <v>38000</v>
      </c>
      <c r="I30" s="32" t="s">
        <v>46</v>
      </c>
      <c r="J30" s="37">
        <v>462.4</v>
      </c>
      <c r="K30" s="38">
        <f t="shared" si="1"/>
        <v>36992</v>
      </c>
      <c r="L30" s="32" t="s">
        <v>58</v>
      </c>
      <c r="M30" s="37">
        <v>496.84</v>
      </c>
      <c r="N30" s="38">
        <f t="shared" si="2"/>
        <v>39747.199999999997</v>
      </c>
      <c r="O30" s="39">
        <f t="shared" si="3"/>
        <v>478.08</v>
      </c>
      <c r="P30" s="40">
        <f t="shared" si="4"/>
        <v>-0.97891566265059282</v>
      </c>
      <c r="Q30" s="39">
        <f t="shared" si="5"/>
        <v>37872</v>
      </c>
      <c r="R30" s="41"/>
      <c r="T30" s="42">
        <f t="shared" si="6"/>
        <v>-1</v>
      </c>
      <c r="U30" s="42">
        <f t="shared" si="7"/>
        <v>-3</v>
      </c>
      <c r="V30" s="42">
        <f t="shared" si="8"/>
        <v>4</v>
      </c>
    </row>
    <row r="31" spans="1:22" s="28" customFormat="1" ht="73.5" customHeight="1" x14ac:dyDescent="0.2">
      <c r="A31" s="30">
        <v>20</v>
      </c>
      <c r="B31" s="31" t="s">
        <v>63</v>
      </c>
      <c r="C31" s="32" t="s">
        <v>25</v>
      </c>
      <c r="D31" s="33">
        <v>6</v>
      </c>
      <c r="E31" s="35">
        <v>3952.3</v>
      </c>
      <c r="F31" s="32" t="s">
        <v>27</v>
      </c>
      <c r="G31" s="37">
        <f>4569.53/1.2</f>
        <v>3807.9416666666666</v>
      </c>
      <c r="H31" s="38">
        <f t="shared" si="0"/>
        <v>22847.65</v>
      </c>
      <c r="I31" s="38" t="s">
        <v>28</v>
      </c>
      <c r="J31" s="37">
        <f>4747.69/1.2</f>
        <v>3956.4083333333333</v>
      </c>
      <c r="K31" s="38">
        <f t="shared" si="1"/>
        <v>23738.45</v>
      </c>
      <c r="L31" s="32" t="s">
        <v>29</v>
      </c>
      <c r="M31" s="37">
        <v>4100.7</v>
      </c>
      <c r="N31" s="38">
        <f t="shared" si="2"/>
        <v>24604.199999999997</v>
      </c>
      <c r="O31" s="39">
        <f t="shared" si="3"/>
        <v>3955.0166666666664</v>
      </c>
      <c r="P31" s="40">
        <f t="shared" si="4"/>
        <v>-6.8689133210554587E-2</v>
      </c>
      <c r="Q31" s="39">
        <f t="shared" si="5"/>
        <v>23713.800000000003</v>
      </c>
      <c r="R31" s="41"/>
      <c r="T31" s="42">
        <f t="shared" si="6"/>
        <v>-4</v>
      </c>
      <c r="U31" s="42">
        <f t="shared" si="7"/>
        <v>0</v>
      </c>
      <c r="V31" s="42">
        <f t="shared" si="8"/>
        <v>4</v>
      </c>
    </row>
    <row r="32" spans="1:22" s="28" customFormat="1" ht="73.5" customHeight="1" x14ac:dyDescent="0.2">
      <c r="A32" s="30">
        <v>21</v>
      </c>
      <c r="B32" s="31" t="s">
        <v>64</v>
      </c>
      <c r="C32" s="32" t="s">
        <v>65</v>
      </c>
      <c r="D32" s="33">
        <v>13</v>
      </c>
      <c r="E32" s="35">
        <v>4260.1499999999996</v>
      </c>
      <c r="F32" s="32" t="s">
        <v>66</v>
      </c>
      <c r="G32" s="37">
        <f>5072/1.2</f>
        <v>4226.666666666667</v>
      </c>
      <c r="H32" s="38">
        <f t="shared" si="0"/>
        <v>54946.666666666672</v>
      </c>
      <c r="I32" s="38" t="s">
        <v>67</v>
      </c>
      <c r="J32" s="37">
        <f>4988.64/1.2</f>
        <v>4157.2000000000007</v>
      </c>
      <c r="K32" s="38">
        <f t="shared" si="1"/>
        <v>54043.600000000006</v>
      </c>
      <c r="L32" s="38" t="s">
        <v>68</v>
      </c>
      <c r="M32" s="37">
        <v>4402.7</v>
      </c>
      <c r="N32" s="38">
        <f t="shared" si="2"/>
        <v>57235.1</v>
      </c>
      <c r="O32" s="39">
        <f t="shared" si="3"/>
        <v>4262.1888888888898</v>
      </c>
      <c r="P32" s="40">
        <f t="shared" si="4"/>
        <v>-4.7836661913450484E-2</v>
      </c>
      <c r="Q32" s="39">
        <f t="shared" si="5"/>
        <v>55381.95</v>
      </c>
      <c r="R32" s="44"/>
      <c r="T32" s="42">
        <f t="shared" si="6"/>
        <v>-1</v>
      </c>
      <c r="U32" s="42">
        <f t="shared" si="7"/>
        <v>-2</v>
      </c>
      <c r="V32" s="42">
        <f t="shared" si="8"/>
        <v>3</v>
      </c>
    </row>
    <row r="33" spans="1:22" s="28" customFormat="1" ht="73.5" customHeight="1" x14ac:dyDescent="0.2">
      <c r="A33" s="30">
        <v>22</v>
      </c>
      <c r="B33" s="31" t="s">
        <v>69</v>
      </c>
      <c r="C33" s="32" t="s">
        <v>65</v>
      </c>
      <c r="D33" s="33">
        <v>13</v>
      </c>
      <c r="E33" s="62">
        <v>18550</v>
      </c>
      <c r="F33" s="32" t="s">
        <v>66</v>
      </c>
      <c r="G33" s="37">
        <f>22081.39/1.2</f>
        <v>18401.158333333333</v>
      </c>
      <c r="H33" s="38">
        <f t="shared" si="0"/>
        <v>239215.05833333332</v>
      </c>
      <c r="I33" s="38" t="s">
        <v>67</v>
      </c>
      <c r="J33" s="37">
        <f>21966.86/1.2</f>
        <v>18305.716666666667</v>
      </c>
      <c r="K33" s="38">
        <f t="shared" si="1"/>
        <v>237974.31666666668</v>
      </c>
      <c r="L33" s="38" t="s">
        <v>68</v>
      </c>
      <c r="M33" s="37">
        <v>19002.43</v>
      </c>
      <c r="N33" s="38">
        <f t="shared" si="2"/>
        <v>247031.59</v>
      </c>
      <c r="O33" s="39">
        <f t="shared" si="3"/>
        <v>18569.768333333333</v>
      </c>
      <c r="P33" s="40">
        <f t="shared" si="4"/>
        <v>-0.10645438854425038</v>
      </c>
      <c r="Q33" s="39">
        <f t="shared" si="5"/>
        <v>241150</v>
      </c>
      <c r="R33" s="63" t="s">
        <v>466</v>
      </c>
      <c r="T33" s="42">
        <f t="shared" si="6"/>
        <v>-1</v>
      </c>
      <c r="U33" s="42">
        <f t="shared" si="7"/>
        <v>-1</v>
      </c>
      <c r="V33" s="42">
        <f t="shared" si="8"/>
        <v>2</v>
      </c>
    </row>
    <row r="34" spans="1:22" s="28" customFormat="1" ht="73.5" customHeight="1" x14ac:dyDescent="0.2">
      <c r="A34" s="30">
        <v>23</v>
      </c>
      <c r="B34" s="31" t="s">
        <v>70</v>
      </c>
      <c r="C34" s="32" t="s">
        <v>25</v>
      </c>
      <c r="D34" s="33">
        <v>400</v>
      </c>
      <c r="E34" s="35">
        <v>36.700000000000003</v>
      </c>
      <c r="F34" s="32" t="s">
        <v>39</v>
      </c>
      <c r="G34" s="37">
        <v>36.68</v>
      </c>
      <c r="H34" s="38">
        <f t="shared" si="0"/>
        <v>14672</v>
      </c>
      <c r="I34" s="32" t="s">
        <v>54</v>
      </c>
      <c r="J34" s="37">
        <v>34.28</v>
      </c>
      <c r="K34" s="38">
        <f t="shared" si="1"/>
        <v>13712</v>
      </c>
      <c r="L34" s="38" t="s">
        <v>41</v>
      </c>
      <c r="M34" s="37">
        <v>39.9</v>
      </c>
      <c r="N34" s="38">
        <f t="shared" si="2"/>
        <v>15960</v>
      </c>
      <c r="O34" s="39">
        <f t="shared" si="3"/>
        <v>36.95333333333334</v>
      </c>
      <c r="P34" s="40">
        <f t="shared" si="4"/>
        <v>-0.68554934151181612</v>
      </c>
      <c r="Q34" s="39">
        <f t="shared" si="5"/>
        <v>14680.000000000002</v>
      </c>
      <c r="R34" s="46"/>
      <c r="T34" s="42">
        <f t="shared" si="6"/>
        <v>-1</v>
      </c>
      <c r="U34" s="42">
        <f t="shared" si="7"/>
        <v>-7</v>
      </c>
      <c r="V34" s="42">
        <f t="shared" si="8"/>
        <v>8</v>
      </c>
    </row>
    <row r="35" spans="1:22" s="28" customFormat="1" ht="73.5" customHeight="1" x14ac:dyDescent="0.2">
      <c r="A35" s="30">
        <v>24</v>
      </c>
      <c r="B35" s="31" t="s">
        <v>71</v>
      </c>
      <c r="C35" s="32" t="s">
        <v>25</v>
      </c>
      <c r="D35" s="33">
        <v>600</v>
      </c>
      <c r="E35" s="35">
        <v>49.8</v>
      </c>
      <c r="F35" s="32" t="s">
        <v>39</v>
      </c>
      <c r="G35" s="37">
        <v>49.53</v>
      </c>
      <c r="H35" s="38">
        <f t="shared" si="0"/>
        <v>29718</v>
      </c>
      <c r="I35" s="32" t="s">
        <v>54</v>
      </c>
      <c r="J35" s="37">
        <v>54.48</v>
      </c>
      <c r="K35" s="38">
        <f t="shared" si="1"/>
        <v>32687.999999999996</v>
      </c>
      <c r="L35" s="38" t="s">
        <v>41</v>
      </c>
      <c r="M35" s="37">
        <v>45.78</v>
      </c>
      <c r="N35" s="38">
        <f t="shared" si="2"/>
        <v>27468</v>
      </c>
      <c r="O35" s="39">
        <f t="shared" si="3"/>
        <v>49.93</v>
      </c>
      <c r="P35" s="40">
        <f t="shared" si="4"/>
        <v>-0.26036451031444585</v>
      </c>
      <c r="Q35" s="39">
        <f t="shared" si="5"/>
        <v>29880</v>
      </c>
      <c r="R35" s="41"/>
      <c r="T35" s="42">
        <f t="shared" si="6"/>
        <v>-1</v>
      </c>
      <c r="U35" s="42">
        <f t="shared" si="7"/>
        <v>9</v>
      </c>
      <c r="V35" s="42">
        <f t="shared" si="8"/>
        <v>-8</v>
      </c>
    </row>
    <row r="36" spans="1:22" s="28" customFormat="1" ht="73.5" customHeight="1" x14ac:dyDescent="0.2">
      <c r="A36" s="30">
        <v>25</v>
      </c>
      <c r="B36" s="31" t="s">
        <v>72</v>
      </c>
      <c r="C36" s="32" t="s">
        <v>25</v>
      </c>
      <c r="D36" s="33">
        <v>80</v>
      </c>
      <c r="E36" s="35">
        <v>116.1</v>
      </c>
      <c r="F36" s="32" t="s">
        <v>39</v>
      </c>
      <c r="G36" s="37">
        <v>111.18</v>
      </c>
      <c r="H36" s="38">
        <f t="shared" si="0"/>
        <v>8894.4000000000015</v>
      </c>
      <c r="I36" s="32" t="s">
        <v>54</v>
      </c>
      <c r="J36" s="37">
        <v>115.97</v>
      </c>
      <c r="K36" s="38">
        <f t="shared" si="1"/>
        <v>9277.6</v>
      </c>
      <c r="L36" s="38" t="s">
        <v>41</v>
      </c>
      <c r="M36" s="37">
        <v>125.69</v>
      </c>
      <c r="N36" s="38">
        <f t="shared" si="2"/>
        <v>10055.200000000001</v>
      </c>
      <c r="O36" s="39">
        <f t="shared" si="3"/>
        <v>117.61333333333334</v>
      </c>
      <c r="P36" s="40">
        <f t="shared" si="4"/>
        <v>-1.2867021879605574</v>
      </c>
      <c r="Q36" s="39">
        <f t="shared" si="5"/>
        <v>9288</v>
      </c>
      <c r="R36" s="41"/>
      <c r="T36" s="42">
        <f t="shared" si="6"/>
        <v>-5</v>
      </c>
      <c r="U36" s="42">
        <f t="shared" si="7"/>
        <v>-1</v>
      </c>
      <c r="V36" s="42">
        <f t="shared" si="8"/>
        <v>7</v>
      </c>
    </row>
    <row r="37" spans="1:22" s="28" customFormat="1" ht="73.5" customHeight="1" x14ac:dyDescent="0.2">
      <c r="A37" s="30">
        <v>26</v>
      </c>
      <c r="B37" s="31" t="s">
        <v>73</v>
      </c>
      <c r="C37" s="32" t="s">
        <v>25</v>
      </c>
      <c r="D37" s="33">
        <v>40</v>
      </c>
      <c r="E37" s="35">
        <v>19</v>
      </c>
      <c r="F37" s="32" t="s">
        <v>39</v>
      </c>
      <c r="G37" s="37">
        <v>18.239999999999998</v>
      </c>
      <c r="H37" s="38">
        <f t="shared" si="0"/>
        <v>729.59999999999991</v>
      </c>
      <c r="I37" s="32" t="s">
        <v>54</v>
      </c>
      <c r="J37" s="37">
        <v>17.48</v>
      </c>
      <c r="K37" s="38">
        <f t="shared" si="1"/>
        <v>699.2</v>
      </c>
      <c r="L37" s="38" t="s">
        <v>41</v>
      </c>
      <c r="M37" s="37">
        <v>21.47</v>
      </c>
      <c r="N37" s="38">
        <f t="shared" si="2"/>
        <v>858.8</v>
      </c>
      <c r="O37" s="39">
        <f t="shared" si="3"/>
        <v>19.063333333333333</v>
      </c>
      <c r="P37" s="40">
        <f t="shared" si="4"/>
        <v>-0.33222591362125797</v>
      </c>
      <c r="Q37" s="39">
        <f t="shared" si="5"/>
        <v>760</v>
      </c>
      <c r="R37" s="41"/>
      <c r="T37" s="42">
        <f t="shared" si="6"/>
        <v>-4</v>
      </c>
      <c r="U37" s="42">
        <f t="shared" si="7"/>
        <v>-8</v>
      </c>
      <c r="V37" s="42">
        <f t="shared" si="8"/>
        <v>13</v>
      </c>
    </row>
    <row r="38" spans="1:22" s="28" customFormat="1" ht="73.5" customHeight="1" x14ac:dyDescent="0.2">
      <c r="A38" s="30">
        <v>27</v>
      </c>
      <c r="B38" s="31" t="s">
        <v>74</v>
      </c>
      <c r="C38" s="32" t="s">
        <v>25</v>
      </c>
      <c r="D38" s="33">
        <v>20</v>
      </c>
      <c r="E38" s="35">
        <v>27.3</v>
      </c>
      <c r="F38" s="32" t="s">
        <v>39</v>
      </c>
      <c r="G38" s="37">
        <v>26.95</v>
      </c>
      <c r="H38" s="38">
        <f t="shared" si="0"/>
        <v>539</v>
      </c>
      <c r="I38" s="32" t="s">
        <v>54</v>
      </c>
      <c r="J38" s="37">
        <v>24.38</v>
      </c>
      <c r="K38" s="38">
        <f t="shared" si="1"/>
        <v>487.59999999999997</v>
      </c>
      <c r="L38" s="38" t="s">
        <v>41</v>
      </c>
      <c r="M38" s="37">
        <v>31.4</v>
      </c>
      <c r="N38" s="38">
        <f t="shared" si="2"/>
        <v>628</v>
      </c>
      <c r="O38" s="39">
        <f t="shared" si="3"/>
        <v>27.576666666666664</v>
      </c>
      <c r="P38" s="40">
        <f t="shared" si="4"/>
        <v>-1.0032636286715757</v>
      </c>
      <c r="Q38" s="39">
        <f t="shared" si="5"/>
        <v>546</v>
      </c>
      <c r="R38" s="41"/>
      <c r="T38" s="42">
        <f t="shared" si="6"/>
        <v>-2</v>
      </c>
      <c r="U38" s="42">
        <f t="shared" si="7"/>
        <v>-12</v>
      </c>
      <c r="V38" s="42">
        <f t="shared" si="8"/>
        <v>14</v>
      </c>
    </row>
    <row r="39" spans="1:22" s="28" customFormat="1" ht="73.5" customHeight="1" x14ac:dyDescent="0.2">
      <c r="A39" s="30">
        <v>28</v>
      </c>
      <c r="B39" s="31" t="s">
        <v>75</v>
      </c>
      <c r="C39" s="32" t="s">
        <v>25</v>
      </c>
      <c r="D39" s="33">
        <v>240</v>
      </c>
      <c r="E39" s="35">
        <v>34.299999999999997</v>
      </c>
      <c r="F39" s="32" t="s">
        <v>39</v>
      </c>
      <c r="G39" s="37">
        <v>33.17</v>
      </c>
      <c r="H39" s="38">
        <f t="shared" si="0"/>
        <v>7960.8</v>
      </c>
      <c r="I39" s="32" t="s">
        <v>54</v>
      </c>
      <c r="J39" s="37">
        <v>32.17</v>
      </c>
      <c r="K39" s="38">
        <f t="shared" si="1"/>
        <v>7720.8</v>
      </c>
      <c r="L39" s="38" t="s">
        <v>41</v>
      </c>
      <c r="M39" s="37">
        <v>38.74</v>
      </c>
      <c r="N39" s="38">
        <f t="shared" si="2"/>
        <v>9297.6</v>
      </c>
      <c r="O39" s="39">
        <f t="shared" si="3"/>
        <v>34.693333333333335</v>
      </c>
      <c r="P39" s="40">
        <f t="shared" si="4"/>
        <v>-1.1337432744043241</v>
      </c>
      <c r="Q39" s="39">
        <f t="shared" si="5"/>
        <v>8232</v>
      </c>
      <c r="R39" s="41"/>
      <c r="T39" s="42">
        <f t="shared" si="6"/>
        <v>-4</v>
      </c>
      <c r="U39" s="42">
        <f t="shared" si="7"/>
        <v>-7</v>
      </c>
      <c r="V39" s="42">
        <f t="shared" si="8"/>
        <v>12</v>
      </c>
    </row>
    <row r="40" spans="1:22" s="28" customFormat="1" ht="73.5" customHeight="1" x14ac:dyDescent="0.2">
      <c r="A40" s="30">
        <v>29</v>
      </c>
      <c r="B40" s="31" t="s">
        <v>76</v>
      </c>
      <c r="C40" s="32" t="s">
        <v>25</v>
      </c>
      <c r="D40" s="33">
        <v>264</v>
      </c>
      <c r="E40" s="35">
        <v>52</v>
      </c>
      <c r="F40" s="32" t="s">
        <v>39</v>
      </c>
      <c r="G40" s="37">
        <v>49.76</v>
      </c>
      <c r="H40" s="38">
        <f t="shared" si="0"/>
        <v>13136.64</v>
      </c>
      <c r="I40" s="32" t="s">
        <v>54</v>
      </c>
      <c r="J40" s="37">
        <v>51.47</v>
      </c>
      <c r="K40" s="38">
        <f t="shared" si="1"/>
        <v>13588.08</v>
      </c>
      <c r="L40" s="38" t="s">
        <v>41</v>
      </c>
      <c r="M40" s="37">
        <v>55.16</v>
      </c>
      <c r="N40" s="38">
        <f t="shared" si="2"/>
        <v>14562.24</v>
      </c>
      <c r="O40" s="39">
        <f t="shared" si="3"/>
        <v>52.129999999999995</v>
      </c>
      <c r="P40" s="40">
        <f t="shared" si="4"/>
        <v>-0.24937655860348684</v>
      </c>
      <c r="Q40" s="39">
        <f t="shared" si="5"/>
        <v>13728</v>
      </c>
      <c r="R40" s="41"/>
      <c r="T40" s="42">
        <f t="shared" si="6"/>
        <v>-5</v>
      </c>
      <c r="U40" s="42">
        <f t="shared" si="7"/>
        <v>-1</v>
      </c>
      <c r="V40" s="42">
        <f t="shared" si="8"/>
        <v>6</v>
      </c>
    </row>
    <row r="41" spans="1:22" s="28" customFormat="1" ht="73.5" customHeight="1" x14ac:dyDescent="0.2">
      <c r="A41" s="30">
        <v>30</v>
      </c>
      <c r="B41" s="31" t="s">
        <v>77</v>
      </c>
      <c r="C41" s="32" t="s">
        <v>25</v>
      </c>
      <c r="D41" s="33">
        <v>1200</v>
      </c>
      <c r="E41" s="35">
        <v>98.2</v>
      </c>
      <c r="F41" s="32" t="s">
        <v>39</v>
      </c>
      <c r="G41" s="37">
        <v>97.92</v>
      </c>
      <c r="H41" s="38">
        <f t="shared" si="0"/>
        <v>117504</v>
      </c>
      <c r="I41" s="32" t="s">
        <v>54</v>
      </c>
      <c r="J41" s="37">
        <v>92.97</v>
      </c>
      <c r="K41" s="38">
        <f t="shared" si="1"/>
        <v>111564</v>
      </c>
      <c r="L41" s="38" t="s">
        <v>41</v>
      </c>
      <c r="M41" s="37">
        <v>105.36</v>
      </c>
      <c r="N41" s="38">
        <f t="shared" si="2"/>
        <v>126432</v>
      </c>
      <c r="O41" s="39">
        <f t="shared" si="3"/>
        <v>98.75</v>
      </c>
      <c r="P41" s="40">
        <f t="shared" si="4"/>
        <v>-0.55696202531645156</v>
      </c>
      <c r="Q41" s="39">
        <f t="shared" si="5"/>
        <v>117840</v>
      </c>
      <c r="R41" s="41"/>
      <c r="T41" s="42">
        <f t="shared" si="6"/>
        <v>-1</v>
      </c>
      <c r="U41" s="42">
        <f t="shared" si="7"/>
        <v>-6</v>
      </c>
      <c r="V41" s="42">
        <f t="shared" si="8"/>
        <v>7</v>
      </c>
    </row>
    <row r="42" spans="1:22" s="28" customFormat="1" ht="73.5" customHeight="1" x14ac:dyDescent="0.2">
      <c r="A42" s="30">
        <v>31</v>
      </c>
      <c r="B42" s="31" t="s">
        <v>78</v>
      </c>
      <c r="C42" s="32" t="s">
        <v>25</v>
      </c>
      <c r="D42" s="33">
        <v>40</v>
      </c>
      <c r="E42" s="35">
        <v>5.4</v>
      </c>
      <c r="F42" s="32" t="s">
        <v>39</v>
      </c>
      <c r="G42" s="37">
        <v>5.38</v>
      </c>
      <c r="H42" s="38">
        <f t="shared" si="0"/>
        <v>215.2</v>
      </c>
      <c r="I42" s="32" t="s">
        <v>54</v>
      </c>
      <c r="J42" s="37">
        <v>5.45</v>
      </c>
      <c r="K42" s="38">
        <f t="shared" si="1"/>
        <v>218</v>
      </c>
      <c r="L42" s="38" t="s">
        <v>41</v>
      </c>
      <c r="M42" s="37">
        <v>5.5</v>
      </c>
      <c r="N42" s="38">
        <f t="shared" si="2"/>
        <v>220</v>
      </c>
      <c r="O42" s="39">
        <f t="shared" si="3"/>
        <v>5.4433333333333325</v>
      </c>
      <c r="P42" s="40">
        <f t="shared" si="4"/>
        <v>-0.79608083282300868</v>
      </c>
      <c r="Q42" s="39">
        <f t="shared" si="5"/>
        <v>216</v>
      </c>
      <c r="R42" s="41"/>
      <c r="T42" s="42">
        <f t="shared" si="6"/>
        <v>-1</v>
      </c>
      <c r="U42" s="42">
        <f t="shared" si="7"/>
        <v>0</v>
      </c>
      <c r="V42" s="42">
        <f t="shared" si="8"/>
        <v>1</v>
      </c>
    </row>
    <row r="43" spans="1:22" s="28" customFormat="1" ht="73.5" customHeight="1" x14ac:dyDescent="0.2">
      <c r="A43" s="30">
        <v>32</v>
      </c>
      <c r="B43" s="31" t="s">
        <v>79</v>
      </c>
      <c r="C43" s="32" t="s">
        <v>25</v>
      </c>
      <c r="D43" s="33">
        <v>30</v>
      </c>
      <c r="E43" s="35">
        <v>11.82</v>
      </c>
      <c r="F43" s="32" t="s">
        <v>39</v>
      </c>
      <c r="G43" s="37">
        <v>11.56</v>
      </c>
      <c r="H43" s="38">
        <f t="shared" si="0"/>
        <v>346.8</v>
      </c>
      <c r="I43" s="32" t="s">
        <v>54</v>
      </c>
      <c r="J43" s="37">
        <v>11.47</v>
      </c>
      <c r="K43" s="38">
        <f t="shared" si="1"/>
        <v>344.1</v>
      </c>
      <c r="L43" s="38" t="s">
        <v>41</v>
      </c>
      <c r="M43" s="37">
        <v>12.68</v>
      </c>
      <c r="N43" s="38">
        <f t="shared" si="2"/>
        <v>380.4</v>
      </c>
      <c r="O43" s="39">
        <f t="shared" si="3"/>
        <v>11.903333333333334</v>
      </c>
      <c r="P43" s="40">
        <f t="shared" si="4"/>
        <v>-0.70008401008121268</v>
      </c>
      <c r="Q43" s="39">
        <f t="shared" si="5"/>
        <v>354.6</v>
      </c>
      <c r="R43" s="41"/>
      <c r="T43" s="42">
        <f t="shared" si="6"/>
        <v>-3</v>
      </c>
      <c r="U43" s="42">
        <f t="shared" si="7"/>
        <v>-4</v>
      </c>
      <c r="V43" s="42">
        <f t="shared" si="8"/>
        <v>7</v>
      </c>
    </row>
    <row r="44" spans="1:22" s="28" customFormat="1" ht="73.5" customHeight="1" x14ac:dyDescent="0.2">
      <c r="A44" s="30">
        <v>33</v>
      </c>
      <c r="B44" s="31" t="s">
        <v>80</v>
      </c>
      <c r="C44" s="32" t="s">
        <v>81</v>
      </c>
      <c r="D44" s="33">
        <v>560</v>
      </c>
      <c r="E44" s="35">
        <v>169.2</v>
      </c>
      <c r="F44" s="32" t="s">
        <v>82</v>
      </c>
      <c r="G44" s="37">
        <v>166.13</v>
      </c>
      <c r="H44" s="38">
        <f t="shared" ref="H44:H75" si="9">D44*G44</f>
        <v>93032.8</v>
      </c>
      <c r="I44" s="32" t="s">
        <v>46</v>
      </c>
      <c r="J44" s="37">
        <v>182.47</v>
      </c>
      <c r="K44" s="38">
        <f t="shared" si="1"/>
        <v>102183.2</v>
      </c>
      <c r="L44" s="32" t="s">
        <v>58</v>
      </c>
      <c r="M44" s="37">
        <v>163.57</v>
      </c>
      <c r="N44" s="38">
        <f t="shared" si="2"/>
        <v>91599.2</v>
      </c>
      <c r="O44" s="39">
        <f t="shared" si="3"/>
        <v>170.72333333333336</v>
      </c>
      <c r="P44" s="40">
        <f t="shared" si="4"/>
        <v>-0.89228185953884065</v>
      </c>
      <c r="Q44" s="39">
        <f t="shared" si="5"/>
        <v>94752</v>
      </c>
      <c r="R44" s="41"/>
      <c r="T44" s="42">
        <f t="shared" si="6"/>
        <v>-3</v>
      </c>
      <c r="U44" s="42">
        <f t="shared" si="7"/>
        <v>7</v>
      </c>
      <c r="V44" s="42">
        <f t="shared" si="8"/>
        <v>-4</v>
      </c>
    </row>
    <row r="45" spans="1:22" s="28" customFormat="1" ht="73.5" customHeight="1" x14ac:dyDescent="0.2">
      <c r="A45" s="30">
        <v>34</v>
      </c>
      <c r="B45" s="31" t="s">
        <v>83</v>
      </c>
      <c r="C45" s="32" t="s">
        <v>25</v>
      </c>
      <c r="D45" s="33">
        <v>12</v>
      </c>
      <c r="E45" s="35">
        <v>3339.3</v>
      </c>
      <c r="F45" s="32" t="s">
        <v>84</v>
      </c>
      <c r="G45" s="37">
        <f>3600/1.2</f>
        <v>3000</v>
      </c>
      <c r="H45" s="38">
        <f t="shared" si="9"/>
        <v>36000</v>
      </c>
      <c r="I45" s="38" t="s">
        <v>28</v>
      </c>
      <c r="J45" s="37">
        <f>4320/1.2</f>
        <v>3600</v>
      </c>
      <c r="K45" s="38">
        <f t="shared" si="1"/>
        <v>43200</v>
      </c>
      <c r="L45" s="32" t="s">
        <v>29</v>
      </c>
      <c r="M45" s="37">
        <v>3480</v>
      </c>
      <c r="N45" s="38">
        <f t="shared" si="2"/>
        <v>41760</v>
      </c>
      <c r="O45" s="39">
        <f t="shared" si="3"/>
        <v>3360</v>
      </c>
      <c r="P45" s="40">
        <f t="shared" si="4"/>
        <v>-0.6160714285714306</v>
      </c>
      <c r="Q45" s="39">
        <f t="shared" si="5"/>
        <v>40071.600000000006</v>
      </c>
      <c r="R45" s="41"/>
      <c r="T45" s="42">
        <f t="shared" si="6"/>
        <v>-11</v>
      </c>
      <c r="U45" s="42">
        <f t="shared" si="7"/>
        <v>7</v>
      </c>
      <c r="V45" s="42">
        <f t="shared" si="8"/>
        <v>4</v>
      </c>
    </row>
    <row r="46" spans="1:22" s="28" customFormat="1" ht="73.5" customHeight="1" x14ac:dyDescent="0.2">
      <c r="A46" s="30">
        <v>35</v>
      </c>
      <c r="B46" s="31" t="s">
        <v>85</v>
      </c>
      <c r="C46" s="32" t="s">
        <v>25</v>
      </c>
      <c r="D46" s="33">
        <v>5</v>
      </c>
      <c r="E46" s="35">
        <v>3550.4</v>
      </c>
      <c r="F46" s="32" t="s">
        <v>27</v>
      </c>
      <c r="G46" s="37">
        <f>4107.16/1.2</f>
        <v>3422.6333333333332</v>
      </c>
      <c r="H46" s="38">
        <f t="shared" si="9"/>
        <v>17113.166666666664</v>
      </c>
      <c r="I46" s="38" t="s">
        <v>28</v>
      </c>
      <c r="J46" s="37">
        <v>3502.11</v>
      </c>
      <c r="K46" s="38">
        <f t="shared" si="1"/>
        <v>17510.55</v>
      </c>
      <c r="L46" s="32" t="s">
        <v>29</v>
      </c>
      <c r="M46" s="37">
        <v>3779.24</v>
      </c>
      <c r="N46" s="38">
        <f t="shared" si="2"/>
        <v>18896.199999999997</v>
      </c>
      <c r="O46" s="39">
        <f t="shared" si="3"/>
        <v>3567.9944444444445</v>
      </c>
      <c r="P46" s="40">
        <f t="shared" si="4"/>
        <v>-0.49311860537899577</v>
      </c>
      <c r="Q46" s="39">
        <f t="shared" si="5"/>
        <v>17752</v>
      </c>
      <c r="R46" s="41"/>
      <c r="T46" s="42">
        <f t="shared" si="6"/>
        <v>-4</v>
      </c>
      <c r="U46" s="42">
        <f t="shared" si="7"/>
        <v>-2</v>
      </c>
      <c r="V46" s="42">
        <f t="shared" si="8"/>
        <v>6</v>
      </c>
    </row>
    <row r="47" spans="1:22" s="28" customFormat="1" ht="73.5" customHeight="1" x14ac:dyDescent="0.2">
      <c r="A47" s="30">
        <v>36</v>
      </c>
      <c r="B47" s="31" t="s">
        <v>86</v>
      </c>
      <c r="C47" s="32" t="s">
        <v>25</v>
      </c>
      <c r="D47" s="33">
        <v>13</v>
      </c>
      <c r="E47" s="35">
        <v>11152.87</v>
      </c>
      <c r="F47" s="32" t="s">
        <v>66</v>
      </c>
      <c r="G47" s="37">
        <f>12597.13/1.2</f>
        <v>10497.608333333334</v>
      </c>
      <c r="H47" s="38">
        <f t="shared" si="9"/>
        <v>136468.90833333333</v>
      </c>
      <c r="I47" s="38" t="s">
        <v>67</v>
      </c>
      <c r="J47" s="37">
        <f>13529.76/1.2</f>
        <v>11274.800000000001</v>
      </c>
      <c r="K47" s="38">
        <f t="shared" si="1"/>
        <v>146572.40000000002</v>
      </c>
      <c r="L47" s="38" t="s">
        <v>68</v>
      </c>
      <c r="M47" s="37">
        <v>11847.32</v>
      </c>
      <c r="N47" s="38">
        <f t="shared" si="2"/>
        <v>154015.16</v>
      </c>
      <c r="O47" s="39">
        <f t="shared" si="3"/>
        <v>11206.576111111111</v>
      </c>
      <c r="P47" s="40">
        <f t="shared" si="4"/>
        <v>-0.47923746359838049</v>
      </c>
      <c r="Q47" s="39">
        <f t="shared" si="5"/>
        <v>144987.31</v>
      </c>
      <c r="R47" s="41"/>
      <c r="T47" s="42">
        <f t="shared" si="6"/>
        <v>-6</v>
      </c>
      <c r="U47" s="42">
        <f t="shared" si="7"/>
        <v>1</v>
      </c>
      <c r="V47" s="42">
        <f t="shared" si="8"/>
        <v>6</v>
      </c>
    </row>
    <row r="48" spans="1:22" s="28" customFormat="1" ht="73.5" customHeight="1" x14ac:dyDescent="0.2">
      <c r="A48" s="30">
        <v>37</v>
      </c>
      <c r="B48" s="31" t="s">
        <v>87</v>
      </c>
      <c r="C48" s="32" t="s">
        <v>25</v>
      </c>
      <c r="D48" s="33">
        <v>14</v>
      </c>
      <c r="E48" s="35">
        <v>95</v>
      </c>
      <c r="F48" s="32" t="s">
        <v>27</v>
      </c>
      <c r="G48" s="37">
        <f>108.22/1.2</f>
        <v>90.183333333333337</v>
      </c>
      <c r="H48" s="38">
        <f t="shared" si="9"/>
        <v>1262.5666666666666</v>
      </c>
      <c r="I48" s="38" t="s">
        <v>28</v>
      </c>
      <c r="J48" s="37">
        <v>92.03</v>
      </c>
      <c r="K48" s="38">
        <f t="shared" si="1"/>
        <v>1288.42</v>
      </c>
      <c r="L48" s="32" t="s">
        <v>29</v>
      </c>
      <c r="M48" s="37">
        <v>103.61</v>
      </c>
      <c r="N48" s="38">
        <f t="shared" si="2"/>
        <v>1450.54</v>
      </c>
      <c r="O48" s="39">
        <f t="shared" si="3"/>
        <v>95.274444444444441</v>
      </c>
      <c r="P48" s="40">
        <f t="shared" si="4"/>
        <v>-0.28805672501661661</v>
      </c>
      <c r="Q48" s="39">
        <f t="shared" si="5"/>
        <v>1330</v>
      </c>
      <c r="R48" s="41"/>
      <c r="T48" s="42">
        <f t="shared" si="6"/>
        <v>-5</v>
      </c>
      <c r="U48" s="42">
        <f t="shared" si="7"/>
        <v>-3</v>
      </c>
      <c r="V48" s="42">
        <f t="shared" si="8"/>
        <v>9</v>
      </c>
    </row>
    <row r="49" spans="1:22" s="28" customFormat="1" ht="73.5" customHeight="1" x14ac:dyDescent="0.2">
      <c r="A49" s="30">
        <v>38</v>
      </c>
      <c r="B49" s="31" t="s">
        <v>88</v>
      </c>
      <c r="C49" s="32" t="s">
        <v>25</v>
      </c>
      <c r="D49" s="33">
        <v>28</v>
      </c>
      <c r="E49" s="35">
        <v>73.010000000000005</v>
      </c>
      <c r="F49" s="32" t="s">
        <v>39</v>
      </c>
      <c r="G49" s="37">
        <v>67.09</v>
      </c>
      <c r="H49" s="38">
        <f t="shared" si="9"/>
        <v>1878.52</v>
      </c>
      <c r="I49" s="38" t="s">
        <v>68</v>
      </c>
      <c r="J49" s="37">
        <v>83</v>
      </c>
      <c r="K49" s="38">
        <f t="shared" si="1"/>
        <v>2324</v>
      </c>
      <c r="L49" s="38" t="s">
        <v>41</v>
      </c>
      <c r="M49" s="37">
        <v>72.34</v>
      </c>
      <c r="N49" s="38">
        <f t="shared" si="2"/>
        <v>2025.52</v>
      </c>
      <c r="O49" s="39">
        <f t="shared" si="3"/>
        <v>74.143333333333331</v>
      </c>
      <c r="P49" s="40">
        <f t="shared" si="4"/>
        <v>-1.5285707863147735</v>
      </c>
      <c r="Q49" s="39">
        <f t="shared" si="5"/>
        <v>2044.2800000000002</v>
      </c>
      <c r="R49" s="41"/>
      <c r="T49" s="42">
        <f t="shared" si="6"/>
        <v>-10</v>
      </c>
      <c r="U49" s="42">
        <f t="shared" si="7"/>
        <v>12</v>
      </c>
      <c r="V49" s="42">
        <f t="shared" si="8"/>
        <v>-2</v>
      </c>
    </row>
    <row r="50" spans="1:22" s="28" customFormat="1" ht="73.5" customHeight="1" x14ac:dyDescent="0.2">
      <c r="A50" s="30">
        <v>39</v>
      </c>
      <c r="B50" s="31" t="s">
        <v>89</v>
      </c>
      <c r="C50" s="32" t="s">
        <v>81</v>
      </c>
      <c r="D50" s="33">
        <v>72</v>
      </c>
      <c r="E50" s="35">
        <v>3120.3</v>
      </c>
      <c r="F50" s="32" t="s">
        <v>90</v>
      </c>
      <c r="G50" s="37">
        <f>3609.86/1.2</f>
        <v>3008.2166666666667</v>
      </c>
      <c r="H50" s="38">
        <f t="shared" si="9"/>
        <v>216591.6</v>
      </c>
      <c r="I50" s="32" t="s">
        <v>46</v>
      </c>
      <c r="J50" s="37">
        <v>3152.91</v>
      </c>
      <c r="K50" s="38">
        <f t="shared" si="1"/>
        <v>227009.52</v>
      </c>
      <c r="L50" s="32" t="s">
        <v>58</v>
      </c>
      <c r="M50" s="37">
        <v>3256.66</v>
      </c>
      <c r="N50" s="38">
        <f t="shared" si="2"/>
        <v>234479.52</v>
      </c>
      <c r="O50" s="39">
        <f t="shared" si="3"/>
        <v>3139.2622222222221</v>
      </c>
      <c r="P50" s="40">
        <f t="shared" si="4"/>
        <v>-0.60403435202043454</v>
      </c>
      <c r="Q50" s="39">
        <f t="shared" si="5"/>
        <v>224661.6</v>
      </c>
      <c r="R50" s="41"/>
      <c r="T50" s="42">
        <f t="shared" si="6"/>
        <v>-4</v>
      </c>
      <c r="U50" s="42">
        <f t="shared" si="7"/>
        <v>0</v>
      </c>
      <c r="V50" s="42">
        <f t="shared" si="8"/>
        <v>4</v>
      </c>
    </row>
    <row r="51" spans="1:22" s="28" customFormat="1" ht="73.5" customHeight="1" x14ac:dyDescent="0.2">
      <c r="A51" s="30">
        <v>40</v>
      </c>
      <c r="B51" s="31" t="s">
        <v>91</v>
      </c>
      <c r="C51" s="32" t="s">
        <v>25</v>
      </c>
      <c r="D51" s="33">
        <v>2</v>
      </c>
      <c r="E51" s="62">
        <v>198500</v>
      </c>
      <c r="F51" s="32" t="s">
        <v>27</v>
      </c>
      <c r="G51" s="37">
        <f>234758.4/1.2</f>
        <v>195632</v>
      </c>
      <c r="H51" s="38">
        <f t="shared" si="9"/>
        <v>391264</v>
      </c>
      <c r="I51" s="38" t="s">
        <v>28</v>
      </c>
      <c r="J51" s="37">
        <v>199452.67</v>
      </c>
      <c r="K51" s="38">
        <f t="shared" si="1"/>
        <v>398905.34</v>
      </c>
      <c r="L51" s="32" t="s">
        <v>29</v>
      </c>
      <c r="M51" s="37">
        <v>201347.8</v>
      </c>
      <c r="N51" s="38">
        <f t="shared" si="2"/>
        <v>402695.6</v>
      </c>
      <c r="O51" s="39">
        <f t="shared" si="3"/>
        <v>198810.82333333333</v>
      </c>
      <c r="P51" s="40">
        <f t="shared" si="4"/>
        <v>-0.1563412535202815</v>
      </c>
      <c r="Q51" s="39">
        <f t="shared" si="5"/>
        <v>397000</v>
      </c>
      <c r="R51" s="64" t="s">
        <v>467</v>
      </c>
      <c r="T51" s="42">
        <f t="shared" si="6"/>
        <v>-2</v>
      </c>
      <c r="U51" s="42">
        <f t="shared" si="7"/>
        <v>0</v>
      </c>
      <c r="V51" s="42">
        <f t="shared" si="8"/>
        <v>1</v>
      </c>
    </row>
    <row r="52" spans="1:22" s="28" customFormat="1" ht="73.5" customHeight="1" x14ac:dyDescent="0.2">
      <c r="A52" s="30">
        <v>41</v>
      </c>
      <c r="B52" s="31" t="s">
        <v>92</v>
      </c>
      <c r="C52" s="32" t="s">
        <v>25</v>
      </c>
      <c r="D52" s="33">
        <v>2</v>
      </c>
      <c r="E52" s="35">
        <v>5754.2</v>
      </c>
      <c r="F52" s="32" t="s">
        <v>27</v>
      </c>
      <c r="G52" s="37">
        <f>6701.48/1.2</f>
        <v>5584.5666666666666</v>
      </c>
      <c r="H52" s="38">
        <f t="shared" si="9"/>
        <v>11169.133333333333</v>
      </c>
      <c r="I52" s="38" t="s">
        <v>28</v>
      </c>
      <c r="J52" s="37">
        <v>5784.3</v>
      </c>
      <c r="K52" s="38">
        <f t="shared" si="1"/>
        <v>11568.6</v>
      </c>
      <c r="L52" s="32" t="s">
        <v>29</v>
      </c>
      <c r="M52" s="37">
        <v>5944.87</v>
      </c>
      <c r="N52" s="38">
        <f t="shared" si="2"/>
        <v>11889.74</v>
      </c>
      <c r="O52" s="39">
        <f t="shared" si="3"/>
        <v>5771.2455555555562</v>
      </c>
      <c r="P52" s="40">
        <f t="shared" si="4"/>
        <v>-0.29535315022503994</v>
      </c>
      <c r="Q52" s="39">
        <f t="shared" si="5"/>
        <v>11508.4</v>
      </c>
      <c r="R52" s="41"/>
      <c r="T52" s="42">
        <f t="shared" si="6"/>
        <v>-3</v>
      </c>
      <c r="U52" s="42">
        <f t="shared" si="7"/>
        <v>0</v>
      </c>
      <c r="V52" s="42">
        <f t="shared" si="8"/>
        <v>3</v>
      </c>
    </row>
    <row r="53" spans="1:22" s="28" customFormat="1" ht="73.5" customHeight="1" x14ac:dyDescent="0.2">
      <c r="A53" s="30">
        <v>42</v>
      </c>
      <c r="B53" s="31" t="s">
        <v>93</v>
      </c>
      <c r="C53" s="32" t="s">
        <v>25</v>
      </c>
      <c r="D53" s="33">
        <v>10</v>
      </c>
      <c r="E53" s="35">
        <v>523.29999999999995</v>
      </c>
      <c r="F53" s="32" t="s">
        <v>27</v>
      </c>
      <c r="G53" s="37">
        <f>597.91/1.2</f>
        <v>498.25833333333333</v>
      </c>
      <c r="H53" s="38">
        <f t="shared" si="9"/>
        <v>4982.583333333333</v>
      </c>
      <c r="I53" s="38" t="s">
        <v>28</v>
      </c>
      <c r="J53" s="37">
        <v>521.20000000000005</v>
      </c>
      <c r="K53" s="38">
        <f t="shared" si="1"/>
        <v>5212</v>
      </c>
      <c r="L53" s="32" t="s">
        <v>29</v>
      </c>
      <c r="M53" s="37">
        <v>554.34</v>
      </c>
      <c r="N53" s="38">
        <f t="shared" si="2"/>
        <v>5543.4000000000005</v>
      </c>
      <c r="O53" s="39">
        <f t="shared" si="3"/>
        <v>524.59944444444443</v>
      </c>
      <c r="P53" s="40">
        <f t="shared" si="4"/>
        <v>-0.24770221512922319</v>
      </c>
      <c r="Q53" s="39">
        <f t="shared" si="5"/>
        <v>5233</v>
      </c>
      <c r="R53" s="41"/>
      <c r="T53" s="42">
        <f t="shared" si="6"/>
        <v>-5</v>
      </c>
      <c r="U53" s="42">
        <f t="shared" si="7"/>
        <v>-1</v>
      </c>
      <c r="V53" s="42">
        <f t="shared" si="8"/>
        <v>6</v>
      </c>
    </row>
    <row r="54" spans="1:22" s="28" customFormat="1" ht="73.5" customHeight="1" x14ac:dyDescent="0.2">
      <c r="A54" s="30">
        <v>43</v>
      </c>
      <c r="B54" s="31" t="s">
        <v>94</v>
      </c>
      <c r="C54" s="32" t="s">
        <v>25</v>
      </c>
      <c r="D54" s="33" t="s">
        <v>95</v>
      </c>
      <c r="E54" s="35">
        <v>517.11</v>
      </c>
      <c r="F54" s="32" t="s">
        <v>27</v>
      </c>
      <c r="G54" s="37">
        <f>583.14/1.2</f>
        <v>485.95</v>
      </c>
      <c r="H54" s="38">
        <f t="shared" si="9"/>
        <v>23325.599999999999</v>
      </c>
      <c r="I54" s="38" t="s">
        <v>28</v>
      </c>
      <c r="J54" s="37">
        <v>519.29999999999995</v>
      </c>
      <c r="K54" s="38">
        <f t="shared" si="1"/>
        <v>24926.399999999998</v>
      </c>
      <c r="L54" s="32" t="s">
        <v>29</v>
      </c>
      <c r="M54" s="37">
        <v>550.4</v>
      </c>
      <c r="N54" s="38">
        <f t="shared" si="2"/>
        <v>26419.199999999997</v>
      </c>
      <c r="O54" s="39">
        <f t="shared" si="3"/>
        <v>518.55000000000007</v>
      </c>
      <c r="P54" s="40">
        <f t="shared" si="4"/>
        <v>-0.2776974255134661</v>
      </c>
      <c r="Q54" s="39">
        <f t="shared" si="5"/>
        <v>24821.279999999999</v>
      </c>
      <c r="R54" s="41"/>
      <c r="T54" s="42">
        <f t="shared" si="6"/>
        <v>-6</v>
      </c>
      <c r="U54" s="42">
        <f t="shared" si="7"/>
        <v>0</v>
      </c>
      <c r="V54" s="42">
        <f t="shared" si="8"/>
        <v>6</v>
      </c>
    </row>
    <row r="55" spans="1:22" s="28" customFormat="1" ht="73.5" customHeight="1" x14ac:dyDescent="0.2">
      <c r="A55" s="30">
        <v>44</v>
      </c>
      <c r="B55" s="31" t="s">
        <v>96</v>
      </c>
      <c r="C55" s="32" t="s">
        <v>25</v>
      </c>
      <c r="D55" s="33" t="s">
        <v>97</v>
      </c>
      <c r="E55" s="35">
        <v>5116.7</v>
      </c>
      <c r="F55" s="32" t="s">
        <v>27</v>
      </c>
      <c r="G55" s="37">
        <f>5997.8/1.2</f>
        <v>4998.166666666667</v>
      </c>
      <c r="H55" s="38">
        <f t="shared" si="9"/>
        <v>4998.166666666667</v>
      </c>
      <c r="I55" s="38" t="s">
        <v>28</v>
      </c>
      <c r="J55" s="37">
        <v>5100.67</v>
      </c>
      <c r="K55" s="38">
        <f t="shared" si="1"/>
        <v>5100.67</v>
      </c>
      <c r="L55" s="32" t="s">
        <v>29</v>
      </c>
      <c r="M55" s="37">
        <v>5427.9</v>
      </c>
      <c r="N55" s="38">
        <f t="shared" si="2"/>
        <v>5427.9</v>
      </c>
      <c r="O55" s="39">
        <f t="shared" si="3"/>
        <v>5175.5788888888883</v>
      </c>
      <c r="P55" s="40">
        <f t="shared" si="4"/>
        <v>-1.1376290489029515</v>
      </c>
      <c r="Q55" s="39">
        <f t="shared" si="5"/>
        <v>5116.7</v>
      </c>
      <c r="R55" s="41"/>
      <c r="T55" s="42">
        <f t="shared" si="6"/>
        <v>-3</v>
      </c>
      <c r="U55" s="42">
        <f t="shared" si="7"/>
        <v>-1</v>
      </c>
      <c r="V55" s="42">
        <f t="shared" si="8"/>
        <v>5</v>
      </c>
    </row>
    <row r="56" spans="1:22" s="28" customFormat="1" ht="73.5" customHeight="1" x14ac:dyDescent="0.2">
      <c r="A56" s="30">
        <v>45</v>
      </c>
      <c r="B56" s="31" t="s">
        <v>98</v>
      </c>
      <c r="C56" s="32" t="s">
        <v>25</v>
      </c>
      <c r="D56" s="33">
        <v>1</v>
      </c>
      <c r="E56" s="35">
        <v>5200.3999999999996</v>
      </c>
      <c r="F56" s="32" t="s">
        <v>27</v>
      </c>
      <c r="G56" s="37">
        <f>6038.66/1.2</f>
        <v>5032.2166666666672</v>
      </c>
      <c r="H56" s="38">
        <f t="shared" si="9"/>
        <v>5032.2166666666672</v>
      </c>
      <c r="I56" s="38" t="s">
        <v>28</v>
      </c>
      <c r="J56" s="37">
        <v>5201.7</v>
      </c>
      <c r="K56" s="38">
        <f t="shared" si="1"/>
        <v>5201.7</v>
      </c>
      <c r="L56" s="32" t="s">
        <v>29</v>
      </c>
      <c r="M56" s="37">
        <v>5504.9</v>
      </c>
      <c r="N56" s="38">
        <f t="shared" si="2"/>
        <v>5504.9</v>
      </c>
      <c r="O56" s="39">
        <f t="shared" si="3"/>
        <v>5246.2722222222228</v>
      </c>
      <c r="P56" s="40">
        <f t="shared" si="4"/>
        <v>-0.87437746802228844</v>
      </c>
      <c r="Q56" s="39">
        <f t="shared" si="5"/>
        <v>5200.3999999999996</v>
      </c>
      <c r="R56" s="41"/>
      <c r="T56" s="42">
        <f t="shared" si="6"/>
        <v>-4</v>
      </c>
      <c r="U56" s="42">
        <f t="shared" si="7"/>
        <v>-1</v>
      </c>
      <c r="V56" s="42">
        <f t="shared" si="8"/>
        <v>5</v>
      </c>
    </row>
    <row r="57" spans="1:22" s="28" customFormat="1" ht="73.5" customHeight="1" x14ac:dyDescent="0.2">
      <c r="A57" s="30">
        <v>46</v>
      </c>
      <c r="B57" s="31" t="s">
        <v>99</v>
      </c>
      <c r="C57" s="32" t="s">
        <v>25</v>
      </c>
      <c r="D57" s="33">
        <v>3</v>
      </c>
      <c r="E57" s="35">
        <v>1796.4</v>
      </c>
      <c r="F57" s="32" t="s">
        <v>27</v>
      </c>
      <c r="G57" s="37">
        <f>2109.78/1.2</f>
        <v>1758.1500000000003</v>
      </c>
      <c r="H57" s="38">
        <f t="shared" si="9"/>
        <v>5274.4500000000007</v>
      </c>
      <c r="I57" s="38" t="s">
        <v>28</v>
      </c>
      <c r="J57" s="37">
        <v>1801.3</v>
      </c>
      <c r="K57" s="38">
        <f t="shared" si="1"/>
        <v>5403.9</v>
      </c>
      <c r="L57" s="32" t="s">
        <v>29</v>
      </c>
      <c r="M57" s="37">
        <v>1956.8</v>
      </c>
      <c r="N57" s="38">
        <f t="shared" si="2"/>
        <v>5870.4</v>
      </c>
      <c r="O57" s="39">
        <f t="shared" si="3"/>
        <v>1838.75</v>
      </c>
      <c r="P57" s="40">
        <f t="shared" si="4"/>
        <v>-2.3031951053704915</v>
      </c>
      <c r="Q57" s="39">
        <f t="shared" si="5"/>
        <v>5389.2000000000007</v>
      </c>
      <c r="R57" s="41"/>
      <c r="T57" s="42">
        <f t="shared" si="6"/>
        <v>-4</v>
      </c>
      <c r="U57" s="42">
        <f t="shared" si="7"/>
        <v>-2</v>
      </c>
      <c r="V57" s="42">
        <f t="shared" si="8"/>
        <v>6</v>
      </c>
    </row>
    <row r="58" spans="1:22" s="28" customFormat="1" ht="73.5" customHeight="1" x14ac:dyDescent="0.2">
      <c r="A58" s="30">
        <v>47</v>
      </c>
      <c r="B58" s="31" t="s">
        <v>100</v>
      </c>
      <c r="C58" s="32" t="s">
        <v>25</v>
      </c>
      <c r="D58" s="33">
        <v>11</v>
      </c>
      <c r="E58" s="35">
        <v>7180.45</v>
      </c>
      <c r="F58" s="32" t="s">
        <v>27</v>
      </c>
      <c r="G58" s="37">
        <f>8361.03/1.2</f>
        <v>6967.5250000000005</v>
      </c>
      <c r="H58" s="38">
        <f t="shared" si="9"/>
        <v>76642.775000000009</v>
      </c>
      <c r="I58" s="38" t="s">
        <v>28</v>
      </c>
      <c r="J58" s="37">
        <v>7201.4</v>
      </c>
      <c r="K58" s="38">
        <f t="shared" si="1"/>
        <v>79215.399999999994</v>
      </c>
      <c r="L58" s="32" t="s">
        <v>29</v>
      </c>
      <c r="M58" s="37">
        <v>7422.6</v>
      </c>
      <c r="N58" s="38">
        <f t="shared" si="2"/>
        <v>81648.600000000006</v>
      </c>
      <c r="O58" s="39">
        <f t="shared" si="3"/>
        <v>7197.1750000000002</v>
      </c>
      <c r="P58" s="40">
        <f t="shared" si="4"/>
        <v>-0.23238284465780623</v>
      </c>
      <c r="Q58" s="39">
        <f t="shared" si="5"/>
        <v>78984.95</v>
      </c>
      <c r="R58" s="41"/>
      <c r="T58" s="42">
        <f t="shared" si="6"/>
        <v>-3</v>
      </c>
      <c r="U58" s="42">
        <f t="shared" si="7"/>
        <v>0</v>
      </c>
      <c r="V58" s="42">
        <f t="shared" si="8"/>
        <v>3</v>
      </c>
    </row>
    <row r="59" spans="1:22" s="28" customFormat="1" ht="73.5" customHeight="1" x14ac:dyDescent="0.2">
      <c r="A59" s="30">
        <v>48</v>
      </c>
      <c r="B59" s="31" t="s">
        <v>101</v>
      </c>
      <c r="C59" s="32" t="s">
        <v>25</v>
      </c>
      <c r="D59" s="33">
        <v>6</v>
      </c>
      <c r="E59" s="35">
        <v>138.5</v>
      </c>
      <c r="F59" s="32" t="s">
        <v>27</v>
      </c>
      <c r="G59" s="37">
        <f>159.22/1.2</f>
        <v>132.68333333333334</v>
      </c>
      <c r="H59" s="38">
        <f t="shared" si="9"/>
        <v>796.1</v>
      </c>
      <c r="I59" s="38" t="s">
        <v>28</v>
      </c>
      <c r="J59" s="37">
        <v>139.87</v>
      </c>
      <c r="K59" s="38">
        <f t="shared" si="1"/>
        <v>839.22</v>
      </c>
      <c r="L59" s="32" t="s">
        <v>29</v>
      </c>
      <c r="M59" s="37">
        <v>145.24</v>
      </c>
      <c r="N59" s="38">
        <f t="shared" si="2"/>
        <v>871.44</v>
      </c>
      <c r="O59" s="39">
        <f t="shared" si="3"/>
        <v>139.26444444444445</v>
      </c>
      <c r="P59" s="40">
        <f t="shared" si="4"/>
        <v>-0.54891573186105802</v>
      </c>
      <c r="Q59" s="39">
        <f t="shared" si="5"/>
        <v>831</v>
      </c>
      <c r="R59" s="41"/>
      <c r="T59" s="42">
        <f t="shared" si="6"/>
        <v>-5</v>
      </c>
      <c r="U59" s="42">
        <f t="shared" si="7"/>
        <v>0</v>
      </c>
      <c r="V59" s="42">
        <f t="shared" si="8"/>
        <v>4</v>
      </c>
    </row>
    <row r="60" spans="1:22" s="28" customFormat="1" ht="73.5" customHeight="1" x14ac:dyDescent="0.2">
      <c r="A60" s="30">
        <v>49</v>
      </c>
      <c r="B60" s="31" t="s">
        <v>102</v>
      </c>
      <c r="C60" s="32" t="s">
        <v>25</v>
      </c>
      <c r="D60" s="33" t="s">
        <v>103</v>
      </c>
      <c r="E60" s="35">
        <v>118.5</v>
      </c>
      <c r="F60" s="32" t="s">
        <v>27</v>
      </c>
      <c r="G60" s="37">
        <f>137.81/1.2</f>
        <v>114.84166666666667</v>
      </c>
      <c r="H60" s="38">
        <f t="shared" si="9"/>
        <v>2871.0416666666665</v>
      </c>
      <c r="I60" s="38" t="s">
        <v>28</v>
      </c>
      <c r="J60" s="37">
        <v>121.47</v>
      </c>
      <c r="K60" s="38">
        <f t="shared" si="1"/>
        <v>3036.75</v>
      </c>
      <c r="L60" s="32" t="s">
        <v>29</v>
      </c>
      <c r="M60" s="37">
        <v>119.8</v>
      </c>
      <c r="N60" s="38">
        <f t="shared" si="2"/>
        <v>2995</v>
      </c>
      <c r="O60" s="39">
        <f t="shared" si="3"/>
        <v>118.7038888888889</v>
      </c>
      <c r="P60" s="40">
        <f t="shared" si="4"/>
        <v>-0.17176260255445186</v>
      </c>
      <c r="Q60" s="39">
        <f t="shared" si="5"/>
        <v>2962.5</v>
      </c>
      <c r="R60" s="41"/>
      <c r="T60" s="42">
        <f t="shared" si="6"/>
        <v>-3</v>
      </c>
      <c r="U60" s="42">
        <f t="shared" si="7"/>
        <v>2</v>
      </c>
      <c r="V60" s="42">
        <f t="shared" si="8"/>
        <v>1</v>
      </c>
    </row>
    <row r="61" spans="1:22" s="28" customFormat="1" ht="73.5" customHeight="1" x14ac:dyDescent="0.2">
      <c r="A61" s="30">
        <v>50</v>
      </c>
      <c r="B61" s="31" t="s">
        <v>104</v>
      </c>
      <c r="C61" s="32" t="s">
        <v>25</v>
      </c>
      <c r="D61" s="33" t="s">
        <v>105</v>
      </c>
      <c r="E61" s="35">
        <v>174.59</v>
      </c>
      <c r="F61" s="32" t="s">
        <v>27</v>
      </c>
      <c r="G61" s="37">
        <f>203.54/1.2</f>
        <v>169.61666666666667</v>
      </c>
      <c r="H61" s="38">
        <f t="shared" si="9"/>
        <v>1356.9333333333334</v>
      </c>
      <c r="I61" s="38" t="s">
        <v>28</v>
      </c>
      <c r="J61" s="37">
        <v>175.54</v>
      </c>
      <c r="K61" s="38">
        <f t="shared" si="1"/>
        <v>1404.32</v>
      </c>
      <c r="L61" s="32" t="s">
        <v>29</v>
      </c>
      <c r="M61" s="37">
        <v>181.7</v>
      </c>
      <c r="N61" s="38">
        <f t="shared" si="2"/>
        <v>1453.6</v>
      </c>
      <c r="O61" s="39">
        <f t="shared" si="3"/>
        <v>175.61888888888885</v>
      </c>
      <c r="P61" s="40">
        <f t="shared" si="4"/>
        <v>-0.58586459315307593</v>
      </c>
      <c r="Q61" s="39">
        <f t="shared" si="5"/>
        <v>1396.72</v>
      </c>
      <c r="R61" s="41"/>
      <c r="T61" s="42">
        <f t="shared" si="6"/>
        <v>-3</v>
      </c>
      <c r="U61" s="42">
        <f t="shared" si="7"/>
        <v>0</v>
      </c>
      <c r="V61" s="42">
        <f t="shared" si="8"/>
        <v>3</v>
      </c>
    </row>
    <row r="62" spans="1:22" s="28" customFormat="1" ht="73.5" customHeight="1" x14ac:dyDescent="0.2">
      <c r="A62" s="30">
        <v>51</v>
      </c>
      <c r="B62" s="31" t="s">
        <v>106</v>
      </c>
      <c r="C62" s="32" t="s">
        <v>25</v>
      </c>
      <c r="D62" s="33">
        <v>1</v>
      </c>
      <c r="E62" s="35">
        <v>800.12</v>
      </c>
      <c r="F62" s="32" t="s">
        <v>27</v>
      </c>
      <c r="G62" s="37">
        <f>945.37/1.2</f>
        <v>787.80833333333339</v>
      </c>
      <c r="H62" s="38">
        <f t="shared" si="9"/>
        <v>787.80833333333339</v>
      </c>
      <c r="I62" s="38" t="s">
        <v>28</v>
      </c>
      <c r="J62" s="37">
        <v>799.9</v>
      </c>
      <c r="K62" s="38">
        <f t="shared" si="1"/>
        <v>799.9</v>
      </c>
      <c r="L62" s="32" t="s">
        <v>29</v>
      </c>
      <c r="M62" s="37">
        <v>820.4</v>
      </c>
      <c r="N62" s="38">
        <f t="shared" si="2"/>
        <v>820.4</v>
      </c>
      <c r="O62" s="39">
        <f t="shared" si="3"/>
        <v>802.7027777777779</v>
      </c>
      <c r="P62" s="40">
        <f t="shared" si="4"/>
        <v>-0.32176016444444144</v>
      </c>
      <c r="Q62" s="39">
        <f t="shared" si="5"/>
        <v>800.12</v>
      </c>
      <c r="R62" s="41"/>
      <c r="T62" s="42">
        <f t="shared" si="6"/>
        <v>-2</v>
      </c>
      <c r="U62" s="42">
        <f t="shared" si="7"/>
        <v>0</v>
      </c>
      <c r="V62" s="42">
        <f t="shared" si="8"/>
        <v>2</v>
      </c>
    </row>
    <row r="63" spans="1:22" s="28" customFormat="1" ht="73.5" customHeight="1" x14ac:dyDescent="0.2">
      <c r="A63" s="30">
        <v>52</v>
      </c>
      <c r="B63" s="31" t="s">
        <v>107</v>
      </c>
      <c r="C63" s="32" t="s">
        <v>45</v>
      </c>
      <c r="D63" s="33">
        <v>30.2</v>
      </c>
      <c r="E63" s="62">
        <v>12456.8</v>
      </c>
      <c r="F63" s="32" t="s">
        <v>39</v>
      </c>
      <c r="G63" s="37">
        <f>5074.31*1000/400</f>
        <v>12685.775</v>
      </c>
      <c r="H63" s="38">
        <f t="shared" si="9"/>
        <v>383110.40499999997</v>
      </c>
      <c r="I63" s="32" t="s">
        <v>40</v>
      </c>
      <c r="J63" s="37">
        <f>5560*1000/400/1.2</f>
        <v>11583.333333333334</v>
      </c>
      <c r="K63" s="38">
        <f t="shared" si="1"/>
        <v>349816.66666666669</v>
      </c>
      <c r="L63" s="32" t="s">
        <v>108</v>
      </c>
      <c r="M63" s="37">
        <f>5299.17*1000/400</f>
        <v>13247.924999999999</v>
      </c>
      <c r="N63" s="38">
        <f t="shared" si="2"/>
        <v>400087.33499999996</v>
      </c>
      <c r="O63" s="39">
        <f t="shared" si="3"/>
        <v>12505.677777777777</v>
      </c>
      <c r="P63" s="40">
        <f t="shared" si="4"/>
        <v>-0.39084469187773152</v>
      </c>
      <c r="Q63" s="39">
        <f t="shared" si="5"/>
        <v>376195.36</v>
      </c>
      <c r="R63" s="64" t="s">
        <v>468</v>
      </c>
      <c r="T63" s="42">
        <f t="shared" si="6"/>
        <v>1</v>
      </c>
      <c r="U63" s="42">
        <f t="shared" si="7"/>
        <v>-7</v>
      </c>
      <c r="V63" s="42">
        <f t="shared" si="8"/>
        <v>6</v>
      </c>
    </row>
    <row r="64" spans="1:22" s="28" customFormat="1" ht="73.5" customHeight="1" x14ac:dyDescent="0.2">
      <c r="A64" s="30">
        <v>53</v>
      </c>
      <c r="B64" s="31" t="s">
        <v>109</v>
      </c>
      <c r="C64" s="32" t="s">
        <v>25</v>
      </c>
      <c r="D64" s="33">
        <v>40</v>
      </c>
      <c r="E64" s="35">
        <v>5.1100000000000003</v>
      </c>
      <c r="F64" s="32" t="s">
        <v>39</v>
      </c>
      <c r="G64" s="37">
        <v>4.83</v>
      </c>
      <c r="H64" s="38">
        <f t="shared" si="9"/>
        <v>193.2</v>
      </c>
      <c r="I64" s="32" t="s">
        <v>54</v>
      </c>
      <c r="J64" s="37">
        <v>5.12</v>
      </c>
      <c r="K64" s="38">
        <f t="shared" si="1"/>
        <v>204.8</v>
      </c>
      <c r="L64" s="38" t="s">
        <v>41</v>
      </c>
      <c r="M64" s="37">
        <v>5.8</v>
      </c>
      <c r="N64" s="38">
        <f t="shared" si="2"/>
        <v>232</v>
      </c>
      <c r="O64" s="39">
        <f t="shared" si="3"/>
        <v>5.25</v>
      </c>
      <c r="P64" s="40">
        <f t="shared" si="4"/>
        <v>-2.6666666666666572</v>
      </c>
      <c r="Q64" s="39">
        <f t="shared" si="5"/>
        <v>204.4</v>
      </c>
      <c r="R64" s="41"/>
      <c r="T64" s="42">
        <f t="shared" si="6"/>
        <v>-8</v>
      </c>
      <c r="U64" s="42">
        <f t="shared" si="7"/>
        <v>-2</v>
      </c>
      <c r="V64" s="42">
        <f t="shared" si="8"/>
        <v>10</v>
      </c>
    </row>
    <row r="65" spans="1:22" s="28" customFormat="1" ht="73.5" customHeight="1" x14ac:dyDescent="0.2">
      <c r="A65" s="30">
        <v>54</v>
      </c>
      <c r="B65" s="31" t="s">
        <v>110</v>
      </c>
      <c r="C65" s="32" t="s">
        <v>25</v>
      </c>
      <c r="D65" s="33">
        <v>20</v>
      </c>
      <c r="E65" s="35">
        <v>7.08</v>
      </c>
      <c r="F65" s="32" t="s">
        <v>39</v>
      </c>
      <c r="G65" s="37">
        <v>6.95</v>
      </c>
      <c r="H65" s="38">
        <f t="shared" si="9"/>
        <v>139</v>
      </c>
      <c r="I65" s="32" t="s">
        <v>54</v>
      </c>
      <c r="J65" s="37">
        <v>7.32</v>
      </c>
      <c r="K65" s="38">
        <f t="shared" si="1"/>
        <v>146.4</v>
      </c>
      <c r="L65" s="38" t="s">
        <v>41</v>
      </c>
      <c r="M65" s="37">
        <v>7.13</v>
      </c>
      <c r="N65" s="38">
        <f t="shared" si="2"/>
        <v>142.6</v>
      </c>
      <c r="O65" s="39">
        <f t="shared" si="3"/>
        <v>7.1333333333333329</v>
      </c>
      <c r="P65" s="40">
        <f t="shared" si="4"/>
        <v>-0.74766355140185681</v>
      </c>
      <c r="Q65" s="39">
        <f t="shared" si="5"/>
        <v>141.6</v>
      </c>
      <c r="R65" s="41"/>
      <c r="T65" s="42">
        <f t="shared" si="6"/>
        <v>-3</v>
      </c>
      <c r="U65" s="42">
        <f t="shared" si="7"/>
        <v>3</v>
      </c>
      <c r="V65" s="42">
        <f t="shared" si="8"/>
        <v>0</v>
      </c>
    </row>
    <row r="66" spans="1:22" s="28" customFormat="1" ht="73.5" customHeight="1" x14ac:dyDescent="0.2">
      <c r="A66" s="30">
        <v>55</v>
      </c>
      <c r="B66" s="31" t="s">
        <v>111</v>
      </c>
      <c r="C66" s="32" t="s">
        <v>25</v>
      </c>
      <c r="D66" s="33">
        <v>480</v>
      </c>
      <c r="E66" s="35">
        <v>18.600000000000001</v>
      </c>
      <c r="F66" s="32" t="s">
        <v>39</v>
      </c>
      <c r="G66" s="37">
        <v>18.07</v>
      </c>
      <c r="H66" s="38">
        <f t="shared" si="9"/>
        <v>8673.6</v>
      </c>
      <c r="I66" s="32" t="s">
        <v>54</v>
      </c>
      <c r="J66" s="37">
        <v>17.59</v>
      </c>
      <c r="K66" s="38">
        <f t="shared" si="1"/>
        <v>8443.2000000000007</v>
      </c>
      <c r="L66" s="38" t="s">
        <v>41</v>
      </c>
      <c r="M66" s="37">
        <v>21.07</v>
      </c>
      <c r="N66" s="38">
        <f t="shared" si="2"/>
        <v>10113.6</v>
      </c>
      <c r="O66" s="39">
        <f t="shared" si="3"/>
        <v>18.91</v>
      </c>
      <c r="P66" s="40">
        <f t="shared" si="4"/>
        <v>-1.6393442622950687</v>
      </c>
      <c r="Q66" s="39">
        <f t="shared" si="5"/>
        <v>8928</v>
      </c>
      <c r="R66" s="41"/>
      <c r="T66" s="42">
        <f t="shared" si="6"/>
        <v>-4</v>
      </c>
      <c r="U66" s="42">
        <f t="shared" si="7"/>
        <v>-7</v>
      </c>
      <c r="V66" s="42">
        <f t="shared" si="8"/>
        <v>11</v>
      </c>
    </row>
    <row r="67" spans="1:22" s="28" customFormat="1" ht="73.5" customHeight="1" x14ac:dyDescent="0.2">
      <c r="A67" s="30">
        <v>56</v>
      </c>
      <c r="B67" s="31" t="s">
        <v>112</v>
      </c>
      <c r="C67" s="32" t="s">
        <v>25</v>
      </c>
      <c r="D67" s="33">
        <v>1200</v>
      </c>
      <c r="E67" s="35">
        <v>33.56</v>
      </c>
      <c r="F67" s="32" t="s">
        <v>39</v>
      </c>
      <c r="G67" s="37">
        <v>33.19</v>
      </c>
      <c r="H67" s="38">
        <f t="shared" si="9"/>
        <v>39828</v>
      </c>
      <c r="I67" s="32" t="s">
        <v>54</v>
      </c>
      <c r="J67" s="37">
        <v>36.54</v>
      </c>
      <c r="K67" s="38">
        <f t="shared" si="1"/>
        <v>43848</v>
      </c>
      <c r="L67" s="38" t="s">
        <v>41</v>
      </c>
      <c r="M67" s="37">
        <v>31.47</v>
      </c>
      <c r="N67" s="38">
        <f t="shared" si="2"/>
        <v>37764</v>
      </c>
      <c r="O67" s="39">
        <f t="shared" si="3"/>
        <v>33.733333333333327</v>
      </c>
      <c r="P67" s="40">
        <f t="shared" si="4"/>
        <v>-0.51383399209484537</v>
      </c>
      <c r="Q67" s="39">
        <f t="shared" si="5"/>
        <v>40272</v>
      </c>
      <c r="R67" s="41"/>
      <c r="T67" s="42">
        <f t="shared" si="6"/>
        <v>-2</v>
      </c>
      <c r="U67" s="42">
        <f t="shared" si="7"/>
        <v>8</v>
      </c>
      <c r="V67" s="42">
        <f t="shared" si="8"/>
        <v>-7</v>
      </c>
    </row>
    <row r="68" spans="1:22" s="28" customFormat="1" ht="73.5" customHeight="1" x14ac:dyDescent="0.2">
      <c r="A68" s="30">
        <v>57</v>
      </c>
      <c r="B68" s="31" t="s">
        <v>113</v>
      </c>
      <c r="C68" s="32" t="s">
        <v>25</v>
      </c>
      <c r="D68" s="33">
        <v>40</v>
      </c>
      <c r="E68" s="35">
        <v>1.5</v>
      </c>
      <c r="F68" s="32" t="s">
        <v>39</v>
      </c>
      <c r="G68" s="37">
        <v>1.47</v>
      </c>
      <c r="H68" s="38">
        <f t="shared" si="9"/>
        <v>58.8</v>
      </c>
      <c r="I68" s="32" t="s">
        <v>54</v>
      </c>
      <c r="J68" s="37">
        <v>1.4</v>
      </c>
      <c r="K68" s="38">
        <f t="shared" si="1"/>
        <v>56</v>
      </c>
      <c r="L68" s="38" t="s">
        <v>41</v>
      </c>
      <c r="M68" s="37">
        <v>1.65</v>
      </c>
      <c r="N68" s="38">
        <f t="shared" si="2"/>
        <v>66</v>
      </c>
      <c r="O68" s="39">
        <f t="shared" si="3"/>
        <v>1.5066666666666666</v>
      </c>
      <c r="P68" s="40">
        <f t="shared" si="4"/>
        <v>-0.44247787610619582</v>
      </c>
      <c r="Q68" s="39">
        <f t="shared" si="5"/>
        <v>60</v>
      </c>
      <c r="R68" s="41"/>
      <c r="T68" s="42">
        <f t="shared" si="6"/>
        <v>-2</v>
      </c>
      <c r="U68" s="42">
        <f t="shared" si="7"/>
        <v>-7</v>
      </c>
      <c r="V68" s="42">
        <f t="shared" si="8"/>
        <v>10</v>
      </c>
    </row>
    <row r="69" spans="1:22" s="28" customFormat="1" ht="73.5" customHeight="1" x14ac:dyDescent="0.2">
      <c r="A69" s="30">
        <v>58</v>
      </c>
      <c r="B69" s="31" t="s">
        <v>114</v>
      </c>
      <c r="C69" s="32" t="s">
        <v>25</v>
      </c>
      <c r="D69" s="33">
        <v>30</v>
      </c>
      <c r="E69" s="35">
        <v>2.99</v>
      </c>
      <c r="F69" s="32" t="s">
        <v>39</v>
      </c>
      <c r="G69" s="37">
        <v>2.92</v>
      </c>
      <c r="H69" s="38">
        <f t="shared" si="9"/>
        <v>87.6</v>
      </c>
      <c r="I69" s="32" t="s">
        <v>54</v>
      </c>
      <c r="J69" s="37">
        <v>3.1</v>
      </c>
      <c r="K69" s="38">
        <f t="shared" si="1"/>
        <v>93</v>
      </c>
      <c r="L69" s="38" t="s">
        <v>41</v>
      </c>
      <c r="M69" s="37">
        <v>2.98</v>
      </c>
      <c r="N69" s="38">
        <f t="shared" si="2"/>
        <v>89.4</v>
      </c>
      <c r="O69" s="39">
        <f t="shared" si="3"/>
        <v>3</v>
      </c>
      <c r="P69" s="40">
        <f t="shared" si="4"/>
        <v>-0.3333333333333286</v>
      </c>
      <c r="Q69" s="39">
        <f t="shared" si="5"/>
        <v>89.7</v>
      </c>
      <c r="R69" s="41"/>
      <c r="T69" s="42">
        <f t="shared" si="6"/>
        <v>-3</v>
      </c>
      <c r="U69" s="42">
        <f t="shared" si="7"/>
        <v>3</v>
      </c>
      <c r="V69" s="42">
        <f t="shared" si="8"/>
        <v>-1</v>
      </c>
    </row>
    <row r="70" spans="1:22" s="28" customFormat="1" ht="60" customHeight="1" x14ac:dyDescent="0.2">
      <c r="A70" s="30">
        <v>59</v>
      </c>
      <c r="B70" s="31" t="s">
        <v>115</v>
      </c>
      <c r="C70" s="32" t="s">
        <v>25</v>
      </c>
      <c r="D70" s="33">
        <v>6</v>
      </c>
      <c r="E70" s="35">
        <v>235.6</v>
      </c>
      <c r="F70" s="32" t="s">
        <v>469</v>
      </c>
      <c r="G70" s="37">
        <v>214</v>
      </c>
      <c r="H70" s="38">
        <f t="shared" si="9"/>
        <v>1284</v>
      </c>
      <c r="I70" s="32" t="s">
        <v>470</v>
      </c>
      <c r="J70" s="37">
        <v>278.67</v>
      </c>
      <c r="K70" s="38">
        <f t="shared" si="1"/>
        <v>1672.02</v>
      </c>
      <c r="L70" s="38" t="s">
        <v>471</v>
      </c>
      <c r="M70" s="37">
        <v>221.08</v>
      </c>
      <c r="N70" s="38">
        <f t="shared" si="2"/>
        <v>1326.48</v>
      </c>
      <c r="O70" s="39">
        <f t="shared" si="3"/>
        <v>237.91666666666666</v>
      </c>
      <c r="P70" s="40">
        <f t="shared" si="4"/>
        <v>-0.97373029772329289</v>
      </c>
      <c r="Q70" s="39">
        <f t="shared" si="5"/>
        <v>1413.6</v>
      </c>
      <c r="R70" s="47" t="s">
        <v>472</v>
      </c>
      <c r="T70" s="42">
        <f t="shared" si="6"/>
        <v>-10</v>
      </c>
      <c r="U70" s="42">
        <f t="shared" si="7"/>
        <v>17</v>
      </c>
      <c r="V70" s="42">
        <f t="shared" si="8"/>
        <v>-7</v>
      </c>
    </row>
    <row r="71" spans="1:22" s="28" customFormat="1" ht="73.5" customHeight="1" x14ac:dyDescent="0.2">
      <c r="A71" s="30">
        <v>60</v>
      </c>
      <c r="B71" s="31" t="s">
        <v>117</v>
      </c>
      <c r="C71" s="32" t="s">
        <v>118</v>
      </c>
      <c r="D71" s="33">
        <v>135</v>
      </c>
      <c r="E71" s="35">
        <v>203.5</v>
      </c>
      <c r="F71" s="32" t="s">
        <v>56</v>
      </c>
      <c r="G71" s="37">
        <v>197.36</v>
      </c>
      <c r="H71" s="38">
        <f t="shared" si="9"/>
        <v>26643.600000000002</v>
      </c>
      <c r="I71" s="32" t="s">
        <v>57</v>
      </c>
      <c r="J71" s="37">
        <v>220.92</v>
      </c>
      <c r="K71" s="38">
        <f t="shared" si="1"/>
        <v>29824.199999999997</v>
      </c>
      <c r="L71" s="32" t="s">
        <v>119</v>
      </c>
      <c r="M71" s="37">
        <v>193.78</v>
      </c>
      <c r="N71" s="38">
        <f t="shared" si="2"/>
        <v>26160.3</v>
      </c>
      <c r="O71" s="39">
        <f t="shared" si="3"/>
        <v>204.01999999999998</v>
      </c>
      <c r="P71" s="40">
        <f t="shared" si="4"/>
        <v>-0.25487697284579269</v>
      </c>
      <c r="Q71" s="39">
        <f t="shared" si="5"/>
        <v>27472.5</v>
      </c>
      <c r="R71" s="47"/>
      <c r="T71" s="42">
        <f t="shared" si="6"/>
        <v>-3</v>
      </c>
      <c r="U71" s="42">
        <f t="shared" si="7"/>
        <v>8</v>
      </c>
      <c r="V71" s="42">
        <f t="shared" si="8"/>
        <v>-5</v>
      </c>
    </row>
    <row r="72" spans="1:22" s="28" customFormat="1" ht="71.25" customHeight="1" x14ac:dyDescent="0.2">
      <c r="A72" s="30">
        <v>61</v>
      </c>
      <c r="B72" s="31" t="s">
        <v>120</v>
      </c>
      <c r="C72" s="32" t="s">
        <v>25</v>
      </c>
      <c r="D72" s="33">
        <v>6</v>
      </c>
      <c r="E72" s="35">
        <v>175500</v>
      </c>
      <c r="F72" s="32" t="s">
        <v>56</v>
      </c>
      <c r="G72" s="37">
        <v>167514.67000000001</v>
      </c>
      <c r="H72" s="38">
        <f t="shared" si="9"/>
        <v>1005088.02</v>
      </c>
      <c r="I72" s="32" t="s">
        <v>57</v>
      </c>
      <c r="J72" s="37">
        <v>184511.4</v>
      </c>
      <c r="K72" s="38">
        <f t="shared" si="1"/>
        <v>1107068.3999999999</v>
      </c>
      <c r="L72" s="32" t="s">
        <v>119</v>
      </c>
      <c r="M72" s="37">
        <v>175488.6</v>
      </c>
      <c r="N72" s="38">
        <f t="shared" si="2"/>
        <v>1052931.6000000001</v>
      </c>
      <c r="O72" s="39">
        <f t="shared" si="3"/>
        <v>175838.22333333336</v>
      </c>
      <c r="P72" s="40">
        <f t="shared" si="4"/>
        <v>-0.19234915305769107</v>
      </c>
      <c r="Q72" s="39">
        <f t="shared" si="5"/>
        <v>1053000</v>
      </c>
      <c r="R72" s="47" t="s">
        <v>116</v>
      </c>
      <c r="T72" s="42">
        <f t="shared" si="6"/>
        <v>-5</v>
      </c>
      <c r="U72" s="42">
        <f t="shared" si="7"/>
        <v>5</v>
      </c>
      <c r="V72" s="42">
        <f t="shared" si="8"/>
        <v>0</v>
      </c>
    </row>
    <row r="73" spans="1:22" s="28" customFormat="1" ht="73.5" customHeight="1" x14ac:dyDescent="0.2">
      <c r="A73" s="30">
        <v>62</v>
      </c>
      <c r="B73" s="31" t="s">
        <v>121</v>
      </c>
      <c r="C73" s="32" t="s">
        <v>25</v>
      </c>
      <c r="D73" s="33">
        <v>2</v>
      </c>
      <c r="E73" s="35">
        <v>219</v>
      </c>
      <c r="F73" s="32" t="s">
        <v>27</v>
      </c>
      <c r="G73" s="37">
        <f>261.07/1.2</f>
        <v>217.55833333333334</v>
      </c>
      <c r="H73" s="38">
        <f t="shared" si="9"/>
        <v>435.11666666666667</v>
      </c>
      <c r="I73" s="38" t="s">
        <v>28</v>
      </c>
      <c r="J73" s="37">
        <v>221.09</v>
      </c>
      <c r="K73" s="38">
        <f t="shared" si="1"/>
        <v>442.18</v>
      </c>
      <c r="L73" s="32" t="s">
        <v>29</v>
      </c>
      <c r="M73" s="37">
        <v>220.74</v>
      </c>
      <c r="N73" s="38">
        <f t="shared" si="2"/>
        <v>441.48</v>
      </c>
      <c r="O73" s="39">
        <f t="shared" si="3"/>
        <v>219.79611111111112</v>
      </c>
      <c r="P73" s="40">
        <f t="shared" si="4"/>
        <v>-0.36220436616763152</v>
      </c>
      <c r="Q73" s="39">
        <f t="shared" si="5"/>
        <v>438</v>
      </c>
      <c r="R73" s="47"/>
      <c r="T73" s="42">
        <f t="shared" si="6"/>
        <v>-1</v>
      </c>
      <c r="U73" s="42">
        <f t="shared" si="7"/>
        <v>1</v>
      </c>
      <c r="V73" s="42">
        <f t="shared" si="8"/>
        <v>0</v>
      </c>
    </row>
    <row r="74" spans="1:22" s="28" customFormat="1" ht="73.5" customHeight="1" x14ac:dyDescent="0.2">
      <c r="A74" s="30">
        <v>63</v>
      </c>
      <c r="B74" s="31" t="s">
        <v>122</v>
      </c>
      <c r="C74" s="32" t="s">
        <v>25</v>
      </c>
      <c r="D74" s="33">
        <v>12</v>
      </c>
      <c r="E74" s="35">
        <v>14005.5</v>
      </c>
      <c r="F74" s="38" t="s">
        <v>67</v>
      </c>
      <c r="G74" s="37">
        <f>16424.57/1.2</f>
        <v>13687.141666666666</v>
      </c>
      <c r="H74" s="38">
        <f t="shared" si="9"/>
        <v>164245.70000000001</v>
      </c>
      <c r="I74" s="32" t="s">
        <v>46</v>
      </c>
      <c r="J74" s="37">
        <v>13897.5</v>
      </c>
      <c r="K74" s="38">
        <f t="shared" si="1"/>
        <v>166770</v>
      </c>
      <c r="L74" s="32" t="s">
        <v>119</v>
      </c>
      <c r="M74" s="37">
        <v>14510.42</v>
      </c>
      <c r="N74" s="38">
        <f t="shared" si="2"/>
        <v>174125.04</v>
      </c>
      <c r="O74" s="39">
        <f t="shared" si="3"/>
        <v>14031.687222222223</v>
      </c>
      <c r="P74" s="40">
        <f t="shared" si="4"/>
        <v>-0.18662917586097194</v>
      </c>
      <c r="Q74" s="39">
        <f t="shared" si="5"/>
        <v>168066</v>
      </c>
      <c r="R74" s="48"/>
      <c r="T74" s="42">
        <f t="shared" si="6"/>
        <v>-2</v>
      </c>
      <c r="U74" s="42">
        <f t="shared" si="7"/>
        <v>-1</v>
      </c>
      <c r="V74" s="42">
        <f t="shared" si="8"/>
        <v>3</v>
      </c>
    </row>
    <row r="75" spans="1:22" s="28" customFormat="1" ht="73.5" customHeight="1" x14ac:dyDescent="0.2">
      <c r="A75" s="30">
        <v>64</v>
      </c>
      <c r="B75" s="31" t="s">
        <v>123</v>
      </c>
      <c r="C75" s="32" t="s">
        <v>25</v>
      </c>
      <c r="D75" s="33">
        <v>10</v>
      </c>
      <c r="E75" s="35">
        <v>1705.6</v>
      </c>
      <c r="F75" s="32" t="s">
        <v>27</v>
      </c>
      <c r="G75" s="37">
        <f>2031.58/1.2</f>
        <v>1692.9833333333333</v>
      </c>
      <c r="H75" s="38">
        <f t="shared" si="9"/>
        <v>16929.833333333332</v>
      </c>
      <c r="I75" s="38" t="s">
        <v>28</v>
      </c>
      <c r="J75" s="37">
        <v>1709.88</v>
      </c>
      <c r="K75" s="38">
        <f t="shared" si="1"/>
        <v>17098.800000000003</v>
      </c>
      <c r="L75" s="32" t="s">
        <v>29</v>
      </c>
      <c r="M75" s="37">
        <v>1726.06</v>
      </c>
      <c r="N75" s="38">
        <f t="shared" si="2"/>
        <v>17260.599999999999</v>
      </c>
      <c r="O75" s="39">
        <f t="shared" si="3"/>
        <v>1709.6411111111113</v>
      </c>
      <c r="P75" s="40">
        <f t="shared" si="4"/>
        <v>-0.23637189611595488</v>
      </c>
      <c r="Q75" s="39">
        <f t="shared" si="5"/>
        <v>17056</v>
      </c>
      <c r="R75" s="48"/>
      <c r="T75" s="42">
        <f t="shared" si="6"/>
        <v>-1</v>
      </c>
      <c r="U75" s="42">
        <f t="shared" si="7"/>
        <v>0</v>
      </c>
      <c r="V75" s="42">
        <f t="shared" si="8"/>
        <v>1</v>
      </c>
    </row>
    <row r="76" spans="1:22" s="28" customFormat="1" ht="73.5" customHeight="1" x14ac:dyDescent="0.2">
      <c r="A76" s="30">
        <v>65</v>
      </c>
      <c r="B76" s="31" t="s">
        <v>124</v>
      </c>
      <c r="C76" s="32" t="s">
        <v>25</v>
      </c>
      <c r="D76" s="33">
        <v>3</v>
      </c>
      <c r="E76" s="35">
        <v>2340</v>
      </c>
      <c r="F76" s="32" t="s">
        <v>27</v>
      </c>
      <c r="G76" s="37">
        <f>2816.81/1.2</f>
        <v>2347.3416666666667</v>
      </c>
      <c r="H76" s="38">
        <f t="shared" ref="H76:H94" si="10">D76*G76</f>
        <v>7042.0249999999996</v>
      </c>
      <c r="I76" s="38" t="s">
        <v>28</v>
      </c>
      <c r="J76" s="37">
        <v>2317.52</v>
      </c>
      <c r="K76" s="38">
        <f t="shared" ref="K76:K139" si="11">D76*J76</f>
        <v>6952.5599999999995</v>
      </c>
      <c r="L76" s="32" t="s">
        <v>29</v>
      </c>
      <c r="M76" s="37">
        <v>2358.33</v>
      </c>
      <c r="N76" s="38">
        <f t="shared" ref="N76:N139" si="12">D76*M76</f>
        <v>7074.99</v>
      </c>
      <c r="O76" s="39">
        <f t="shared" ref="O76:O139" si="13">AVERAGE(G76,J76,M76)</f>
        <v>2341.0638888888889</v>
      </c>
      <c r="P76" s="40">
        <f t="shared" ref="P76:P139" si="14">E76*100/O76-100</f>
        <v>-4.5444675557050118E-2</v>
      </c>
      <c r="Q76" s="39">
        <f t="shared" ref="Q76:Q139" si="15">D76*E76</f>
        <v>7020</v>
      </c>
      <c r="R76" s="41"/>
      <c r="T76" s="42">
        <f t="shared" ref="T76:T139" si="16">ROUND(G76*100/O76-100,0)</f>
        <v>0</v>
      </c>
      <c r="U76" s="42">
        <f t="shared" ref="U76:U139" si="17">ROUND(J76*100/O76-100,0)</f>
        <v>-1</v>
      </c>
      <c r="V76" s="42">
        <f t="shared" ref="V76:V139" si="18">ROUND(M76*100/O76-100,0)</f>
        <v>1</v>
      </c>
    </row>
    <row r="77" spans="1:22" s="28" customFormat="1" ht="73.5" customHeight="1" x14ac:dyDescent="0.2">
      <c r="A77" s="30">
        <v>66</v>
      </c>
      <c r="B77" s="31" t="s">
        <v>125</v>
      </c>
      <c r="C77" s="32" t="s">
        <v>25</v>
      </c>
      <c r="D77" s="33">
        <v>15</v>
      </c>
      <c r="E77" s="35">
        <v>5605.6</v>
      </c>
      <c r="F77" s="32" t="s">
        <v>27</v>
      </c>
      <c r="G77" s="37">
        <f>6814.33/1.2</f>
        <v>5678.6083333333336</v>
      </c>
      <c r="H77" s="38">
        <f t="shared" si="10"/>
        <v>85179.125</v>
      </c>
      <c r="I77" s="38" t="s">
        <v>28</v>
      </c>
      <c r="J77" s="37">
        <v>5594.41</v>
      </c>
      <c r="K77" s="38">
        <f t="shared" si="11"/>
        <v>83916.15</v>
      </c>
      <c r="L77" s="32" t="s">
        <v>29</v>
      </c>
      <c r="M77" s="37">
        <v>5611.85</v>
      </c>
      <c r="N77" s="38">
        <f t="shared" si="12"/>
        <v>84177.75</v>
      </c>
      <c r="O77" s="39">
        <f t="shared" si="13"/>
        <v>5628.2894444444437</v>
      </c>
      <c r="P77" s="40">
        <f t="shared" si="14"/>
        <v>-0.40313215353272369</v>
      </c>
      <c r="Q77" s="39">
        <f t="shared" si="15"/>
        <v>84084</v>
      </c>
      <c r="R77" s="41"/>
      <c r="T77" s="42">
        <f t="shared" si="16"/>
        <v>1</v>
      </c>
      <c r="U77" s="42">
        <f t="shared" si="17"/>
        <v>-1</v>
      </c>
      <c r="V77" s="42">
        <f t="shared" si="18"/>
        <v>0</v>
      </c>
    </row>
    <row r="78" spans="1:22" s="28" customFormat="1" ht="73.5" customHeight="1" x14ac:dyDescent="0.2">
      <c r="A78" s="30">
        <v>67</v>
      </c>
      <c r="B78" s="31" t="s">
        <v>126</v>
      </c>
      <c r="C78" s="32" t="s">
        <v>25</v>
      </c>
      <c r="D78" s="33">
        <v>14</v>
      </c>
      <c r="E78" s="35">
        <v>3200.5</v>
      </c>
      <c r="F78" s="32" t="s">
        <v>27</v>
      </c>
      <c r="G78" s="37">
        <f>3807.04/1.2</f>
        <v>3172.5333333333333</v>
      </c>
      <c r="H78" s="38">
        <f t="shared" si="10"/>
        <v>44415.466666666667</v>
      </c>
      <c r="I78" s="38" t="s">
        <v>28</v>
      </c>
      <c r="J78" s="37">
        <v>3199.28</v>
      </c>
      <c r="K78" s="38">
        <f t="shared" si="11"/>
        <v>44789.920000000006</v>
      </c>
      <c r="L78" s="32" t="s">
        <v>29</v>
      </c>
      <c r="M78" s="37">
        <v>3253.76</v>
      </c>
      <c r="N78" s="38">
        <f t="shared" si="12"/>
        <v>45552.639999999999</v>
      </c>
      <c r="O78" s="39">
        <f t="shared" si="13"/>
        <v>3208.5244444444447</v>
      </c>
      <c r="P78" s="40">
        <f t="shared" si="14"/>
        <v>-0.25009765652055194</v>
      </c>
      <c r="Q78" s="39">
        <f t="shared" si="15"/>
        <v>44807</v>
      </c>
      <c r="R78" s="41"/>
      <c r="T78" s="42">
        <f t="shared" si="16"/>
        <v>-1</v>
      </c>
      <c r="U78" s="42">
        <f t="shared" si="17"/>
        <v>0</v>
      </c>
      <c r="V78" s="42">
        <f t="shared" si="18"/>
        <v>1</v>
      </c>
    </row>
    <row r="79" spans="1:22" s="28" customFormat="1" ht="73.5" customHeight="1" x14ac:dyDescent="0.2">
      <c r="A79" s="30">
        <v>68</v>
      </c>
      <c r="B79" s="31" t="s">
        <v>127</v>
      </c>
      <c r="C79" s="32" t="s">
        <v>25</v>
      </c>
      <c r="D79" s="33">
        <v>10</v>
      </c>
      <c r="E79" s="35">
        <v>5345.3</v>
      </c>
      <c r="F79" s="32" t="s">
        <v>27</v>
      </c>
      <c r="G79" s="37">
        <f>6364.89/1.2</f>
        <v>5304.0750000000007</v>
      </c>
      <c r="H79" s="38">
        <f t="shared" si="10"/>
        <v>53040.750000000007</v>
      </c>
      <c r="I79" s="38" t="s">
        <v>28</v>
      </c>
      <c r="J79" s="37">
        <v>5388.67</v>
      </c>
      <c r="K79" s="38">
        <f t="shared" si="11"/>
        <v>53886.7</v>
      </c>
      <c r="L79" s="32" t="s">
        <v>29</v>
      </c>
      <c r="M79" s="37">
        <v>5357.13</v>
      </c>
      <c r="N79" s="38">
        <f t="shared" si="12"/>
        <v>53571.3</v>
      </c>
      <c r="O79" s="39">
        <f t="shared" si="13"/>
        <v>5349.958333333333</v>
      </c>
      <c r="P79" s="40">
        <f t="shared" si="14"/>
        <v>-8.7072329223744305E-2</v>
      </c>
      <c r="Q79" s="39">
        <f t="shared" si="15"/>
        <v>53453</v>
      </c>
      <c r="R79" s="41"/>
      <c r="T79" s="42">
        <f t="shared" si="16"/>
        <v>-1</v>
      </c>
      <c r="U79" s="42">
        <f t="shared" si="17"/>
        <v>1</v>
      </c>
      <c r="V79" s="42">
        <f t="shared" si="18"/>
        <v>0</v>
      </c>
    </row>
    <row r="80" spans="1:22" s="28" customFormat="1" ht="73.5" customHeight="1" x14ac:dyDescent="0.2">
      <c r="A80" s="30">
        <v>69</v>
      </c>
      <c r="B80" s="31" t="s">
        <v>128</v>
      </c>
      <c r="C80" s="32" t="s">
        <v>25</v>
      </c>
      <c r="D80" s="33">
        <v>76</v>
      </c>
      <c r="E80" s="35">
        <v>5560.15</v>
      </c>
      <c r="F80" s="32" t="s">
        <v>27</v>
      </c>
      <c r="G80" s="37">
        <f>6612.37/1.2</f>
        <v>5510.3083333333334</v>
      </c>
      <c r="H80" s="38">
        <f t="shared" si="10"/>
        <v>418783.43333333335</v>
      </c>
      <c r="I80" s="38" t="s">
        <v>28</v>
      </c>
      <c r="J80" s="37">
        <v>5580.04</v>
      </c>
      <c r="K80" s="38">
        <f t="shared" si="11"/>
        <v>424083.04</v>
      </c>
      <c r="L80" s="32" t="s">
        <v>29</v>
      </c>
      <c r="M80" s="37">
        <v>5607.97</v>
      </c>
      <c r="N80" s="38">
        <f t="shared" si="12"/>
        <v>426205.72000000003</v>
      </c>
      <c r="O80" s="39">
        <f t="shared" si="13"/>
        <v>5566.1061111111112</v>
      </c>
      <c r="P80" s="40">
        <f t="shared" si="14"/>
        <v>-0.10700678341761716</v>
      </c>
      <c r="Q80" s="39">
        <f t="shared" si="15"/>
        <v>422571.39999999997</v>
      </c>
      <c r="R80" s="41"/>
      <c r="T80" s="42">
        <f t="shared" si="16"/>
        <v>-1</v>
      </c>
      <c r="U80" s="42">
        <f t="shared" si="17"/>
        <v>0</v>
      </c>
      <c r="V80" s="42">
        <f t="shared" si="18"/>
        <v>1</v>
      </c>
    </row>
    <row r="81" spans="1:22" s="28" customFormat="1" ht="73.5" customHeight="1" x14ac:dyDescent="0.2">
      <c r="A81" s="30">
        <v>70</v>
      </c>
      <c r="B81" s="31" t="s">
        <v>129</v>
      </c>
      <c r="C81" s="32" t="s">
        <v>25</v>
      </c>
      <c r="D81" s="33">
        <v>5</v>
      </c>
      <c r="E81" s="35">
        <v>543.5</v>
      </c>
      <c r="F81" s="32" t="s">
        <v>27</v>
      </c>
      <c r="G81" s="37">
        <f>638.2/1.2</f>
        <v>531.83333333333337</v>
      </c>
      <c r="H81" s="38">
        <f t="shared" si="10"/>
        <v>2659.166666666667</v>
      </c>
      <c r="I81" s="38" t="s">
        <v>28</v>
      </c>
      <c r="J81" s="37">
        <f>671.58/1.2</f>
        <v>559.65000000000009</v>
      </c>
      <c r="K81" s="38">
        <f t="shared" si="11"/>
        <v>2798.2500000000005</v>
      </c>
      <c r="L81" s="32" t="s">
        <v>29</v>
      </c>
      <c r="M81" s="37">
        <v>541.09</v>
      </c>
      <c r="N81" s="38">
        <f t="shared" si="12"/>
        <v>2705.4500000000003</v>
      </c>
      <c r="O81" s="39">
        <f t="shared" si="13"/>
        <v>544.19111111111124</v>
      </c>
      <c r="P81" s="40">
        <f t="shared" si="14"/>
        <v>-0.1269978683959323</v>
      </c>
      <c r="Q81" s="39">
        <f t="shared" si="15"/>
        <v>2717.5</v>
      </c>
      <c r="R81" s="41"/>
      <c r="T81" s="42">
        <f t="shared" si="16"/>
        <v>-2</v>
      </c>
      <c r="U81" s="42">
        <f t="shared" si="17"/>
        <v>3</v>
      </c>
      <c r="V81" s="42">
        <f t="shared" si="18"/>
        <v>-1</v>
      </c>
    </row>
    <row r="82" spans="1:22" s="28" customFormat="1" ht="73.5" customHeight="1" x14ac:dyDescent="0.2">
      <c r="A82" s="30">
        <v>71</v>
      </c>
      <c r="B82" s="31" t="s">
        <v>130</v>
      </c>
      <c r="C82" s="32" t="s">
        <v>25</v>
      </c>
      <c r="D82" s="33" t="s">
        <v>131</v>
      </c>
      <c r="E82" s="35">
        <v>0.94</v>
      </c>
      <c r="F82" s="32" t="s">
        <v>39</v>
      </c>
      <c r="G82" s="37">
        <f>88.7/100</f>
        <v>0.88700000000000001</v>
      </c>
      <c r="H82" s="38">
        <f t="shared" si="10"/>
        <v>7096</v>
      </c>
      <c r="I82" s="32" t="s">
        <v>54</v>
      </c>
      <c r="J82" s="37">
        <v>0.94</v>
      </c>
      <c r="K82" s="38">
        <f t="shared" si="11"/>
        <v>7520</v>
      </c>
      <c r="L82" s="38" t="s">
        <v>41</v>
      </c>
      <c r="M82" s="37">
        <v>1.02</v>
      </c>
      <c r="N82" s="38">
        <f t="shared" si="12"/>
        <v>8160</v>
      </c>
      <c r="O82" s="39">
        <f t="shared" si="13"/>
        <v>0.94899999999999995</v>
      </c>
      <c r="P82" s="40">
        <f t="shared" si="14"/>
        <v>-0.94836670179135751</v>
      </c>
      <c r="Q82" s="39">
        <f t="shared" si="15"/>
        <v>7520</v>
      </c>
      <c r="R82" s="41"/>
      <c r="T82" s="42">
        <f t="shared" si="16"/>
        <v>-7</v>
      </c>
      <c r="U82" s="42">
        <f t="shared" si="17"/>
        <v>-1</v>
      </c>
      <c r="V82" s="42">
        <f t="shared" si="18"/>
        <v>7</v>
      </c>
    </row>
    <row r="83" spans="1:22" s="28" customFormat="1" ht="73.5" customHeight="1" x14ac:dyDescent="0.2">
      <c r="A83" s="30">
        <v>72</v>
      </c>
      <c r="B83" s="31" t="s">
        <v>132</v>
      </c>
      <c r="C83" s="32" t="s">
        <v>25</v>
      </c>
      <c r="D83" s="33">
        <v>17</v>
      </c>
      <c r="E83" s="35">
        <v>542.5</v>
      </c>
      <c r="F83" s="32" t="s">
        <v>27</v>
      </c>
      <c r="G83" s="37">
        <f>609.85/1.2</f>
        <v>508.20833333333337</v>
      </c>
      <c r="H83" s="38">
        <f t="shared" si="10"/>
        <v>8639.5416666666679</v>
      </c>
      <c r="I83" s="38" t="s">
        <v>28</v>
      </c>
      <c r="J83" s="37">
        <v>553.87</v>
      </c>
      <c r="K83" s="38">
        <f t="shared" si="11"/>
        <v>9415.7900000000009</v>
      </c>
      <c r="L83" s="32" t="s">
        <v>29</v>
      </c>
      <c r="M83" s="37">
        <v>567.41999999999996</v>
      </c>
      <c r="N83" s="38">
        <f t="shared" si="12"/>
        <v>9646.14</v>
      </c>
      <c r="O83" s="39">
        <f t="shared" si="13"/>
        <v>543.16611111111115</v>
      </c>
      <c r="P83" s="40">
        <f t="shared" si="14"/>
        <v>-0.12263488046934867</v>
      </c>
      <c r="Q83" s="39">
        <f t="shared" si="15"/>
        <v>9222.5</v>
      </c>
      <c r="R83" s="48"/>
      <c r="T83" s="42">
        <f t="shared" si="16"/>
        <v>-6</v>
      </c>
      <c r="U83" s="42">
        <f t="shared" si="17"/>
        <v>2</v>
      </c>
      <c r="V83" s="42">
        <f t="shared" si="18"/>
        <v>4</v>
      </c>
    </row>
    <row r="84" spans="1:22" s="28" customFormat="1" ht="73.5" customHeight="1" x14ac:dyDescent="0.2">
      <c r="A84" s="30">
        <v>73</v>
      </c>
      <c r="B84" s="31" t="s">
        <v>133</v>
      </c>
      <c r="C84" s="32" t="s">
        <v>25</v>
      </c>
      <c r="D84" s="33">
        <v>10</v>
      </c>
      <c r="E84" s="35">
        <v>37.5</v>
      </c>
      <c r="F84" s="32" t="s">
        <v>39</v>
      </c>
      <c r="G84" s="37">
        <v>33.14</v>
      </c>
      <c r="H84" s="38">
        <f t="shared" si="10"/>
        <v>331.4</v>
      </c>
      <c r="I84" s="32" t="s">
        <v>54</v>
      </c>
      <c r="J84" s="37">
        <v>39.51</v>
      </c>
      <c r="K84" s="38">
        <f t="shared" si="11"/>
        <v>395.09999999999997</v>
      </c>
      <c r="L84" s="32" t="s">
        <v>29</v>
      </c>
      <c r="M84" s="37">
        <v>40.06</v>
      </c>
      <c r="N84" s="38">
        <f t="shared" si="12"/>
        <v>400.6</v>
      </c>
      <c r="O84" s="39">
        <f t="shared" si="13"/>
        <v>37.57</v>
      </c>
      <c r="P84" s="40">
        <f t="shared" si="14"/>
        <v>-0.18631887143997972</v>
      </c>
      <c r="Q84" s="39">
        <f t="shared" si="15"/>
        <v>375</v>
      </c>
      <c r="R84" s="47" t="s">
        <v>116</v>
      </c>
      <c r="T84" s="42">
        <f t="shared" si="16"/>
        <v>-12</v>
      </c>
      <c r="U84" s="42">
        <f t="shared" si="17"/>
        <v>5</v>
      </c>
      <c r="V84" s="42">
        <f t="shared" si="18"/>
        <v>7</v>
      </c>
    </row>
    <row r="85" spans="1:22" s="28" customFormat="1" ht="73.5" customHeight="1" x14ac:dyDescent="0.2">
      <c r="A85" s="30">
        <v>74</v>
      </c>
      <c r="B85" s="31" t="s">
        <v>134</v>
      </c>
      <c r="C85" s="32" t="s">
        <v>25</v>
      </c>
      <c r="D85" s="33">
        <v>100</v>
      </c>
      <c r="E85" s="35">
        <v>139</v>
      </c>
      <c r="F85" s="32" t="s">
        <v>27</v>
      </c>
      <c r="G85" s="37">
        <f>159.86/1.2</f>
        <v>133.2166666666667</v>
      </c>
      <c r="H85" s="38">
        <f t="shared" si="10"/>
        <v>13321.66666666667</v>
      </c>
      <c r="I85" s="38" t="s">
        <v>28</v>
      </c>
      <c r="J85" s="37">
        <v>140.09</v>
      </c>
      <c r="K85" s="38">
        <f t="shared" si="11"/>
        <v>14009</v>
      </c>
      <c r="L85" s="32" t="s">
        <v>29</v>
      </c>
      <c r="M85" s="37">
        <v>145.05000000000001</v>
      </c>
      <c r="N85" s="38">
        <f t="shared" si="12"/>
        <v>14505.000000000002</v>
      </c>
      <c r="O85" s="39">
        <f t="shared" si="13"/>
        <v>139.45222222222225</v>
      </c>
      <c r="P85" s="40">
        <f t="shared" si="14"/>
        <v>-0.32428470125174158</v>
      </c>
      <c r="Q85" s="39">
        <f t="shared" si="15"/>
        <v>13900</v>
      </c>
      <c r="R85" s="48"/>
      <c r="T85" s="42">
        <f t="shared" si="16"/>
        <v>-4</v>
      </c>
      <c r="U85" s="42">
        <f t="shared" si="17"/>
        <v>0</v>
      </c>
      <c r="V85" s="42">
        <f t="shared" si="18"/>
        <v>4</v>
      </c>
    </row>
    <row r="86" spans="1:22" s="28" customFormat="1" ht="73.5" customHeight="1" x14ac:dyDescent="0.2">
      <c r="A86" s="30">
        <v>75</v>
      </c>
      <c r="B86" s="31" t="s">
        <v>135</v>
      </c>
      <c r="C86" s="32" t="s">
        <v>25</v>
      </c>
      <c r="D86" s="33">
        <v>10</v>
      </c>
      <c r="E86" s="35">
        <v>2928.4</v>
      </c>
      <c r="F86" s="32" t="s">
        <v>27</v>
      </c>
      <c r="G86" s="37">
        <f>3373.67/1.2</f>
        <v>2811.3916666666669</v>
      </c>
      <c r="H86" s="38">
        <f t="shared" si="10"/>
        <v>28113.916666666668</v>
      </c>
      <c r="I86" s="38" t="s">
        <v>28</v>
      </c>
      <c r="J86" s="37">
        <f>3608.66/1.2</f>
        <v>3007.2166666666667</v>
      </c>
      <c r="K86" s="38">
        <f t="shared" si="11"/>
        <v>30072.166666666668</v>
      </c>
      <c r="L86" s="32" t="s">
        <v>29</v>
      </c>
      <c r="M86" s="37">
        <v>2973.43</v>
      </c>
      <c r="N86" s="38">
        <f t="shared" si="12"/>
        <v>29734.3</v>
      </c>
      <c r="O86" s="39">
        <f t="shared" si="13"/>
        <v>2930.6794444444445</v>
      </c>
      <c r="P86" s="40">
        <f t="shared" si="14"/>
        <v>-7.777870243589291E-2</v>
      </c>
      <c r="Q86" s="39">
        <f t="shared" si="15"/>
        <v>29284</v>
      </c>
      <c r="R86" s="48"/>
      <c r="T86" s="42">
        <f t="shared" si="16"/>
        <v>-4</v>
      </c>
      <c r="U86" s="42">
        <f t="shared" si="17"/>
        <v>3</v>
      </c>
      <c r="V86" s="42">
        <f t="shared" si="18"/>
        <v>1</v>
      </c>
    </row>
    <row r="87" spans="1:22" s="28" customFormat="1" ht="73.5" customHeight="1" x14ac:dyDescent="0.2">
      <c r="A87" s="30">
        <v>76</v>
      </c>
      <c r="B87" s="31" t="s">
        <v>136</v>
      </c>
      <c r="C87" s="32" t="s">
        <v>25</v>
      </c>
      <c r="D87" s="33">
        <v>31</v>
      </c>
      <c r="E87" s="35">
        <v>10103.6</v>
      </c>
      <c r="F87" s="32" t="s">
        <v>27</v>
      </c>
      <c r="G87" s="37">
        <f>12295.88/1.2</f>
        <v>10246.566666666666</v>
      </c>
      <c r="H87" s="38">
        <f t="shared" si="10"/>
        <v>317643.56666666665</v>
      </c>
      <c r="I87" s="38" t="s">
        <v>28</v>
      </c>
      <c r="J87" s="37">
        <f>11961.83/1.2</f>
        <v>9968.1916666666675</v>
      </c>
      <c r="K87" s="38">
        <f t="shared" si="11"/>
        <v>309013.94166666671</v>
      </c>
      <c r="L87" s="32" t="s">
        <v>29</v>
      </c>
      <c r="M87" s="37">
        <v>10105.82</v>
      </c>
      <c r="N87" s="38">
        <f t="shared" si="12"/>
        <v>313280.42</v>
      </c>
      <c r="O87" s="39">
        <f t="shared" si="13"/>
        <v>10106.859444444444</v>
      </c>
      <c r="P87" s="40">
        <f t="shared" si="14"/>
        <v>-3.2249824610318001E-2</v>
      </c>
      <c r="Q87" s="39">
        <f t="shared" si="15"/>
        <v>313211.60000000003</v>
      </c>
      <c r="R87" s="48"/>
      <c r="T87" s="42">
        <f t="shared" si="16"/>
        <v>1</v>
      </c>
      <c r="U87" s="42">
        <f t="shared" si="17"/>
        <v>-1</v>
      </c>
      <c r="V87" s="42">
        <f t="shared" si="18"/>
        <v>0</v>
      </c>
    </row>
    <row r="88" spans="1:22" s="28" customFormat="1" ht="73.5" customHeight="1" x14ac:dyDescent="0.2">
      <c r="A88" s="30">
        <v>77</v>
      </c>
      <c r="B88" s="31" t="s">
        <v>137</v>
      </c>
      <c r="C88" s="32" t="s">
        <v>25</v>
      </c>
      <c r="D88" s="33">
        <v>48</v>
      </c>
      <c r="E88" s="35">
        <v>1361.15</v>
      </c>
      <c r="F88" s="32" t="s">
        <v>27</v>
      </c>
      <c r="G88" s="37">
        <f>1705.33/1.2</f>
        <v>1421.1083333333333</v>
      </c>
      <c r="H88" s="38">
        <f t="shared" si="10"/>
        <v>68213.2</v>
      </c>
      <c r="I88" s="38" t="s">
        <v>28</v>
      </c>
      <c r="J88" s="37">
        <f>1553.32/1.2</f>
        <v>1294.4333333333334</v>
      </c>
      <c r="K88" s="38">
        <f t="shared" si="11"/>
        <v>62132.800000000003</v>
      </c>
      <c r="L88" s="32" t="s">
        <v>29</v>
      </c>
      <c r="M88" s="37">
        <v>1382.77</v>
      </c>
      <c r="N88" s="38">
        <f t="shared" si="12"/>
        <v>66372.959999999992</v>
      </c>
      <c r="O88" s="39">
        <f t="shared" si="13"/>
        <v>1366.1038888888888</v>
      </c>
      <c r="P88" s="40">
        <f t="shared" si="14"/>
        <v>-0.36262900129199238</v>
      </c>
      <c r="Q88" s="39">
        <f t="shared" si="15"/>
        <v>65335.200000000004</v>
      </c>
      <c r="R88" s="48"/>
      <c r="T88" s="42">
        <f t="shared" si="16"/>
        <v>4</v>
      </c>
      <c r="U88" s="42">
        <f t="shared" si="17"/>
        <v>-5</v>
      </c>
      <c r="V88" s="42">
        <f t="shared" si="18"/>
        <v>1</v>
      </c>
    </row>
    <row r="89" spans="1:22" s="28" customFormat="1" ht="73.5" customHeight="1" x14ac:dyDescent="0.2">
      <c r="A89" s="30">
        <v>78</v>
      </c>
      <c r="B89" s="31" t="s">
        <v>138</v>
      </c>
      <c r="C89" s="32" t="s">
        <v>25</v>
      </c>
      <c r="D89" s="33">
        <v>75</v>
      </c>
      <c r="E89" s="35">
        <v>163.1</v>
      </c>
      <c r="F89" s="32" t="s">
        <v>27</v>
      </c>
      <c r="G89" s="37">
        <f>194.31/1.2</f>
        <v>161.92500000000001</v>
      </c>
      <c r="H89" s="38">
        <f t="shared" si="10"/>
        <v>12144.375</v>
      </c>
      <c r="I89" s="38" t="s">
        <v>28</v>
      </c>
      <c r="J89" s="37">
        <v>159.03</v>
      </c>
      <c r="K89" s="38">
        <f t="shared" si="11"/>
        <v>11927.25</v>
      </c>
      <c r="L89" s="32" t="s">
        <v>29</v>
      </c>
      <c r="M89" s="37">
        <v>168.77</v>
      </c>
      <c r="N89" s="38">
        <f t="shared" si="12"/>
        <v>12657.75</v>
      </c>
      <c r="O89" s="39">
        <f t="shared" si="13"/>
        <v>163.24166666666667</v>
      </c>
      <c r="P89" s="40">
        <f t="shared" si="14"/>
        <v>-8.678339884629338E-2</v>
      </c>
      <c r="Q89" s="39">
        <f t="shared" si="15"/>
        <v>12232.5</v>
      </c>
      <c r="R89" s="48"/>
      <c r="T89" s="42">
        <f t="shared" si="16"/>
        <v>-1</v>
      </c>
      <c r="U89" s="42">
        <f t="shared" si="17"/>
        <v>-3</v>
      </c>
      <c r="V89" s="42">
        <f t="shared" si="18"/>
        <v>3</v>
      </c>
    </row>
    <row r="90" spans="1:22" s="28" customFormat="1" ht="73.5" customHeight="1" x14ac:dyDescent="0.2">
      <c r="A90" s="30">
        <v>79</v>
      </c>
      <c r="B90" s="31" t="s">
        <v>139</v>
      </c>
      <c r="C90" s="32" t="s">
        <v>25</v>
      </c>
      <c r="D90" s="33">
        <v>75</v>
      </c>
      <c r="E90" s="35">
        <v>134.19999999999999</v>
      </c>
      <c r="F90" s="32" t="s">
        <v>27</v>
      </c>
      <c r="G90" s="37">
        <f>157.25/1.2</f>
        <v>131.04166666666669</v>
      </c>
      <c r="H90" s="38">
        <f t="shared" si="10"/>
        <v>9828.1250000000018</v>
      </c>
      <c r="I90" s="38" t="s">
        <v>28</v>
      </c>
      <c r="J90" s="37">
        <v>138.74</v>
      </c>
      <c r="K90" s="38">
        <f t="shared" si="11"/>
        <v>10405.5</v>
      </c>
      <c r="L90" s="32" t="s">
        <v>29</v>
      </c>
      <c r="M90" s="37">
        <v>135.51</v>
      </c>
      <c r="N90" s="38">
        <f t="shared" si="12"/>
        <v>10163.25</v>
      </c>
      <c r="O90" s="39">
        <f t="shared" si="13"/>
        <v>135.09722222222223</v>
      </c>
      <c r="P90" s="40">
        <f t="shared" si="14"/>
        <v>-0.66413077002161458</v>
      </c>
      <c r="Q90" s="39">
        <f t="shared" si="15"/>
        <v>10065</v>
      </c>
      <c r="R90" s="41"/>
      <c r="T90" s="42">
        <f t="shared" si="16"/>
        <v>-3</v>
      </c>
      <c r="U90" s="42">
        <f t="shared" si="17"/>
        <v>3</v>
      </c>
      <c r="V90" s="42">
        <f t="shared" si="18"/>
        <v>0</v>
      </c>
    </row>
    <row r="91" spans="1:22" s="28" customFormat="1" ht="73.5" customHeight="1" x14ac:dyDescent="0.2">
      <c r="A91" s="30">
        <v>80</v>
      </c>
      <c r="B91" s="31" t="s">
        <v>140</v>
      </c>
      <c r="C91" s="32" t="s">
        <v>25</v>
      </c>
      <c r="D91" s="33" t="s">
        <v>141</v>
      </c>
      <c r="E91" s="35">
        <v>1361.34</v>
      </c>
      <c r="F91" s="32" t="s">
        <v>27</v>
      </c>
      <c r="G91" s="37">
        <f>1705.33/1.2</f>
        <v>1421.1083333333333</v>
      </c>
      <c r="H91" s="38">
        <f t="shared" si="10"/>
        <v>29843.275000000001</v>
      </c>
      <c r="I91" s="38" t="s">
        <v>28</v>
      </c>
      <c r="J91" s="37">
        <f>1553.32/1.2</f>
        <v>1294.4333333333334</v>
      </c>
      <c r="K91" s="38">
        <f t="shared" si="11"/>
        <v>27183.100000000002</v>
      </c>
      <c r="L91" s="32" t="s">
        <v>29</v>
      </c>
      <c r="M91" s="37">
        <v>1382.77</v>
      </c>
      <c r="N91" s="38">
        <f t="shared" si="12"/>
        <v>29038.17</v>
      </c>
      <c r="O91" s="39">
        <f t="shared" si="13"/>
        <v>1366.1038888888888</v>
      </c>
      <c r="P91" s="40">
        <f t="shared" si="14"/>
        <v>-0.3487208350430393</v>
      </c>
      <c r="Q91" s="39">
        <f t="shared" si="15"/>
        <v>28588.14</v>
      </c>
      <c r="R91" s="41"/>
      <c r="T91" s="42">
        <f t="shared" si="16"/>
        <v>4</v>
      </c>
      <c r="U91" s="42">
        <f t="shared" si="17"/>
        <v>-5</v>
      </c>
      <c r="V91" s="42">
        <f t="shared" si="18"/>
        <v>1</v>
      </c>
    </row>
    <row r="92" spans="1:22" s="28" customFormat="1" ht="73.5" customHeight="1" x14ac:dyDescent="0.2">
      <c r="A92" s="30">
        <v>81</v>
      </c>
      <c r="B92" s="31" t="s">
        <v>143</v>
      </c>
      <c r="C92" s="32" t="s">
        <v>25</v>
      </c>
      <c r="D92" s="33">
        <v>274</v>
      </c>
      <c r="E92" s="35">
        <v>1765.2</v>
      </c>
      <c r="F92" s="32" t="s">
        <v>27</v>
      </c>
      <c r="G92" s="37">
        <f>2103.82/1.2</f>
        <v>1753.1833333333336</v>
      </c>
      <c r="H92" s="38">
        <f t="shared" si="10"/>
        <v>480372.2333333334</v>
      </c>
      <c r="I92" s="38" t="s">
        <v>28</v>
      </c>
      <c r="J92" s="37">
        <v>1799.62</v>
      </c>
      <c r="K92" s="38">
        <f t="shared" si="11"/>
        <v>493095.87999999995</v>
      </c>
      <c r="L92" s="32" t="s">
        <v>29</v>
      </c>
      <c r="M92" s="37">
        <v>1751.94</v>
      </c>
      <c r="N92" s="38">
        <f t="shared" si="12"/>
        <v>480031.56</v>
      </c>
      <c r="O92" s="39">
        <f t="shared" si="13"/>
        <v>1768.2477777777779</v>
      </c>
      <c r="P92" s="40">
        <f t="shared" si="14"/>
        <v>-0.17236146517927864</v>
      </c>
      <c r="Q92" s="39">
        <f t="shared" si="15"/>
        <v>483664.8</v>
      </c>
      <c r="R92" s="41"/>
      <c r="T92" s="42">
        <f t="shared" si="16"/>
        <v>-1</v>
      </c>
      <c r="U92" s="42">
        <f t="shared" si="17"/>
        <v>2</v>
      </c>
      <c r="V92" s="42">
        <f t="shared" si="18"/>
        <v>-1</v>
      </c>
    </row>
    <row r="93" spans="1:22" s="28" customFormat="1" ht="73.5" customHeight="1" x14ac:dyDescent="0.2">
      <c r="A93" s="30">
        <v>82</v>
      </c>
      <c r="B93" s="31" t="s">
        <v>144</v>
      </c>
      <c r="C93" s="32" t="s">
        <v>25</v>
      </c>
      <c r="D93" s="33">
        <v>50</v>
      </c>
      <c r="E93" s="35">
        <v>832</v>
      </c>
      <c r="F93" s="32" t="s">
        <v>27</v>
      </c>
      <c r="G93" s="37">
        <f>983.07/1.2</f>
        <v>819.22500000000002</v>
      </c>
      <c r="H93" s="38">
        <f t="shared" si="10"/>
        <v>40961.25</v>
      </c>
      <c r="I93" s="38" t="s">
        <v>28</v>
      </c>
      <c r="J93" s="37">
        <v>825.76</v>
      </c>
      <c r="K93" s="38">
        <f t="shared" si="11"/>
        <v>41288</v>
      </c>
      <c r="L93" s="32" t="s">
        <v>29</v>
      </c>
      <c r="M93" s="37">
        <v>857.11</v>
      </c>
      <c r="N93" s="38">
        <f t="shared" si="12"/>
        <v>42855.5</v>
      </c>
      <c r="O93" s="39">
        <f t="shared" si="13"/>
        <v>834.03166666666675</v>
      </c>
      <c r="P93" s="40">
        <f t="shared" si="14"/>
        <v>-0.243595866663739</v>
      </c>
      <c r="Q93" s="39">
        <f t="shared" si="15"/>
        <v>41600</v>
      </c>
      <c r="R93" s="41"/>
      <c r="T93" s="42">
        <f t="shared" si="16"/>
        <v>-2</v>
      </c>
      <c r="U93" s="42">
        <f t="shared" si="17"/>
        <v>-1</v>
      </c>
      <c r="V93" s="42">
        <f t="shared" si="18"/>
        <v>3</v>
      </c>
    </row>
    <row r="94" spans="1:22" s="28" customFormat="1" ht="73.5" customHeight="1" x14ac:dyDescent="0.2">
      <c r="A94" s="30">
        <v>83</v>
      </c>
      <c r="B94" s="31" t="s">
        <v>145</v>
      </c>
      <c r="C94" s="32" t="s">
        <v>25</v>
      </c>
      <c r="D94" s="33">
        <v>459</v>
      </c>
      <c r="E94" s="35">
        <v>1660.5</v>
      </c>
      <c r="F94" s="32" t="s">
        <v>27</v>
      </c>
      <c r="G94" s="37">
        <f>1972.84/1.2</f>
        <v>1644.0333333333333</v>
      </c>
      <c r="H94" s="38">
        <f t="shared" si="10"/>
        <v>754611.29999999993</v>
      </c>
      <c r="I94" s="38" t="s">
        <v>28</v>
      </c>
      <c r="J94" s="37">
        <v>1689.93</v>
      </c>
      <c r="K94" s="38">
        <f t="shared" si="11"/>
        <v>775677.87</v>
      </c>
      <c r="L94" s="32" t="s">
        <v>29</v>
      </c>
      <c r="M94" s="37">
        <v>1650.69</v>
      </c>
      <c r="N94" s="38">
        <f t="shared" si="12"/>
        <v>757666.71000000008</v>
      </c>
      <c r="O94" s="39">
        <f t="shared" si="13"/>
        <v>1661.5511111111111</v>
      </c>
      <c r="P94" s="40">
        <f t="shared" si="14"/>
        <v>-6.3260835257011649E-2</v>
      </c>
      <c r="Q94" s="39">
        <f t="shared" si="15"/>
        <v>762169.5</v>
      </c>
      <c r="R94" s="41"/>
      <c r="T94" s="42">
        <f t="shared" si="16"/>
        <v>-1</v>
      </c>
      <c r="U94" s="42">
        <f t="shared" si="17"/>
        <v>2</v>
      </c>
      <c r="V94" s="42">
        <f t="shared" si="18"/>
        <v>-1</v>
      </c>
    </row>
    <row r="95" spans="1:22" s="28" customFormat="1" ht="73.5" customHeight="1" x14ac:dyDescent="0.2">
      <c r="A95" s="30">
        <v>84</v>
      </c>
      <c r="B95" s="31" t="s">
        <v>146</v>
      </c>
      <c r="C95" s="32" t="s">
        <v>147</v>
      </c>
      <c r="D95" s="33">
        <v>50</v>
      </c>
      <c r="E95" s="35">
        <v>130.9</v>
      </c>
      <c r="F95" s="32" t="s">
        <v>90</v>
      </c>
      <c r="G95" s="37">
        <f>148.16/1.2</f>
        <v>123.46666666666667</v>
      </c>
      <c r="H95" s="38">
        <f>G95*D95</f>
        <v>6173.333333333333</v>
      </c>
      <c r="I95" s="32" t="s">
        <v>148</v>
      </c>
      <c r="J95" s="37">
        <f>151.19/1.2</f>
        <v>125.99166666666667</v>
      </c>
      <c r="K95" s="38">
        <f t="shared" si="11"/>
        <v>6299.5833333333339</v>
      </c>
      <c r="L95" s="32" t="s">
        <v>149</v>
      </c>
      <c r="M95" s="37">
        <f>173.44/1.2</f>
        <v>144.53333333333333</v>
      </c>
      <c r="N95" s="38">
        <f t="shared" si="12"/>
        <v>7226.666666666667</v>
      </c>
      <c r="O95" s="39">
        <f t="shared" si="13"/>
        <v>131.33055555555555</v>
      </c>
      <c r="P95" s="40">
        <f t="shared" si="14"/>
        <v>-0.32784111339071842</v>
      </c>
      <c r="Q95" s="39">
        <f t="shared" si="15"/>
        <v>6545</v>
      </c>
      <c r="R95" s="41"/>
      <c r="T95" s="42">
        <f t="shared" si="16"/>
        <v>-6</v>
      </c>
      <c r="U95" s="42">
        <f t="shared" si="17"/>
        <v>-4</v>
      </c>
      <c r="V95" s="42">
        <f t="shared" si="18"/>
        <v>10</v>
      </c>
    </row>
    <row r="96" spans="1:22" s="28" customFormat="1" ht="73.5" customHeight="1" x14ac:dyDescent="0.2">
      <c r="A96" s="30">
        <v>85</v>
      </c>
      <c r="B96" s="31" t="s">
        <v>150</v>
      </c>
      <c r="C96" s="32" t="s">
        <v>147</v>
      </c>
      <c r="D96" s="33">
        <v>20</v>
      </c>
      <c r="E96" s="35">
        <v>256.7</v>
      </c>
      <c r="F96" s="32" t="s">
        <v>90</v>
      </c>
      <c r="G96" s="37">
        <f>327.19/1.2</f>
        <v>272.65833333333336</v>
      </c>
      <c r="H96" s="38">
        <f>G96*D96</f>
        <v>5453.166666666667</v>
      </c>
      <c r="I96" s="32" t="s">
        <v>148</v>
      </c>
      <c r="J96" s="37">
        <f>297.67/1.2</f>
        <v>248.05833333333337</v>
      </c>
      <c r="K96" s="38">
        <f t="shared" si="11"/>
        <v>4961.166666666667</v>
      </c>
      <c r="L96" s="32" t="s">
        <v>149</v>
      </c>
      <c r="M96" s="37">
        <f>305.74/1.2</f>
        <v>254.78333333333336</v>
      </c>
      <c r="N96" s="38">
        <f t="shared" si="12"/>
        <v>5095.666666666667</v>
      </c>
      <c r="O96" s="39">
        <f t="shared" si="13"/>
        <v>258.5</v>
      </c>
      <c r="P96" s="40">
        <f t="shared" si="14"/>
        <v>-0.69632495164410102</v>
      </c>
      <c r="Q96" s="39">
        <f t="shared" si="15"/>
        <v>5134</v>
      </c>
      <c r="R96" s="41"/>
      <c r="T96" s="42">
        <f t="shared" si="16"/>
        <v>5</v>
      </c>
      <c r="U96" s="42">
        <f t="shared" si="17"/>
        <v>-4</v>
      </c>
      <c r="V96" s="42">
        <f t="shared" si="18"/>
        <v>-1</v>
      </c>
    </row>
    <row r="97" spans="1:22" s="28" customFormat="1" ht="73.5" customHeight="1" x14ac:dyDescent="0.2">
      <c r="A97" s="30">
        <v>86</v>
      </c>
      <c r="B97" s="31" t="s">
        <v>151</v>
      </c>
      <c r="C97" s="32" t="s">
        <v>147</v>
      </c>
      <c r="D97" s="33">
        <v>50</v>
      </c>
      <c r="E97" s="35">
        <v>3181.4</v>
      </c>
      <c r="F97" s="32" t="s">
        <v>90</v>
      </c>
      <c r="G97" s="37">
        <f>3780.88/1.2</f>
        <v>3150.7333333333336</v>
      </c>
      <c r="H97" s="38">
        <f>G97*D97</f>
        <v>157536.66666666669</v>
      </c>
      <c r="I97" s="32" t="s">
        <v>148</v>
      </c>
      <c r="J97" s="37">
        <f>3719.2/1.2</f>
        <v>3099.3333333333335</v>
      </c>
      <c r="K97" s="38">
        <f t="shared" si="11"/>
        <v>154966.66666666669</v>
      </c>
      <c r="L97" s="32" t="s">
        <v>149</v>
      </c>
      <c r="M97" s="37">
        <f>3960.29/1.2</f>
        <v>3300.2416666666668</v>
      </c>
      <c r="N97" s="38">
        <f t="shared" si="12"/>
        <v>165012.08333333334</v>
      </c>
      <c r="O97" s="39">
        <f t="shared" si="13"/>
        <v>3183.4361111111116</v>
      </c>
      <c r="P97" s="40">
        <f t="shared" si="14"/>
        <v>-6.3959540573307549E-2</v>
      </c>
      <c r="Q97" s="39">
        <f t="shared" si="15"/>
        <v>159070</v>
      </c>
      <c r="R97" s="41"/>
      <c r="T97" s="42">
        <f t="shared" si="16"/>
        <v>-1</v>
      </c>
      <c r="U97" s="42">
        <f t="shared" si="17"/>
        <v>-3</v>
      </c>
      <c r="V97" s="42">
        <f t="shared" si="18"/>
        <v>4</v>
      </c>
    </row>
    <row r="98" spans="1:22" s="28" customFormat="1" ht="73.5" customHeight="1" x14ac:dyDescent="0.2">
      <c r="A98" s="30">
        <v>87</v>
      </c>
      <c r="B98" s="31" t="s">
        <v>152</v>
      </c>
      <c r="C98" s="32" t="s">
        <v>147</v>
      </c>
      <c r="D98" s="33">
        <v>20</v>
      </c>
      <c r="E98" s="35">
        <v>348.66</v>
      </c>
      <c r="F98" s="32" t="s">
        <v>90</v>
      </c>
      <c r="G98" s="37">
        <f>424.93/1.2</f>
        <v>354.10833333333335</v>
      </c>
      <c r="H98" s="38">
        <f>G98*D98</f>
        <v>7082.166666666667</v>
      </c>
      <c r="I98" s="32" t="s">
        <v>148</v>
      </c>
      <c r="J98" s="37">
        <f>387.54/1.2</f>
        <v>322.95000000000005</v>
      </c>
      <c r="K98" s="38">
        <f t="shared" si="11"/>
        <v>6459.0000000000009</v>
      </c>
      <c r="L98" s="32" t="s">
        <v>149</v>
      </c>
      <c r="M98" s="37">
        <f>450.43/1.2</f>
        <v>375.35833333333335</v>
      </c>
      <c r="N98" s="38">
        <f t="shared" si="12"/>
        <v>7507.166666666667</v>
      </c>
      <c r="O98" s="39">
        <f t="shared" si="13"/>
        <v>350.8055555555556</v>
      </c>
      <c r="P98" s="40">
        <f t="shared" si="14"/>
        <v>-0.61160820334153243</v>
      </c>
      <c r="Q98" s="39">
        <f t="shared" si="15"/>
        <v>6973.2000000000007</v>
      </c>
      <c r="R98" s="41"/>
      <c r="T98" s="42">
        <f t="shared" si="16"/>
        <v>1</v>
      </c>
      <c r="U98" s="42">
        <f t="shared" si="17"/>
        <v>-8</v>
      </c>
      <c r="V98" s="42">
        <f t="shared" si="18"/>
        <v>7</v>
      </c>
    </row>
    <row r="99" spans="1:22" s="28" customFormat="1" ht="92.25" customHeight="1" x14ac:dyDescent="0.2">
      <c r="A99" s="30">
        <v>88</v>
      </c>
      <c r="B99" s="31" t="s">
        <v>153</v>
      </c>
      <c r="C99" s="32" t="s">
        <v>154</v>
      </c>
      <c r="D99" s="33">
        <v>0.5</v>
      </c>
      <c r="E99" s="35">
        <f>253.56*1000</f>
        <v>253560</v>
      </c>
      <c r="F99" s="32" t="s">
        <v>90</v>
      </c>
      <c r="G99" s="37">
        <f>327.58/1.2*1000</f>
        <v>272983.33333333337</v>
      </c>
      <c r="H99" s="38">
        <f>G99*D99</f>
        <v>136491.66666666669</v>
      </c>
      <c r="I99" s="32" t="s">
        <v>148</v>
      </c>
      <c r="J99" s="37">
        <f>286.76/1.2*1000</f>
        <v>238966.66666666666</v>
      </c>
      <c r="K99" s="38">
        <f t="shared" si="11"/>
        <v>119483.33333333333</v>
      </c>
      <c r="L99" s="32" t="s">
        <v>149</v>
      </c>
      <c r="M99" s="37">
        <f>300.53/1.2*1000</f>
        <v>250441.66666666666</v>
      </c>
      <c r="N99" s="38">
        <f t="shared" si="12"/>
        <v>125220.83333333333</v>
      </c>
      <c r="O99" s="39">
        <f t="shared" si="13"/>
        <v>254130.55555555553</v>
      </c>
      <c r="P99" s="40">
        <f t="shared" si="14"/>
        <v>-0.22451277230643996</v>
      </c>
      <c r="Q99" s="39">
        <f t="shared" si="15"/>
        <v>126780</v>
      </c>
      <c r="R99" s="41"/>
      <c r="T99" s="42">
        <f t="shared" si="16"/>
        <v>7</v>
      </c>
      <c r="U99" s="42">
        <f t="shared" si="17"/>
        <v>-6</v>
      </c>
      <c r="V99" s="42">
        <f t="shared" si="18"/>
        <v>-1</v>
      </c>
    </row>
    <row r="100" spans="1:22" s="28" customFormat="1" ht="73.5" customHeight="1" x14ac:dyDescent="0.2">
      <c r="A100" s="30">
        <v>89</v>
      </c>
      <c r="B100" s="31" t="s">
        <v>155</v>
      </c>
      <c r="C100" s="32" t="s">
        <v>25</v>
      </c>
      <c r="D100" s="33">
        <v>4</v>
      </c>
      <c r="E100" s="35">
        <v>122.9</v>
      </c>
      <c r="F100" s="32" t="s">
        <v>27</v>
      </c>
      <c r="G100" s="37">
        <f>142.75/1.2</f>
        <v>118.95833333333334</v>
      </c>
      <c r="H100" s="38">
        <f t="shared" ref="H100:H131" si="19">D100*G100</f>
        <v>475.83333333333337</v>
      </c>
      <c r="I100" s="38" t="s">
        <v>28</v>
      </c>
      <c r="J100" s="37">
        <v>122.36</v>
      </c>
      <c r="K100" s="38">
        <f t="shared" si="11"/>
        <v>489.44</v>
      </c>
      <c r="L100" s="32" t="s">
        <v>29</v>
      </c>
      <c r="M100" s="37">
        <v>129.47</v>
      </c>
      <c r="N100" s="38">
        <f t="shared" si="12"/>
        <v>517.88</v>
      </c>
      <c r="O100" s="39">
        <f t="shared" si="13"/>
        <v>123.5961111111111</v>
      </c>
      <c r="P100" s="40">
        <f t="shared" si="14"/>
        <v>-0.56321441253544435</v>
      </c>
      <c r="Q100" s="39">
        <f t="shared" si="15"/>
        <v>491.6</v>
      </c>
      <c r="R100" s="41"/>
      <c r="T100" s="42">
        <f t="shared" si="16"/>
        <v>-4</v>
      </c>
      <c r="U100" s="42">
        <f t="shared" si="17"/>
        <v>-1</v>
      </c>
      <c r="V100" s="42">
        <f t="shared" si="18"/>
        <v>5</v>
      </c>
    </row>
    <row r="101" spans="1:22" s="28" customFormat="1" ht="73.5" customHeight="1" x14ac:dyDescent="0.2">
      <c r="A101" s="30">
        <v>90</v>
      </c>
      <c r="B101" s="31" t="s">
        <v>156</v>
      </c>
      <c r="C101" s="32" t="s">
        <v>25</v>
      </c>
      <c r="D101" s="33" t="s">
        <v>157</v>
      </c>
      <c r="E101" s="35">
        <v>296587.13</v>
      </c>
      <c r="F101" s="32" t="s">
        <v>56</v>
      </c>
      <c r="G101" s="37">
        <v>291473.5</v>
      </c>
      <c r="H101" s="38">
        <f t="shared" si="19"/>
        <v>1457367.5</v>
      </c>
      <c r="I101" s="32" t="s">
        <v>57</v>
      </c>
      <c r="J101" s="37">
        <v>301685</v>
      </c>
      <c r="K101" s="38">
        <f t="shared" si="11"/>
        <v>1508425</v>
      </c>
      <c r="L101" s="32" t="s">
        <v>119</v>
      </c>
      <c r="M101" s="37">
        <v>298069</v>
      </c>
      <c r="N101" s="38">
        <f t="shared" si="12"/>
        <v>1490345</v>
      </c>
      <c r="O101" s="39">
        <f t="shared" si="13"/>
        <v>297075.83333333331</v>
      </c>
      <c r="P101" s="40">
        <f t="shared" si="14"/>
        <v>-0.16450457374800465</v>
      </c>
      <c r="Q101" s="39">
        <f t="shared" si="15"/>
        <v>1482935.65</v>
      </c>
      <c r="R101" s="41"/>
      <c r="T101" s="42">
        <f t="shared" si="16"/>
        <v>-2</v>
      </c>
      <c r="U101" s="42">
        <f t="shared" si="17"/>
        <v>2</v>
      </c>
      <c r="V101" s="42">
        <f t="shared" si="18"/>
        <v>0</v>
      </c>
    </row>
    <row r="102" spans="1:22" s="28" customFormat="1" ht="73.5" customHeight="1" x14ac:dyDescent="0.2">
      <c r="A102" s="30">
        <v>91</v>
      </c>
      <c r="B102" s="31" t="s">
        <v>158</v>
      </c>
      <c r="C102" s="32" t="s">
        <v>25</v>
      </c>
      <c r="D102" s="33">
        <v>39</v>
      </c>
      <c r="E102" s="35">
        <v>104.2</v>
      </c>
      <c r="F102" s="32" t="s">
        <v>27</v>
      </c>
      <c r="G102" s="37">
        <f>120.19/1.2</f>
        <v>100.15833333333333</v>
      </c>
      <c r="H102" s="38">
        <f t="shared" si="19"/>
        <v>3906.1749999999997</v>
      </c>
      <c r="I102" s="38" t="s">
        <v>28</v>
      </c>
      <c r="J102" s="37">
        <v>97.82</v>
      </c>
      <c r="K102" s="38">
        <f t="shared" si="11"/>
        <v>3814.9799999999996</v>
      </c>
      <c r="L102" s="32" t="s">
        <v>29</v>
      </c>
      <c r="M102" s="37">
        <v>115.39</v>
      </c>
      <c r="N102" s="38">
        <f t="shared" si="12"/>
        <v>4500.21</v>
      </c>
      <c r="O102" s="39">
        <f t="shared" si="13"/>
        <v>104.45611111111111</v>
      </c>
      <c r="P102" s="40">
        <f t="shared" si="14"/>
        <v>-0.24518537822902431</v>
      </c>
      <c r="Q102" s="39">
        <f t="shared" si="15"/>
        <v>4063.8</v>
      </c>
      <c r="R102" s="41"/>
      <c r="T102" s="42">
        <f t="shared" si="16"/>
        <v>-4</v>
      </c>
      <c r="U102" s="42">
        <f t="shared" si="17"/>
        <v>-6</v>
      </c>
      <c r="V102" s="42">
        <f t="shared" si="18"/>
        <v>10</v>
      </c>
    </row>
    <row r="103" spans="1:22" s="28" customFormat="1" ht="73.5" customHeight="1" x14ac:dyDescent="0.2">
      <c r="A103" s="30">
        <v>92</v>
      </c>
      <c r="B103" s="31" t="s">
        <v>159</v>
      </c>
      <c r="C103" s="32" t="s">
        <v>25</v>
      </c>
      <c r="D103" s="33">
        <v>65</v>
      </c>
      <c r="E103" s="35">
        <v>125.1</v>
      </c>
      <c r="F103" s="32" t="s">
        <v>27</v>
      </c>
      <c r="G103" s="37">
        <f>143.32/1.2</f>
        <v>119.43333333333334</v>
      </c>
      <c r="H103" s="38">
        <f t="shared" si="19"/>
        <v>7763.166666666667</v>
      </c>
      <c r="I103" s="38" t="s">
        <v>28</v>
      </c>
      <c r="J103" s="37">
        <v>130.07</v>
      </c>
      <c r="K103" s="38">
        <f t="shared" si="11"/>
        <v>8454.5499999999993</v>
      </c>
      <c r="L103" s="32" t="s">
        <v>29</v>
      </c>
      <c r="M103" s="37">
        <v>127.08</v>
      </c>
      <c r="N103" s="38">
        <f t="shared" si="12"/>
        <v>8260.2000000000007</v>
      </c>
      <c r="O103" s="39">
        <f t="shared" si="13"/>
        <v>125.52777777777777</v>
      </c>
      <c r="P103" s="40">
        <f t="shared" si="14"/>
        <v>-0.34078335915025093</v>
      </c>
      <c r="Q103" s="39">
        <f t="shared" si="15"/>
        <v>8131.5</v>
      </c>
      <c r="R103" s="41"/>
      <c r="T103" s="42">
        <f t="shared" si="16"/>
        <v>-5</v>
      </c>
      <c r="U103" s="42">
        <f t="shared" si="17"/>
        <v>4</v>
      </c>
      <c r="V103" s="42">
        <f t="shared" si="18"/>
        <v>1</v>
      </c>
    </row>
    <row r="104" spans="1:22" s="28" customFormat="1" ht="73.5" customHeight="1" x14ac:dyDescent="0.2">
      <c r="A104" s="30">
        <v>93</v>
      </c>
      <c r="B104" s="31" t="s">
        <v>160</v>
      </c>
      <c r="C104" s="32" t="s">
        <v>25</v>
      </c>
      <c r="D104" s="33">
        <v>8</v>
      </c>
      <c r="E104" s="35">
        <v>19.5</v>
      </c>
      <c r="F104" s="32" t="s">
        <v>27</v>
      </c>
      <c r="G104" s="37">
        <f>1097.79/50/1.2</f>
        <v>18.296500000000002</v>
      </c>
      <c r="H104" s="38">
        <f t="shared" si="19"/>
        <v>146.37200000000001</v>
      </c>
      <c r="I104" s="38" t="s">
        <v>28</v>
      </c>
      <c r="J104" s="37">
        <v>20.51</v>
      </c>
      <c r="K104" s="38">
        <f t="shared" si="11"/>
        <v>164.08</v>
      </c>
      <c r="L104" s="32" t="s">
        <v>29</v>
      </c>
      <c r="M104" s="37">
        <v>21.22</v>
      </c>
      <c r="N104" s="38">
        <f t="shared" si="12"/>
        <v>169.76</v>
      </c>
      <c r="O104" s="39">
        <f t="shared" si="13"/>
        <v>20.008833333333332</v>
      </c>
      <c r="P104" s="40">
        <f t="shared" si="14"/>
        <v>-2.5430434891256226</v>
      </c>
      <c r="Q104" s="39">
        <f t="shared" si="15"/>
        <v>156</v>
      </c>
      <c r="R104" s="41"/>
      <c r="T104" s="42">
        <f t="shared" si="16"/>
        <v>-9</v>
      </c>
      <c r="U104" s="42">
        <f t="shared" si="17"/>
        <v>3</v>
      </c>
      <c r="V104" s="42">
        <f t="shared" si="18"/>
        <v>6</v>
      </c>
    </row>
    <row r="105" spans="1:22" s="28" customFormat="1" ht="73.5" customHeight="1" x14ac:dyDescent="0.2">
      <c r="A105" s="30">
        <v>94</v>
      </c>
      <c r="B105" s="31" t="s">
        <v>161</v>
      </c>
      <c r="C105" s="32" t="s">
        <v>25</v>
      </c>
      <c r="D105" s="33">
        <v>1190</v>
      </c>
      <c r="E105" s="35">
        <v>57.5</v>
      </c>
      <c r="F105" s="32" t="s">
        <v>27</v>
      </c>
      <c r="G105" s="37">
        <f>3253.27/1.2/50</f>
        <v>54.221166666666669</v>
      </c>
      <c r="H105" s="38">
        <f t="shared" si="19"/>
        <v>64523.188333333339</v>
      </c>
      <c r="I105" s="38" t="s">
        <v>28</v>
      </c>
      <c r="J105" s="37">
        <v>59.4</v>
      </c>
      <c r="K105" s="38">
        <f t="shared" si="11"/>
        <v>70686</v>
      </c>
      <c r="L105" s="32" t="s">
        <v>29</v>
      </c>
      <c r="M105" s="37">
        <v>60.13</v>
      </c>
      <c r="N105" s="38">
        <f t="shared" si="12"/>
        <v>71554.7</v>
      </c>
      <c r="O105" s="39">
        <f t="shared" si="13"/>
        <v>57.917055555555557</v>
      </c>
      <c r="P105" s="40">
        <f t="shared" si="14"/>
        <v>-0.72009108811739964</v>
      </c>
      <c r="Q105" s="39">
        <f t="shared" si="15"/>
        <v>68425</v>
      </c>
      <c r="R105" s="41"/>
      <c r="T105" s="42">
        <f t="shared" si="16"/>
        <v>-6</v>
      </c>
      <c r="U105" s="42">
        <f t="shared" si="17"/>
        <v>3</v>
      </c>
      <c r="V105" s="42">
        <f t="shared" si="18"/>
        <v>4</v>
      </c>
    </row>
    <row r="106" spans="1:22" s="28" customFormat="1" ht="73.5" customHeight="1" x14ac:dyDescent="0.2">
      <c r="A106" s="30">
        <v>95</v>
      </c>
      <c r="B106" s="31" t="s">
        <v>162</v>
      </c>
      <c r="C106" s="32" t="s">
        <v>25</v>
      </c>
      <c r="D106" s="33">
        <v>3</v>
      </c>
      <c r="E106" s="35">
        <v>444.12</v>
      </c>
      <c r="F106" s="32" t="s">
        <v>27</v>
      </c>
      <c r="G106" s="37">
        <f>528.04/1.2</f>
        <v>440.0333333333333</v>
      </c>
      <c r="H106" s="38">
        <f t="shared" si="19"/>
        <v>1320.1</v>
      </c>
      <c r="I106" s="38" t="s">
        <v>28</v>
      </c>
      <c r="J106" s="37">
        <v>451.75</v>
      </c>
      <c r="K106" s="38">
        <f t="shared" si="11"/>
        <v>1355.25</v>
      </c>
      <c r="L106" s="32" t="s">
        <v>29</v>
      </c>
      <c r="M106" s="37">
        <v>442.56</v>
      </c>
      <c r="N106" s="38">
        <f t="shared" si="12"/>
        <v>1327.68</v>
      </c>
      <c r="O106" s="39">
        <f t="shared" si="13"/>
        <v>444.7811111111111</v>
      </c>
      <c r="P106" s="40">
        <f t="shared" si="14"/>
        <v>-0.14863740716407392</v>
      </c>
      <c r="Q106" s="39">
        <f t="shared" si="15"/>
        <v>1332.3600000000001</v>
      </c>
      <c r="R106" s="41"/>
      <c r="T106" s="42">
        <f t="shared" si="16"/>
        <v>-1</v>
      </c>
      <c r="U106" s="42">
        <f t="shared" si="17"/>
        <v>2</v>
      </c>
      <c r="V106" s="42">
        <f t="shared" si="18"/>
        <v>0</v>
      </c>
    </row>
    <row r="107" spans="1:22" s="28" customFormat="1" ht="73.5" customHeight="1" x14ac:dyDescent="0.2">
      <c r="A107" s="30">
        <v>96</v>
      </c>
      <c r="B107" s="31" t="s">
        <v>163</v>
      </c>
      <c r="C107" s="32" t="s">
        <v>25</v>
      </c>
      <c r="D107" s="33">
        <v>200</v>
      </c>
      <c r="E107" s="35">
        <v>2749.4</v>
      </c>
      <c r="F107" s="32" t="s">
        <v>56</v>
      </c>
      <c r="G107" s="37">
        <v>2816.22</v>
      </c>
      <c r="H107" s="38">
        <f t="shared" si="19"/>
        <v>563244</v>
      </c>
      <c r="I107" s="32" t="s">
        <v>57</v>
      </c>
      <c r="J107" s="37">
        <v>2697.03</v>
      </c>
      <c r="K107" s="38">
        <f t="shared" si="11"/>
        <v>539406</v>
      </c>
      <c r="L107" s="32" t="s">
        <v>119</v>
      </c>
      <c r="M107" s="37">
        <v>2755.11</v>
      </c>
      <c r="N107" s="38">
        <f t="shared" si="12"/>
        <v>551022</v>
      </c>
      <c r="O107" s="39">
        <f t="shared" si="13"/>
        <v>2756.1200000000003</v>
      </c>
      <c r="P107" s="40">
        <f t="shared" si="14"/>
        <v>-0.24382102375804493</v>
      </c>
      <c r="Q107" s="39">
        <f t="shared" si="15"/>
        <v>549880</v>
      </c>
      <c r="R107" s="41"/>
      <c r="T107" s="42">
        <f t="shared" si="16"/>
        <v>2</v>
      </c>
      <c r="U107" s="42">
        <f t="shared" si="17"/>
        <v>-2</v>
      </c>
      <c r="V107" s="42">
        <f t="shared" si="18"/>
        <v>0</v>
      </c>
    </row>
    <row r="108" spans="1:22" s="28" customFormat="1" ht="73.5" customHeight="1" x14ac:dyDescent="0.2">
      <c r="A108" s="30">
        <v>97</v>
      </c>
      <c r="B108" s="31" t="s">
        <v>164</v>
      </c>
      <c r="C108" s="32" t="s">
        <v>25</v>
      </c>
      <c r="D108" s="33">
        <v>5</v>
      </c>
      <c r="E108" s="35">
        <v>455.3</v>
      </c>
      <c r="F108" s="32" t="s">
        <v>27</v>
      </c>
      <c r="G108" s="37">
        <f>531.76/1.2</f>
        <v>443.13333333333333</v>
      </c>
      <c r="H108" s="38">
        <f t="shared" si="19"/>
        <v>2215.6666666666665</v>
      </c>
      <c r="I108" s="38" t="s">
        <v>28</v>
      </c>
      <c r="J108" s="37">
        <v>458.14</v>
      </c>
      <c r="K108" s="38">
        <f t="shared" si="11"/>
        <v>2290.6999999999998</v>
      </c>
      <c r="L108" s="32" t="s">
        <v>29</v>
      </c>
      <c r="M108" s="37">
        <v>465.87</v>
      </c>
      <c r="N108" s="38">
        <f t="shared" si="12"/>
        <v>2329.35</v>
      </c>
      <c r="O108" s="39">
        <f t="shared" si="13"/>
        <v>455.7144444444445</v>
      </c>
      <c r="P108" s="40">
        <f t="shared" si="14"/>
        <v>-9.0943890301687702E-2</v>
      </c>
      <c r="Q108" s="39">
        <f t="shared" si="15"/>
        <v>2276.5</v>
      </c>
      <c r="R108" s="41"/>
      <c r="T108" s="42">
        <f t="shared" si="16"/>
        <v>-3</v>
      </c>
      <c r="U108" s="42">
        <f t="shared" si="17"/>
        <v>1</v>
      </c>
      <c r="V108" s="42">
        <f t="shared" si="18"/>
        <v>2</v>
      </c>
    </row>
    <row r="109" spans="1:22" s="28" customFormat="1" ht="73.5" customHeight="1" x14ac:dyDescent="0.2">
      <c r="A109" s="30">
        <v>98</v>
      </c>
      <c r="B109" s="31" t="s">
        <v>165</v>
      </c>
      <c r="C109" s="32" t="s">
        <v>25</v>
      </c>
      <c r="D109" s="33">
        <v>2</v>
      </c>
      <c r="E109" s="35">
        <v>578.5</v>
      </c>
      <c r="F109" s="32" t="s">
        <v>27</v>
      </c>
      <c r="G109" s="37">
        <f>704.39/1.2</f>
        <v>586.99166666666667</v>
      </c>
      <c r="H109" s="38">
        <f t="shared" si="19"/>
        <v>1173.9833333333333</v>
      </c>
      <c r="I109" s="38" t="s">
        <v>28</v>
      </c>
      <c r="J109" s="37">
        <v>579.83000000000004</v>
      </c>
      <c r="K109" s="38">
        <f t="shared" si="11"/>
        <v>1159.6600000000001</v>
      </c>
      <c r="L109" s="32" t="s">
        <v>29</v>
      </c>
      <c r="M109" s="37">
        <v>572.21</v>
      </c>
      <c r="N109" s="38">
        <f t="shared" si="12"/>
        <v>1144.42</v>
      </c>
      <c r="O109" s="39">
        <f t="shared" si="13"/>
        <v>579.67722222222221</v>
      </c>
      <c r="P109" s="40">
        <f t="shared" si="14"/>
        <v>-0.20308236671941415</v>
      </c>
      <c r="Q109" s="39">
        <f t="shared" si="15"/>
        <v>1157</v>
      </c>
      <c r="R109" s="41"/>
      <c r="T109" s="42">
        <f t="shared" si="16"/>
        <v>1</v>
      </c>
      <c r="U109" s="42">
        <f t="shared" si="17"/>
        <v>0</v>
      </c>
      <c r="V109" s="42">
        <f t="shared" si="18"/>
        <v>-1</v>
      </c>
    </row>
    <row r="110" spans="1:22" s="28" customFormat="1" ht="73.5" customHeight="1" x14ac:dyDescent="0.2">
      <c r="A110" s="30">
        <v>99</v>
      </c>
      <c r="B110" s="31" t="s">
        <v>166</v>
      </c>
      <c r="C110" s="32" t="s">
        <v>25</v>
      </c>
      <c r="D110" s="33">
        <v>2</v>
      </c>
      <c r="E110" s="35">
        <v>586.44000000000005</v>
      </c>
      <c r="F110" s="32" t="s">
        <v>27</v>
      </c>
      <c r="G110" s="37">
        <f>704.39/1.2</f>
        <v>586.99166666666667</v>
      </c>
      <c r="H110" s="38">
        <f t="shared" si="19"/>
        <v>1173.9833333333333</v>
      </c>
      <c r="I110" s="38" t="s">
        <v>28</v>
      </c>
      <c r="J110" s="37">
        <v>579.83000000000004</v>
      </c>
      <c r="K110" s="38">
        <f t="shared" si="11"/>
        <v>1159.6600000000001</v>
      </c>
      <c r="L110" s="32" t="s">
        <v>29</v>
      </c>
      <c r="M110" s="37">
        <v>594.08000000000004</v>
      </c>
      <c r="N110" s="38">
        <f t="shared" si="12"/>
        <v>1188.1600000000001</v>
      </c>
      <c r="O110" s="39">
        <f t="shared" si="13"/>
        <v>586.96722222222218</v>
      </c>
      <c r="P110" s="40">
        <f t="shared" si="14"/>
        <v>-8.9821407782551432E-2</v>
      </c>
      <c r="Q110" s="39">
        <f t="shared" si="15"/>
        <v>1172.8800000000001</v>
      </c>
      <c r="R110" s="41"/>
      <c r="T110" s="42">
        <f t="shared" si="16"/>
        <v>0</v>
      </c>
      <c r="U110" s="42">
        <f t="shared" si="17"/>
        <v>-1</v>
      </c>
      <c r="V110" s="42">
        <f t="shared" si="18"/>
        <v>1</v>
      </c>
    </row>
    <row r="111" spans="1:22" s="28" customFormat="1" ht="73.5" customHeight="1" x14ac:dyDescent="0.2">
      <c r="A111" s="30">
        <v>100</v>
      </c>
      <c r="B111" s="31" t="s">
        <v>167</v>
      </c>
      <c r="C111" s="32" t="s">
        <v>25</v>
      </c>
      <c r="D111" s="33">
        <v>4</v>
      </c>
      <c r="E111" s="62">
        <v>105450</v>
      </c>
      <c r="F111" s="32" t="s">
        <v>66</v>
      </c>
      <c r="G111" s="37">
        <f>122928.34/1.2</f>
        <v>102440.28333333334</v>
      </c>
      <c r="H111" s="38">
        <f t="shared" si="19"/>
        <v>409761.13333333336</v>
      </c>
      <c r="I111" s="38" t="s">
        <v>67</v>
      </c>
      <c r="J111" s="37">
        <f>126572.83/1.2</f>
        <v>105477.35833333334</v>
      </c>
      <c r="K111" s="38">
        <f t="shared" si="11"/>
        <v>421909.43333333335</v>
      </c>
      <c r="L111" s="38" t="s">
        <v>68</v>
      </c>
      <c r="M111" s="37">
        <v>108459.11</v>
      </c>
      <c r="N111" s="38">
        <f t="shared" si="12"/>
        <v>433836.44</v>
      </c>
      <c r="O111" s="39">
        <f t="shared" si="13"/>
        <v>105458.91722222221</v>
      </c>
      <c r="P111" s="40">
        <f t="shared" si="14"/>
        <v>-8.4556360496463867E-3</v>
      </c>
      <c r="Q111" s="39">
        <f t="shared" si="15"/>
        <v>421800</v>
      </c>
      <c r="R111" s="64" t="s">
        <v>473</v>
      </c>
      <c r="T111" s="42">
        <f t="shared" si="16"/>
        <v>-3</v>
      </c>
      <c r="U111" s="42">
        <f t="shared" si="17"/>
        <v>0</v>
      </c>
      <c r="V111" s="42">
        <f t="shared" si="18"/>
        <v>3</v>
      </c>
    </row>
    <row r="112" spans="1:22" s="28" customFormat="1" ht="73.5" customHeight="1" x14ac:dyDescent="0.2">
      <c r="A112" s="30">
        <v>101</v>
      </c>
      <c r="B112" s="31" t="s">
        <v>168</v>
      </c>
      <c r="C112" s="32" t="s">
        <v>25</v>
      </c>
      <c r="D112" s="33">
        <v>9</v>
      </c>
      <c r="E112" s="62">
        <v>115250.4</v>
      </c>
      <c r="F112" s="32" t="s">
        <v>66</v>
      </c>
      <c r="G112" s="37">
        <f>134032.46/1.2</f>
        <v>111693.71666666666</v>
      </c>
      <c r="H112" s="38">
        <f t="shared" si="19"/>
        <v>1005243.45</v>
      </c>
      <c r="I112" s="38" t="s">
        <v>67</v>
      </c>
      <c r="J112" s="37">
        <f>142081.19/1.2</f>
        <v>118400.99166666667</v>
      </c>
      <c r="K112" s="38">
        <f t="shared" si="11"/>
        <v>1065608.925</v>
      </c>
      <c r="L112" s="38" t="s">
        <v>68</v>
      </c>
      <c r="M112" s="37">
        <v>115771.47</v>
      </c>
      <c r="N112" s="38">
        <f t="shared" si="12"/>
        <v>1041943.23</v>
      </c>
      <c r="O112" s="39">
        <f t="shared" si="13"/>
        <v>115288.72611111111</v>
      </c>
      <c r="P112" s="40">
        <f t="shared" si="14"/>
        <v>-3.3243589728087386E-2</v>
      </c>
      <c r="Q112" s="39">
        <f t="shared" si="15"/>
        <v>1037253.6</v>
      </c>
      <c r="R112" s="64" t="s">
        <v>474</v>
      </c>
      <c r="T112" s="42">
        <f t="shared" si="16"/>
        <v>-3</v>
      </c>
      <c r="U112" s="42">
        <f t="shared" si="17"/>
        <v>3</v>
      </c>
      <c r="V112" s="42">
        <f t="shared" si="18"/>
        <v>0</v>
      </c>
    </row>
    <row r="113" spans="1:22" s="28" customFormat="1" ht="73.5" customHeight="1" x14ac:dyDescent="0.2">
      <c r="A113" s="30">
        <v>102</v>
      </c>
      <c r="B113" s="31" t="s">
        <v>169</v>
      </c>
      <c r="C113" s="32" t="s">
        <v>25</v>
      </c>
      <c r="D113" s="33">
        <v>4</v>
      </c>
      <c r="E113" s="62">
        <v>105203.9</v>
      </c>
      <c r="F113" s="32" t="s">
        <v>66</v>
      </c>
      <c r="G113" s="37">
        <f>121610.29/1.2</f>
        <v>101341.90833333333</v>
      </c>
      <c r="H113" s="38">
        <f t="shared" si="19"/>
        <v>405367.6333333333</v>
      </c>
      <c r="I113" s="38" t="s">
        <v>67</v>
      </c>
      <c r="J113" s="37">
        <f>125484.62/1.2</f>
        <v>104570.51666666666</v>
      </c>
      <c r="K113" s="38">
        <f t="shared" si="11"/>
        <v>418282.06666666665</v>
      </c>
      <c r="L113" s="38" t="s">
        <v>68</v>
      </c>
      <c r="M113" s="37">
        <v>109702.63</v>
      </c>
      <c r="N113" s="38">
        <f t="shared" si="12"/>
        <v>438810.52</v>
      </c>
      <c r="O113" s="39">
        <f t="shared" si="13"/>
        <v>105205.01833333333</v>
      </c>
      <c r="P113" s="40">
        <f t="shared" si="14"/>
        <v>-1.063003791117012E-3</v>
      </c>
      <c r="Q113" s="39">
        <f t="shared" si="15"/>
        <v>420815.6</v>
      </c>
      <c r="R113" s="64" t="s">
        <v>475</v>
      </c>
      <c r="T113" s="42">
        <f t="shared" si="16"/>
        <v>-4</v>
      </c>
      <c r="U113" s="42">
        <f t="shared" si="17"/>
        <v>-1</v>
      </c>
      <c r="V113" s="42">
        <f t="shared" si="18"/>
        <v>4</v>
      </c>
    </row>
    <row r="114" spans="1:22" s="28" customFormat="1" ht="73.5" customHeight="1" x14ac:dyDescent="0.2">
      <c r="A114" s="30">
        <v>103</v>
      </c>
      <c r="B114" s="31" t="s">
        <v>170</v>
      </c>
      <c r="C114" s="32" t="s">
        <v>25</v>
      </c>
      <c r="D114" s="33">
        <v>96</v>
      </c>
      <c r="E114" s="62">
        <v>23801.47</v>
      </c>
      <c r="F114" s="32" t="s">
        <v>56</v>
      </c>
      <c r="G114" s="37">
        <v>23917.54</v>
      </c>
      <c r="H114" s="38">
        <f t="shared" si="19"/>
        <v>2296083.84</v>
      </c>
      <c r="I114" s="32" t="s">
        <v>57</v>
      </c>
      <c r="J114" s="37">
        <v>24571.360000000001</v>
      </c>
      <c r="K114" s="38">
        <f t="shared" si="11"/>
        <v>2358850.5600000001</v>
      </c>
      <c r="L114" s="32" t="s">
        <v>119</v>
      </c>
      <c r="M114" s="37">
        <v>22927.08</v>
      </c>
      <c r="N114" s="38">
        <f t="shared" si="12"/>
        <v>2200999.6800000002</v>
      </c>
      <c r="O114" s="39">
        <f t="shared" si="13"/>
        <v>23805.326666666671</v>
      </c>
      <c r="P114" s="40">
        <f t="shared" si="14"/>
        <v>-1.6200855886893351E-2</v>
      </c>
      <c r="Q114" s="39">
        <f t="shared" si="15"/>
        <v>2284941.12</v>
      </c>
      <c r="R114" s="64" t="s">
        <v>476</v>
      </c>
      <c r="T114" s="42">
        <f t="shared" si="16"/>
        <v>0</v>
      </c>
      <c r="U114" s="42">
        <f t="shared" si="17"/>
        <v>3</v>
      </c>
      <c r="V114" s="42">
        <f t="shared" si="18"/>
        <v>-4</v>
      </c>
    </row>
    <row r="115" spans="1:22" s="28" customFormat="1" ht="73.5" customHeight="1" x14ac:dyDescent="0.2">
      <c r="A115" s="30">
        <v>104</v>
      </c>
      <c r="B115" s="31" t="s">
        <v>171</v>
      </c>
      <c r="C115" s="32" t="s">
        <v>25</v>
      </c>
      <c r="D115" s="33">
        <v>2</v>
      </c>
      <c r="E115" s="35">
        <v>26380.87</v>
      </c>
      <c r="F115" s="32" t="s">
        <v>27</v>
      </c>
      <c r="G115" s="37">
        <f>29485.22/1.2</f>
        <v>24571.01666666667</v>
      </c>
      <c r="H115" s="38">
        <f t="shared" si="19"/>
        <v>49142.03333333334</v>
      </c>
      <c r="I115" s="38" t="s">
        <v>28</v>
      </c>
      <c r="J115" s="37">
        <f>33229.52/1.2</f>
        <v>27691.266666666666</v>
      </c>
      <c r="K115" s="38">
        <f t="shared" si="11"/>
        <v>55382.533333333333</v>
      </c>
      <c r="L115" s="32" t="s">
        <v>29</v>
      </c>
      <c r="M115" s="51">
        <v>26942.36</v>
      </c>
      <c r="N115" s="38">
        <f t="shared" si="12"/>
        <v>53884.72</v>
      </c>
      <c r="O115" s="39">
        <f t="shared" si="13"/>
        <v>26401.547777777781</v>
      </c>
      <c r="P115" s="40">
        <f t="shared" si="14"/>
        <v>-7.8320324065188629E-2</v>
      </c>
      <c r="Q115" s="39">
        <f t="shared" si="15"/>
        <v>52761.74</v>
      </c>
      <c r="R115" s="32"/>
      <c r="T115" s="42">
        <f t="shared" si="16"/>
        <v>-7</v>
      </c>
      <c r="U115" s="42">
        <f t="shared" si="17"/>
        <v>5</v>
      </c>
      <c r="V115" s="42">
        <f t="shared" si="18"/>
        <v>2</v>
      </c>
    </row>
    <row r="116" spans="1:22" s="28" customFormat="1" ht="73.5" customHeight="1" x14ac:dyDescent="0.2">
      <c r="A116" s="30">
        <v>105</v>
      </c>
      <c r="B116" s="31" t="s">
        <v>172</v>
      </c>
      <c r="C116" s="32" t="s">
        <v>25</v>
      </c>
      <c r="D116" s="33">
        <v>105</v>
      </c>
      <c r="E116" s="35">
        <v>16</v>
      </c>
      <c r="F116" s="32" t="s">
        <v>27</v>
      </c>
      <c r="G116" s="37">
        <f>15.68/1.2</f>
        <v>13.066666666666666</v>
      </c>
      <c r="H116" s="38">
        <f t="shared" si="19"/>
        <v>1372</v>
      </c>
      <c r="I116" s="38" t="s">
        <v>28</v>
      </c>
      <c r="J116" s="37">
        <f>23.17/1.2</f>
        <v>19.308333333333337</v>
      </c>
      <c r="K116" s="38">
        <f t="shared" si="11"/>
        <v>2027.3750000000005</v>
      </c>
      <c r="L116" s="32" t="s">
        <v>29</v>
      </c>
      <c r="M116" s="37">
        <v>15.88</v>
      </c>
      <c r="N116" s="38">
        <f t="shared" si="12"/>
        <v>1667.4</v>
      </c>
      <c r="O116" s="39">
        <f t="shared" si="13"/>
        <v>16.085000000000001</v>
      </c>
      <c r="P116" s="40">
        <f t="shared" si="14"/>
        <v>-0.52844264843021449</v>
      </c>
      <c r="Q116" s="39">
        <f t="shared" si="15"/>
        <v>1680</v>
      </c>
      <c r="R116" s="41"/>
      <c r="T116" s="42">
        <f t="shared" si="16"/>
        <v>-19</v>
      </c>
      <c r="U116" s="42">
        <f t="shared" si="17"/>
        <v>20</v>
      </c>
      <c r="V116" s="42">
        <f t="shared" si="18"/>
        <v>-1</v>
      </c>
    </row>
    <row r="117" spans="1:22" s="28" customFormat="1" ht="73.5" customHeight="1" x14ac:dyDescent="0.2">
      <c r="A117" s="30">
        <v>106</v>
      </c>
      <c r="B117" s="31" t="s">
        <v>173</v>
      </c>
      <c r="C117" s="32" t="s">
        <v>25</v>
      </c>
      <c r="D117" s="33">
        <v>4</v>
      </c>
      <c r="E117" s="35">
        <v>10739.64</v>
      </c>
      <c r="F117" s="38" t="s">
        <v>67</v>
      </c>
      <c r="G117" s="37">
        <f>12321.9/1.2</f>
        <v>10268.25</v>
      </c>
      <c r="H117" s="38">
        <f t="shared" si="19"/>
        <v>41073</v>
      </c>
      <c r="I117" s="32" t="s">
        <v>46</v>
      </c>
      <c r="J117" s="37">
        <v>11095.36</v>
      </c>
      <c r="K117" s="38">
        <f t="shared" si="11"/>
        <v>44381.440000000002</v>
      </c>
      <c r="L117" s="38" t="s">
        <v>68</v>
      </c>
      <c r="M117" s="37">
        <v>10873.97</v>
      </c>
      <c r="N117" s="38">
        <f t="shared" si="12"/>
        <v>43495.88</v>
      </c>
      <c r="O117" s="39">
        <f t="shared" si="13"/>
        <v>10745.86</v>
      </c>
      <c r="P117" s="40">
        <f t="shared" si="14"/>
        <v>-5.7882756708167449E-2</v>
      </c>
      <c r="Q117" s="39">
        <f t="shared" si="15"/>
        <v>42958.559999999998</v>
      </c>
      <c r="R117" s="41"/>
      <c r="T117" s="42">
        <f t="shared" si="16"/>
        <v>-4</v>
      </c>
      <c r="U117" s="42">
        <f t="shared" si="17"/>
        <v>3</v>
      </c>
      <c r="V117" s="42">
        <f t="shared" si="18"/>
        <v>1</v>
      </c>
    </row>
    <row r="118" spans="1:22" s="28" customFormat="1" ht="73.5" customHeight="1" x14ac:dyDescent="0.2">
      <c r="A118" s="30">
        <v>107</v>
      </c>
      <c r="B118" s="31" t="s">
        <v>174</v>
      </c>
      <c r="C118" s="32" t="s">
        <v>25</v>
      </c>
      <c r="D118" s="33">
        <v>15</v>
      </c>
      <c r="E118" s="35">
        <v>11759.65</v>
      </c>
      <c r="F118" s="38" t="s">
        <v>67</v>
      </c>
      <c r="G118" s="37">
        <f>13514.04/1.2</f>
        <v>11261.7</v>
      </c>
      <c r="H118" s="38">
        <f t="shared" si="19"/>
        <v>168925.5</v>
      </c>
      <c r="I118" s="32" t="s">
        <v>46</v>
      </c>
      <c r="J118" s="37">
        <v>11983.18</v>
      </c>
      <c r="K118" s="38">
        <f t="shared" si="11"/>
        <v>179747.7</v>
      </c>
      <c r="L118" s="38" t="s">
        <v>68</v>
      </c>
      <c r="M118" s="37">
        <v>12054.31</v>
      </c>
      <c r="N118" s="38">
        <f t="shared" si="12"/>
        <v>180814.65</v>
      </c>
      <c r="O118" s="39">
        <f t="shared" si="13"/>
        <v>11766.396666666667</v>
      </c>
      <c r="P118" s="40">
        <f t="shared" si="14"/>
        <v>-5.7338426179185831E-2</v>
      </c>
      <c r="Q118" s="39">
        <f t="shared" si="15"/>
        <v>176394.75</v>
      </c>
      <c r="R118" s="41"/>
      <c r="T118" s="42">
        <f t="shared" si="16"/>
        <v>-4</v>
      </c>
      <c r="U118" s="42">
        <f t="shared" si="17"/>
        <v>2</v>
      </c>
      <c r="V118" s="42">
        <f t="shared" si="18"/>
        <v>2</v>
      </c>
    </row>
    <row r="119" spans="1:22" s="28" customFormat="1" ht="73.5" customHeight="1" x14ac:dyDescent="0.2">
      <c r="A119" s="30">
        <v>108</v>
      </c>
      <c r="B119" s="31" t="s">
        <v>175</v>
      </c>
      <c r="C119" s="32" t="s">
        <v>25</v>
      </c>
      <c r="D119" s="33">
        <v>9</v>
      </c>
      <c r="E119" s="35">
        <v>853.15</v>
      </c>
      <c r="F119" s="32" t="s">
        <v>27</v>
      </c>
      <c r="G119" s="37">
        <f>961.27/1.2</f>
        <v>801.05833333333339</v>
      </c>
      <c r="H119" s="38">
        <f t="shared" si="19"/>
        <v>7209.5250000000005</v>
      </c>
      <c r="I119" s="38" t="s">
        <v>28</v>
      </c>
      <c r="J119" s="37">
        <f>1027.26/1.2</f>
        <v>856.05000000000007</v>
      </c>
      <c r="K119" s="38">
        <f t="shared" si="11"/>
        <v>7704.4500000000007</v>
      </c>
      <c r="L119" s="32" t="s">
        <v>29</v>
      </c>
      <c r="M119" s="37">
        <v>911.61</v>
      </c>
      <c r="N119" s="38">
        <f t="shared" si="12"/>
        <v>8204.49</v>
      </c>
      <c r="O119" s="39">
        <f t="shared" si="13"/>
        <v>856.23944444444453</v>
      </c>
      <c r="P119" s="40">
        <f t="shared" si="14"/>
        <v>-0.36081547801725833</v>
      </c>
      <c r="Q119" s="39">
        <f t="shared" si="15"/>
        <v>7678.3499999999995</v>
      </c>
      <c r="R119" s="41"/>
      <c r="T119" s="42">
        <f t="shared" si="16"/>
        <v>-6</v>
      </c>
      <c r="U119" s="42">
        <f t="shared" si="17"/>
        <v>0</v>
      </c>
      <c r="V119" s="42">
        <f t="shared" si="18"/>
        <v>6</v>
      </c>
    </row>
    <row r="120" spans="1:22" s="28" customFormat="1" ht="73.5" customHeight="1" x14ac:dyDescent="0.2">
      <c r="A120" s="30">
        <v>109</v>
      </c>
      <c r="B120" s="31" t="s">
        <v>176</v>
      </c>
      <c r="C120" s="32" t="s">
        <v>25</v>
      </c>
      <c r="D120" s="33">
        <v>6</v>
      </c>
      <c r="E120" s="35">
        <v>1193.4000000000001</v>
      </c>
      <c r="F120" s="32" t="s">
        <v>27</v>
      </c>
      <c r="G120" s="37">
        <f>1229.06/1.2</f>
        <v>1024.2166666666667</v>
      </c>
      <c r="H120" s="38">
        <f t="shared" si="19"/>
        <v>6145.3</v>
      </c>
      <c r="I120" s="38" t="s">
        <v>28</v>
      </c>
      <c r="J120" s="37">
        <f>1512.89/1.2</f>
        <v>1260.7416666666668</v>
      </c>
      <c r="K120" s="38">
        <f t="shared" si="11"/>
        <v>7564.4500000000007</v>
      </c>
      <c r="L120" s="32" t="s">
        <v>29</v>
      </c>
      <c r="M120" s="37">
        <v>1302.32</v>
      </c>
      <c r="N120" s="38">
        <f t="shared" si="12"/>
        <v>7813.92</v>
      </c>
      <c r="O120" s="39">
        <f t="shared" si="13"/>
        <v>1195.7594444444446</v>
      </c>
      <c r="P120" s="40">
        <f t="shared" si="14"/>
        <v>-0.19731765075380281</v>
      </c>
      <c r="Q120" s="39">
        <f t="shared" si="15"/>
        <v>7160.4000000000005</v>
      </c>
      <c r="R120" s="41"/>
      <c r="T120" s="42">
        <f t="shared" si="16"/>
        <v>-14</v>
      </c>
      <c r="U120" s="42">
        <f t="shared" si="17"/>
        <v>5</v>
      </c>
      <c r="V120" s="42">
        <f t="shared" si="18"/>
        <v>9</v>
      </c>
    </row>
    <row r="121" spans="1:22" s="28" customFormat="1" ht="73.5" customHeight="1" x14ac:dyDescent="0.2">
      <c r="A121" s="30">
        <v>110</v>
      </c>
      <c r="B121" s="31" t="s">
        <v>177</v>
      </c>
      <c r="C121" s="32" t="s">
        <v>25</v>
      </c>
      <c r="D121" s="33">
        <v>1</v>
      </c>
      <c r="E121" s="35">
        <v>1120.3</v>
      </c>
      <c r="F121" s="32" t="s">
        <v>27</v>
      </c>
      <c r="G121" s="37">
        <f>1283.51/1.2</f>
        <v>1069.5916666666667</v>
      </c>
      <c r="H121" s="38">
        <f t="shared" si="19"/>
        <v>1069.5916666666667</v>
      </c>
      <c r="I121" s="38" t="s">
        <v>28</v>
      </c>
      <c r="J121" s="37">
        <f>1330.68/1.2</f>
        <v>1108.9000000000001</v>
      </c>
      <c r="K121" s="38">
        <f t="shared" si="11"/>
        <v>1108.9000000000001</v>
      </c>
      <c r="L121" s="32" t="s">
        <v>29</v>
      </c>
      <c r="M121" s="37">
        <v>1187.8399999999999</v>
      </c>
      <c r="N121" s="38">
        <f t="shared" si="12"/>
        <v>1187.8399999999999</v>
      </c>
      <c r="O121" s="39">
        <f t="shared" si="13"/>
        <v>1122.1105555555557</v>
      </c>
      <c r="P121" s="40">
        <f t="shared" si="14"/>
        <v>-0.16135268905472344</v>
      </c>
      <c r="Q121" s="39">
        <f t="shared" si="15"/>
        <v>1120.3</v>
      </c>
      <c r="R121" s="41"/>
      <c r="T121" s="42">
        <f t="shared" si="16"/>
        <v>-5</v>
      </c>
      <c r="U121" s="42">
        <f t="shared" si="17"/>
        <v>-1</v>
      </c>
      <c r="V121" s="42">
        <f t="shared" si="18"/>
        <v>6</v>
      </c>
    </row>
    <row r="122" spans="1:22" s="28" customFormat="1" ht="73.5" customHeight="1" x14ac:dyDescent="0.2">
      <c r="A122" s="30">
        <v>111</v>
      </c>
      <c r="B122" s="31" t="s">
        <v>178</v>
      </c>
      <c r="C122" s="32" t="s">
        <v>25</v>
      </c>
      <c r="D122" s="33">
        <v>1</v>
      </c>
      <c r="E122" s="35">
        <v>3390.15</v>
      </c>
      <c r="F122" s="32" t="s">
        <v>27</v>
      </c>
      <c r="G122" s="37">
        <f>3848.77/1.2</f>
        <v>3207.3083333333334</v>
      </c>
      <c r="H122" s="38">
        <f t="shared" si="19"/>
        <v>3207.3083333333334</v>
      </c>
      <c r="I122" s="38" t="s">
        <v>28</v>
      </c>
      <c r="J122" s="37">
        <f>4213.88/1.2</f>
        <v>3511.5666666666671</v>
      </c>
      <c r="K122" s="38">
        <f t="shared" si="11"/>
        <v>3511.5666666666671</v>
      </c>
      <c r="L122" s="32" t="s">
        <v>29</v>
      </c>
      <c r="M122" s="37">
        <v>3461.03</v>
      </c>
      <c r="N122" s="38">
        <f t="shared" si="12"/>
        <v>3461.03</v>
      </c>
      <c r="O122" s="39">
        <f t="shared" si="13"/>
        <v>3393.3016666666667</v>
      </c>
      <c r="P122" s="40">
        <f t="shared" si="14"/>
        <v>-9.2879059283959009E-2</v>
      </c>
      <c r="Q122" s="39">
        <f t="shared" si="15"/>
        <v>3390.15</v>
      </c>
      <c r="R122" s="41"/>
      <c r="T122" s="42">
        <f t="shared" si="16"/>
        <v>-5</v>
      </c>
      <c r="U122" s="42">
        <f t="shared" si="17"/>
        <v>3</v>
      </c>
      <c r="V122" s="42">
        <f t="shared" si="18"/>
        <v>2</v>
      </c>
    </row>
    <row r="123" spans="1:22" s="28" customFormat="1" ht="73.5" customHeight="1" x14ac:dyDescent="0.2">
      <c r="A123" s="30">
        <v>112</v>
      </c>
      <c r="B123" s="31" t="s">
        <v>179</v>
      </c>
      <c r="C123" s="32" t="s">
        <v>25</v>
      </c>
      <c r="D123" s="33">
        <v>3</v>
      </c>
      <c r="E123" s="35">
        <v>2777.4</v>
      </c>
      <c r="F123" s="32" t="s">
        <v>27</v>
      </c>
      <c r="G123" s="37">
        <f>3306.94/1.2</f>
        <v>2755.7833333333333</v>
      </c>
      <c r="H123" s="38">
        <f t="shared" si="19"/>
        <v>8267.35</v>
      </c>
      <c r="I123" s="38" t="s">
        <v>28</v>
      </c>
      <c r="J123" s="37">
        <f>3452.2/1.2</f>
        <v>2876.8333333333335</v>
      </c>
      <c r="K123" s="38">
        <f t="shared" si="11"/>
        <v>8630.5</v>
      </c>
      <c r="L123" s="32" t="s">
        <v>29</v>
      </c>
      <c r="M123" s="37">
        <v>2703.98</v>
      </c>
      <c r="N123" s="38">
        <f t="shared" si="12"/>
        <v>8111.9400000000005</v>
      </c>
      <c r="O123" s="39">
        <f t="shared" si="13"/>
        <v>2778.8655555555556</v>
      </c>
      <c r="P123" s="40">
        <f t="shared" si="14"/>
        <v>-5.2739347271611337E-2</v>
      </c>
      <c r="Q123" s="39">
        <f t="shared" si="15"/>
        <v>8332.2000000000007</v>
      </c>
      <c r="R123" s="41"/>
      <c r="T123" s="42">
        <f t="shared" si="16"/>
        <v>-1</v>
      </c>
      <c r="U123" s="42">
        <f t="shared" si="17"/>
        <v>4</v>
      </c>
      <c r="V123" s="42">
        <f t="shared" si="18"/>
        <v>-3</v>
      </c>
    </row>
    <row r="124" spans="1:22" s="28" customFormat="1" ht="73.5" customHeight="1" x14ac:dyDescent="0.2">
      <c r="A124" s="30">
        <v>113</v>
      </c>
      <c r="B124" s="31" t="s">
        <v>180</v>
      </c>
      <c r="C124" s="32" t="s">
        <v>25</v>
      </c>
      <c r="D124" s="33" t="s">
        <v>181</v>
      </c>
      <c r="E124" s="35">
        <v>5200</v>
      </c>
      <c r="F124" s="32" t="s">
        <v>27</v>
      </c>
      <c r="G124" s="37">
        <f>6026.51/1.2</f>
        <v>5022.0916666666672</v>
      </c>
      <c r="H124" s="38">
        <f t="shared" si="19"/>
        <v>140618.56666666668</v>
      </c>
      <c r="I124" s="38" t="s">
        <v>28</v>
      </c>
      <c r="J124" s="37">
        <f>6712.45/1.2</f>
        <v>5593.708333333333</v>
      </c>
      <c r="K124" s="38">
        <f t="shared" si="11"/>
        <v>156623.83333333331</v>
      </c>
      <c r="L124" s="32" t="s">
        <v>29</v>
      </c>
      <c r="M124" s="37">
        <v>5007.33</v>
      </c>
      <c r="N124" s="38">
        <f t="shared" si="12"/>
        <v>140205.24</v>
      </c>
      <c r="O124" s="39">
        <f t="shared" si="13"/>
        <v>5207.71</v>
      </c>
      <c r="P124" s="40">
        <f t="shared" si="14"/>
        <v>-0.14804971859031468</v>
      </c>
      <c r="Q124" s="39">
        <f t="shared" si="15"/>
        <v>145600</v>
      </c>
      <c r="R124" s="41"/>
      <c r="T124" s="42">
        <f t="shared" si="16"/>
        <v>-4</v>
      </c>
      <c r="U124" s="42">
        <f t="shared" si="17"/>
        <v>7</v>
      </c>
      <c r="V124" s="42">
        <f t="shared" si="18"/>
        <v>-4</v>
      </c>
    </row>
    <row r="125" spans="1:22" s="28" customFormat="1" ht="73.5" customHeight="1" x14ac:dyDescent="0.2">
      <c r="A125" s="30">
        <v>114</v>
      </c>
      <c r="B125" s="31" t="s">
        <v>182</v>
      </c>
      <c r="C125" s="32" t="s">
        <v>25</v>
      </c>
      <c r="D125" s="33">
        <v>1</v>
      </c>
      <c r="E125" s="35">
        <v>3320.5</v>
      </c>
      <c r="F125" s="32" t="s">
        <v>27</v>
      </c>
      <c r="G125" s="37">
        <f>3946.52/1.2</f>
        <v>3288.7666666666669</v>
      </c>
      <c r="H125" s="38">
        <f t="shared" si="19"/>
        <v>3288.7666666666669</v>
      </c>
      <c r="I125" s="38" t="s">
        <v>28</v>
      </c>
      <c r="J125" s="37">
        <f>3861.14/1.2</f>
        <v>3217.6166666666668</v>
      </c>
      <c r="K125" s="38">
        <f t="shared" si="11"/>
        <v>3217.6166666666668</v>
      </c>
      <c r="L125" s="32" t="s">
        <v>29</v>
      </c>
      <c r="M125" s="37">
        <v>3471.09</v>
      </c>
      <c r="N125" s="38">
        <f t="shared" si="12"/>
        <v>3471.09</v>
      </c>
      <c r="O125" s="39">
        <f t="shared" si="13"/>
        <v>3325.8244444444445</v>
      </c>
      <c r="P125" s="40">
        <f t="shared" si="14"/>
        <v>-0.16009397168689077</v>
      </c>
      <c r="Q125" s="39">
        <f t="shared" si="15"/>
        <v>3320.5</v>
      </c>
      <c r="R125" s="41"/>
      <c r="T125" s="42">
        <f t="shared" si="16"/>
        <v>-1</v>
      </c>
      <c r="U125" s="42">
        <f t="shared" si="17"/>
        <v>-3</v>
      </c>
      <c r="V125" s="42">
        <f t="shared" si="18"/>
        <v>4</v>
      </c>
    </row>
    <row r="126" spans="1:22" s="28" customFormat="1" ht="73.5" customHeight="1" x14ac:dyDescent="0.2">
      <c r="A126" s="30">
        <v>115</v>
      </c>
      <c r="B126" s="31" t="s">
        <v>183</v>
      </c>
      <c r="C126" s="32" t="s">
        <v>25</v>
      </c>
      <c r="D126" s="33">
        <v>60</v>
      </c>
      <c r="E126" s="62">
        <v>13200.55</v>
      </c>
      <c r="F126" s="32" t="s">
        <v>27</v>
      </c>
      <c r="G126" s="37">
        <f>15720.65/1.2</f>
        <v>13100.541666666666</v>
      </c>
      <c r="H126" s="38">
        <f t="shared" si="19"/>
        <v>786032.5</v>
      </c>
      <c r="I126" s="38" t="s">
        <v>28</v>
      </c>
      <c r="J126" s="37">
        <f>16167.67/1.2</f>
        <v>13473.058333333334</v>
      </c>
      <c r="K126" s="38">
        <f t="shared" si="11"/>
        <v>808383.5</v>
      </c>
      <c r="L126" s="32" t="s">
        <v>29</v>
      </c>
      <c r="M126" s="37">
        <v>13042.21</v>
      </c>
      <c r="N126" s="38">
        <f t="shared" si="12"/>
        <v>782532.6</v>
      </c>
      <c r="O126" s="39">
        <f t="shared" si="13"/>
        <v>13205.269999999999</v>
      </c>
      <c r="P126" s="40">
        <f t="shared" si="14"/>
        <v>-3.5743305513619816E-2</v>
      </c>
      <c r="Q126" s="39">
        <f t="shared" si="15"/>
        <v>792033</v>
      </c>
      <c r="R126" s="64" t="s">
        <v>477</v>
      </c>
      <c r="T126" s="42">
        <f t="shared" si="16"/>
        <v>-1</v>
      </c>
      <c r="U126" s="42">
        <f t="shared" si="17"/>
        <v>2</v>
      </c>
      <c r="V126" s="42">
        <f t="shared" si="18"/>
        <v>-1</v>
      </c>
    </row>
    <row r="127" spans="1:22" s="28" customFormat="1" ht="73.5" customHeight="1" x14ac:dyDescent="0.2">
      <c r="A127" s="30">
        <v>116</v>
      </c>
      <c r="B127" s="31" t="s">
        <v>184</v>
      </c>
      <c r="C127" s="32" t="s">
        <v>25</v>
      </c>
      <c r="D127" s="33">
        <v>5</v>
      </c>
      <c r="E127" s="35">
        <v>1825</v>
      </c>
      <c r="F127" s="32" t="s">
        <v>27</v>
      </c>
      <c r="G127" s="37">
        <f>2172.67/1.2</f>
        <v>1810.5583333333334</v>
      </c>
      <c r="H127" s="38">
        <f t="shared" si="19"/>
        <v>9052.7916666666679</v>
      </c>
      <c r="I127" s="38" t="s">
        <v>28</v>
      </c>
      <c r="J127" s="37">
        <f>2232.5/1.2</f>
        <v>1860.4166666666667</v>
      </c>
      <c r="K127" s="38">
        <f t="shared" si="11"/>
        <v>9302.0833333333339</v>
      </c>
      <c r="L127" s="32" t="s">
        <v>29</v>
      </c>
      <c r="M127" s="37">
        <v>1807.53</v>
      </c>
      <c r="N127" s="38">
        <f t="shared" si="12"/>
        <v>9037.65</v>
      </c>
      <c r="O127" s="39">
        <f t="shared" si="13"/>
        <v>1826.1683333333333</v>
      </c>
      <c r="P127" s="40">
        <f t="shared" si="14"/>
        <v>-6.3977307677916428E-2</v>
      </c>
      <c r="Q127" s="39">
        <f t="shared" si="15"/>
        <v>9125</v>
      </c>
      <c r="R127" s="41"/>
      <c r="T127" s="42">
        <f t="shared" si="16"/>
        <v>-1</v>
      </c>
      <c r="U127" s="42">
        <f t="shared" si="17"/>
        <v>2</v>
      </c>
      <c r="V127" s="42">
        <f t="shared" si="18"/>
        <v>-1</v>
      </c>
    </row>
    <row r="128" spans="1:22" s="28" customFormat="1" ht="73.5" customHeight="1" x14ac:dyDescent="0.2">
      <c r="A128" s="30">
        <v>117</v>
      </c>
      <c r="B128" s="31" t="s">
        <v>185</v>
      </c>
      <c r="C128" s="32" t="s">
        <v>25</v>
      </c>
      <c r="D128" s="33">
        <v>4</v>
      </c>
      <c r="E128" s="35">
        <v>65.3</v>
      </c>
      <c r="F128" s="32" t="s">
        <v>27</v>
      </c>
      <c r="G128" s="37">
        <f>76.58/1.2</f>
        <v>63.81666666666667</v>
      </c>
      <c r="H128" s="38">
        <f t="shared" si="19"/>
        <v>255.26666666666668</v>
      </c>
      <c r="I128" s="38" t="s">
        <v>28</v>
      </c>
      <c r="J128" s="37">
        <f>75.56/1.2</f>
        <v>62.966666666666669</v>
      </c>
      <c r="K128" s="38">
        <f t="shared" si="11"/>
        <v>251.86666666666667</v>
      </c>
      <c r="L128" s="32" t="s">
        <v>29</v>
      </c>
      <c r="M128" s="37">
        <v>70.62</v>
      </c>
      <c r="N128" s="38">
        <f t="shared" si="12"/>
        <v>282.48</v>
      </c>
      <c r="O128" s="39">
        <f t="shared" si="13"/>
        <v>65.801111111111112</v>
      </c>
      <c r="P128" s="40">
        <f t="shared" si="14"/>
        <v>-0.76155417841644635</v>
      </c>
      <c r="Q128" s="39">
        <f t="shared" si="15"/>
        <v>261.2</v>
      </c>
      <c r="R128" s="41"/>
      <c r="T128" s="42">
        <f t="shared" si="16"/>
        <v>-3</v>
      </c>
      <c r="U128" s="42">
        <f t="shared" si="17"/>
        <v>-4</v>
      </c>
      <c r="V128" s="42">
        <f t="shared" si="18"/>
        <v>7</v>
      </c>
    </row>
    <row r="129" spans="1:22" s="28" customFormat="1" ht="73.5" customHeight="1" x14ac:dyDescent="0.2">
      <c r="A129" s="30">
        <v>118</v>
      </c>
      <c r="B129" s="31" t="s">
        <v>186</v>
      </c>
      <c r="C129" s="32" t="s">
        <v>25</v>
      </c>
      <c r="D129" s="33">
        <v>2</v>
      </c>
      <c r="E129" s="35">
        <v>65.010000000000005</v>
      </c>
      <c r="F129" s="32" t="s">
        <v>27</v>
      </c>
      <c r="G129" s="37">
        <f>74.03/1.2</f>
        <v>61.69166666666667</v>
      </c>
      <c r="H129" s="38">
        <f t="shared" si="19"/>
        <v>123.38333333333334</v>
      </c>
      <c r="I129" s="38" t="s">
        <v>28</v>
      </c>
      <c r="J129" s="37">
        <f>76.66/1.2</f>
        <v>63.883333333333333</v>
      </c>
      <c r="K129" s="38">
        <f t="shared" si="11"/>
        <v>127.76666666666667</v>
      </c>
      <c r="L129" s="32" t="s">
        <v>29</v>
      </c>
      <c r="M129" s="37">
        <v>69.739999999999995</v>
      </c>
      <c r="N129" s="38">
        <f t="shared" si="12"/>
        <v>139.47999999999999</v>
      </c>
      <c r="O129" s="39">
        <f t="shared" si="13"/>
        <v>65.105000000000004</v>
      </c>
      <c r="P129" s="40">
        <f t="shared" si="14"/>
        <v>-0.14591813224789973</v>
      </c>
      <c r="Q129" s="39">
        <f t="shared" si="15"/>
        <v>130.02000000000001</v>
      </c>
      <c r="R129" s="41"/>
      <c r="T129" s="42">
        <f t="shared" si="16"/>
        <v>-5</v>
      </c>
      <c r="U129" s="42">
        <f t="shared" si="17"/>
        <v>-2</v>
      </c>
      <c r="V129" s="42">
        <f t="shared" si="18"/>
        <v>7</v>
      </c>
    </row>
    <row r="130" spans="1:22" s="28" customFormat="1" ht="73.5" customHeight="1" x14ac:dyDescent="0.2">
      <c r="A130" s="30">
        <v>119</v>
      </c>
      <c r="B130" s="31" t="s">
        <v>187</v>
      </c>
      <c r="C130" s="32" t="s">
        <v>25</v>
      </c>
      <c r="D130" s="33">
        <v>4</v>
      </c>
      <c r="E130" s="35">
        <v>133.1</v>
      </c>
      <c r="F130" s="32" t="s">
        <v>27</v>
      </c>
      <c r="G130" s="37">
        <f>149.48/1.2</f>
        <v>124.56666666666666</v>
      </c>
      <c r="H130" s="38">
        <f t="shared" si="19"/>
        <v>498.26666666666665</v>
      </c>
      <c r="I130" s="38" t="s">
        <v>28</v>
      </c>
      <c r="J130" s="37">
        <f>167.56/1.2</f>
        <v>139.63333333333335</v>
      </c>
      <c r="K130" s="38">
        <f t="shared" si="11"/>
        <v>558.53333333333342</v>
      </c>
      <c r="L130" s="32" t="s">
        <v>29</v>
      </c>
      <c r="M130" s="37">
        <v>136.08000000000001</v>
      </c>
      <c r="N130" s="38">
        <f t="shared" si="12"/>
        <v>544.32000000000005</v>
      </c>
      <c r="O130" s="39">
        <f t="shared" si="13"/>
        <v>133.4266666666667</v>
      </c>
      <c r="P130" s="40">
        <f t="shared" si="14"/>
        <v>-0.2448286199660572</v>
      </c>
      <c r="Q130" s="39">
        <f t="shared" si="15"/>
        <v>532.4</v>
      </c>
      <c r="R130" s="41"/>
      <c r="T130" s="42">
        <f t="shared" si="16"/>
        <v>-7</v>
      </c>
      <c r="U130" s="42">
        <f t="shared" si="17"/>
        <v>5</v>
      </c>
      <c r="V130" s="42">
        <f t="shared" si="18"/>
        <v>2</v>
      </c>
    </row>
    <row r="131" spans="1:22" s="28" customFormat="1" ht="73.5" customHeight="1" x14ac:dyDescent="0.2">
      <c r="A131" s="30">
        <v>120</v>
      </c>
      <c r="B131" s="31" t="s">
        <v>188</v>
      </c>
      <c r="C131" s="32" t="s">
        <v>53</v>
      </c>
      <c r="D131" s="33">
        <v>58.65</v>
      </c>
      <c r="E131" s="35">
        <v>1090.4000000000001</v>
      </c>
      <c r="F131" s="32" t="s">
        <v>90</v>
      </c>
      <c r="G131" s="37">
        <f>1238.89/1.2</f>
        <v>1032.4083333333335</v>
      </c>
      <c r="H131" s="38">
        <f t="shared" si="19"/>
        <v>60550.748750000013</v>
      </c>
      <c r="I131" s="32" t="s">
        <v>189</v>
      </c>
      <c r="J131" s="37">
        <f>1320.83/1.2</f>
        <v>1100.6916666666666</v>
      </c>
      <c r="K131" s="38">
        <f t="shared" si="11"/>
        <v>64555.566249999996</v>
      </c>
      <c r="L131" s="32" t="s">
        <v>149</v>
      </c>
      <c r="M131" s="37">
        <f>1385.5/1.2</f>
        <v>1154.5833333333335</v>
      </c>
      <c r="N131" s="38">
        <f t="shared" si="12"/>
        <v>67716.3125</v>
      </c>
      <c r="O131" s="39">
        <f t="shared" si="13"/>
        <v>1095.8944444444446</v>
      </c>
      <c r="P131" s="40">
        <f t="shared" si="14"/>
        <v>-0.50136621024937256</v>
      </c>
      <c r="Q131" s="39">
        <f t="shared" si="15"/>
        <v>63951.960000000006</v>
      </c>
      <c r="R131" s="52"/>
      <c r="S131" s="53"/>
      <c r="T131" s="42">
        <f t="shared" si="16"/>
        <v>-6</v>
      </c>
      <c r="U131" s="42">
        <f t="shared" si="17"/>
        <v>0</v>
      </c>
      <c r="V131" s="42">
        <f t="shared" si="18"/>
        <v>5</v>
      </c>
    </row>
    <row r="132" spans="1:22" s="28" customFormat="1" ht="73.5" customHeight="1" x14ac:dyDescent="0.2">
      <c r="A132" s="30">
        <v>121</v>
      </c>
      <c r="B132" s="31" t="s">
        <v>190</v>
      </c>
      <c r="C132" s="32" t="s">
        <v>53</v>
      </c>
      <c r="D132" s="33" t="s">
        <v>191</v>
      </c>
      <c r="E132" s="35">
        <v>2710.82</v>
      </c>
      <c r="F132" s="32" t="s">
        <v>90</v>
      </c>
      <c r="G132" s="37">
        <f>3111.11/1.2</f>
        <v>2592.5916666666667</v>
      </c>
      <c r="H132" s="38">
        <f t="shared" ref="H132:H163" si="20">D132*G132</f>
        <v>2851.8508333333334</v>
      </c>
      <c r="I132" s="32" t="s">
        <v>189</v>
      </c>
      <c r="J132" s="37">
        <f>3185.77/1.2</f>
        <v>2654.8083333333334</v>
      </c>
      <c r="K132" s="38">
        <f t="shared" si="11"/>
        <v>2920.2891666666669</v>
      </c>
      <c r="L132" s="32" t="s">
        <v>149</v>
      </c>
      <c r="M132" s="37">
        <f>3480.8/1.2</f>
        <v>2900.666666666667</v>
      </c>
      <c r="N132" s="38">
        <f t="shared" si="12"/>
        <v>3190.733333333334</v>
      </c>
      <c r="O132" s="39">
        <f t="shared" si="13"/>
        <v>2716.0222222222224</v>
      </c>
      <c r="P132" s="40">
        <f t="shared" si="14"/>
        <v>-0.19153827901915577</v>
      </c>
      <c r="Q132" s="39">
        <f t="shared" si="15"/>
        <v>2981.9020000000005</v>
      </c>
      <c r="R132" s="52"/>
      <c r="T132" s="42">
        <f t="shared" si="16"/>
        <v>-5</v>
      </c>
      <c r="U132" s="42">
        <f t="shared" si="17"/>
        <v>-2</v>
      </c>
      <c r="V132" s="42">
        <f t="shared" si="18"/>
        <v>7</v>
      </c>
    </row>
    <row r="133" spans="1:22" s="28" customFormat="1" ht="73.5" customHeight="1" x14ac:dyDescent="0.2">
      <c r="A133" s="30">
        <v>122</v>
      </c>
      <c r="B133" s="31" t="s">
        <v>192</v>
      </c>
      <c r="C133" s="32" t="s">
        <v>53</v>
      </c>
      <c r="D133" s="33" t="s">
        <v>193</v>
      </c>
      <c r="E133" s="35">
        <v>2701.65</v>
      </c>
      <c r="F133" s="32" t="s">
        <v>90</v>
      </c>
      <c r="G133" s="37">
        <f>3166.67/1.2</f>
        <v>2638.8916666666669</v>
      </c>
      <c r="H133" s="38">
        <f t="shared" si="20"/>
        <v>8180.5641666666679</v>
      </c>
      <c r="I133" s="32" t="s">
        <v>189</v>
      </c>
      <c r="J133" s="37">
        <f>3135.29/1.2</f>
        <v>2612.7416666666668</v>
      </c>
      <c r="K133" s="38">
        <f t="shared" si="11"/>
        <v>8099.4991666666674</v>
      </c>
      <c r="L133" s="32" t="s">
        <v>149</v>
      </c>
      <c r="M133" s="37">
        <f>3514.09/1.2</f>
        <v>2928.4083333333338</v>
      </c>
      <c r="N133" s="38">
        <f t="shared" si="12"/>
        <v>9078.065833333334</v>
      </c>
      <c r="O133" s="39">
        <f t="shared" si="13"/>
        <v>2726.6805555555557</v>
      </c>
      <c r="P133" s="40">
        <f t="shared" si="14"/>
        <v>-0.91798635907518644</v>
      </c>
      <c r="Q133" s="39">
        <f t="shared" si="15"/>
        <v>8375.1149999999998</v>
      </c>
      <c r="R133" s="52"/>
      <c r="T133" s="42">
        <f t="shared" si="16"/>
        <v>-3</v>
      </c>
      <c r="U133" s="42">
        <f t="shared" si="17"/>
        <v>-4</v>
      </c>
      <c r="V133" s="42">
        <f t="shared" si="18"/>
        <v>7</v>
      </c>
    </row>
    <row r="134" spans="1:22" s="28" customFormat="1" ht="73.5" customHeight="1" x14ac:dyDescent="0.2">
      <c r="A134" s="30">
        <v>123</v>
      </c>
      <c r="B134" s="31" t="s">
        <v>194</v>
      </c>
      <c r="C134" s="32" t="s">
        <v>53</v>
      </c>
      <c r="D134" s="33">
        <v>10</v>
      </c>
      <c r="E134" s="35">
        <v>1478.6</v>
      </c>
      <c r="F134" s="32" t="s">
        <v>90</v>
      </c>
      <c r="G134" s="37">
        <f>1725.55/1.2</f>
        <v>1437.9583333333333</v>
      </c>
      <c r="H134" s="38">
        <f t="shared" si="20"/>
        <v>14379.583333333332</v>
      </c>
      <c r="I134" s="32" t="s">
        <v>189</v>
      </c>
      <c r="J134" s="37">
        <f>1741.12/1.2</f>
        <v>1450.9333333333334</v>
      </c>
      <c r="K134" s="38">
        <f t="shared" si="11"/>
        <v>14509.333333333334</v>
      </c>
      <c r="L134" s="32" t="s">
        <v>149</v>
      </c>
      <c r="M134" s="37">
        <f>1865.66/1.2</f>
        <v>1554.7166666666667</v>
      </c>
      <c r="N134" s="38">
        <f t="shared" si="12"/>
        <v>15547.166666666668</v>
      </c>
      <c r="O134" s="39">
        <f t="shared" si="13"/>
        <v>1481.2027777777778</v>
      </c>
      <c r="P134" s="40">
        <f t="shared" si="14"/>
        <v>-0.17572055742986947</v>
      </c>
      <c r="Q134" s="39">
        <f t="shared" si="15"/>
        <v>14786</v>
      </c>
      <c r="R134" s="52"/>
      <c r="T134" s="42">
        <f t="shared" si="16"/>
        <v>-3</v>
      </c>
      <c r="U134" s="42">
        <f t="shared" si="17"/>
        <v>-2</v>
      </c>
      <c r="V134" s="42">
        <f t="shared" si="18"/>
        <v>5</v>
      </c>
    </row>
    <row r="135" spans="1:22" s="28" customFormat="1" ht="73.5" customHeight="1" x14ac:dyDescent="0.2">
      <c r="A135" s="30">
        <v>124</v>
      </c>
      <c r="B135" s="31" t="s">
        <v>195</v>
      </c>
      <c r="C135" s="32" t="s">
        <v>53</v>
      </c>
      <c r="D135" s="33">
        <v>15</v>
      </c>
      <c r="E135" s="35">
        <v>1369.87</v>
      </c>
      <c r="F135" s="32" t="s">
        <v>90</v>
      </c>
      <c r="G135" s="37">
        <f>1505.56/1.2</f>
        <v>1254.6333333333334</v>
      </c>
      <c r="H135" s="38">
        <f t="shared" si="20"/>
        <v>18819.5</v>
      </c>
      <c r="I135" s="32" t="s">
        <v>189</v>
      </c>
      <c r="J135" s="37">
        <f>1637.46/1.2</f>
        <v>1364.5500000000002</v>
      </c>
      <c r="K135" s="38">
        <f t="shared" si="11"/>
        <v>20468.250000000004</v>
      </c>
      <c r="L135" s="32" t="s">
        <v>149</v>
      </c>
      <c r="M135" s="37">
        <f>1805.2/1.2</f>
        <v>1504.3333333333335</v>
      </c>
      <c r="N135" s="38">
        <f t="shared" si="12"/>
        <v>22565.000000000004</v>
      </c>
      <c r="O135" s="39">
        <f t="shared" si="13"/>
        <v>1374.5055555555555</v>
      </c>
      <c r="P135" s="40">
        <f t="shared" si="14"/>
        <v>-0.33725258779924161</v>
      </c>
      <c r="Q135" s="39">
        <f t="shared" si="15"/>
        <v>20548.05</v>
      </c>
      <c r="R135" s="52"/>
      <c r="T135" s="42">
        <f t="shared" si="16"/>
        <v>-9</v>
      </c>
      <c r="U135" s="42">
        <f t="shared" si="17"/>
        <v>-1</v>
      </c>
      <c r="V135" s="42">
        <f t="shared" si="18"/>
        <v>9</v>
      </c>
    </row>
    <row r="136" spans="1:22" s="28" customFormat="1" ht="73.5" customHeight="1" x14ac:dyDescent="0.2">
      <c r="A136" s="30">
        <v>125</v>
      </c>
      <c r="B136" s="31" t="s">
        <v>196</v>
      </c>
      <c r="C136" s="32" t="s">
        <v>53</v>
      </c>
      <c r="D136" s="33" t="s">
        <v>191</v>
      </c>
      <c r="E136" s="35">
        <v>1878.3</v>
      </c>
      <c r="F136" s="32" t="s">
        <v>90</v>
      </c>
      <c r="G136" s="37">
        <f>2222.22/1.2</f>
        <v>1851.85</v>
      </c>
      <c r="H136" s="38">
        <f t="shared" si="20"/>
        <v>2037.0350000000001</v>
      </c>
      <c r="I136" s="32" t="s">
        <v>189</v>
      </c>
      <c r="J136" s="37">
        <f>2269.73/1.2</f>
        <v>1891.4416666666668</v>
      </c>
      <c r="K136" s="38">
        <f t="shared" si="11"/>
        <v>2080.5858333333335</v>
      </c>
      <c r="L136" s="32" t="s">
        <v>149</v>
      </c>
      <c r="M136" s="37">
        <f>2294.14/1.2</f>
        <v>1911.7833333333333</v>
      </c>
      <c r="N136" s="38">
        <f t="shared" si="12"/>
        <v>2102.9616666666666</v>
      </c>
      <c r="O136" s="39">
        <f t="shared" si="13"/>
        <v>1885.0250000000003</v>
      </c>
      <c r="P136" s="40">
        <f t="shared" si="14"/>
        <v>-0.35675919417515445</v>
      </c>
      <c r="Q136" s="39">
        <f t="shared" si="15"/>
        <v>2066.13</v>
      </c>
      <c r="R136" s="52"/>
      <c r="T136" s="42">
        <f t="shared" si="16"/>
        <v>-2</v>
      </c>
      <c r="U136" s="42">
        <f t="shared" si="17"/>
        <v>0</v>
      </c>
      <c r="V136" s="42">
        <f t="shared" si="18"/>
        <v>1</v>
      </c>
    </row>
    <row r="137" spans="1:22" s="28" customFormat="1" ht="73.5" customHeight="1" x14ac:dyDescent="0.2">
      <c r="A137" s="30">
        <v>126</v>
      </c>
      <c r="B137" s="31" t="s">
        <v>197</v>
      </c>
      <c r="C137" s="32" t="s">
        <v>45</v>
      </c>
      <c r="D137" s="33">
        <v>450</v>
      </c>
      <c r="E137" s="35">
        <v>452.31</v>
      </c>
      <c r="F137" s="32" t="s">
        <v>198</v>
      </c>
      <c r="G137" s="37">
        <f>12465/1.2/25</f>
        <v>415.5</v>
      </c>
      <c r="H137" s="38">
        <f t="shared" si="20"/>
        <v>186975</v>
      </c>
      <c r="I137" s="32" t="s">
        <v>189</v>
      </c>
      <c r="J137" s="37">
        <f>526.16/1.2</f>
        <v>438.46666666666664</v>
      </c>
      <c r="K137" s="38">
        <f t="shared" si="11"/>
        <v>197310</v>
      </c>
      <c r="L137" s="38" t="s">
        <v>41</v>
      </c>
      <c r="M137" s="37">
        <v>509.48</v>
      </c>
      <c r="N137" s="38">
        <f t="shared" si="12"/>
        <v>229266</v>
      </c>
      <c r="O137" s="39">
        <f t="shared" si="13"/>
        <v>454.48222222222222</v>
      </c>
      <c r="P137" s="40">
        <f t="shared" si="14"/>
        <v>-0.47795537779255426</v>
      </c>
      <c r="Q137" s="39">
        <f t="shared" si="15"/>
        <v>203539.5</v>
      </c>
      <c r="R137" s="41"/>
      <c r="T137" s="42">
        <f t="shared" si="16"/>
        <v>-9</v>
      </c>
      <c r="U137" s="42">
        <f t="shared" si="17"/>
        <v>-4</v>
      </c>
      <c r="V137" s="42">
        <f t="shared" si="18"/>
        <v>12</v>
      </c>
    </row>
    <row r="138" spans="1:22" s="28" customFormat="1" ht="73.5" customHeight="1" x14ac:dyDescent="0.2">
      <c r="A138" s="30">
        <v>127</v>
      </c>
      <c r="B138" s="31" t="s">
        <v>199</v>
      </c>
      <c r="C138" s="32" t="s">
        <v>25</v>
      </c>
      <c r="D138" s="33">
        <v>2</v>
      </c>
      <c r="E138" s="35">
        <v>789.34</v>
      </c>
      <c r="F138" s="32" t="s">
        <v>27</v>
      </c>
      <c r="G138" s="37">
        <f>898.07/1.2</f>
        <v>748.39166666666677</v>
      </c>
      <c r="H138" s="38">
        <f t="shared" si="20"/>
        <v>1496.7833333333335</v>
      </c>
      <c r="I138" s="38" t="s">
        <v>28</v>
      </c>
      <c r="J138" s="37">
        <f>987.35/1.2</f>
        <v>822.79166666666674</v>
      </c>
      <c r="K138" s="38">
        <f t="shared" si="11"/>
        <v>1645.5833333333335</v>
      </c>
      <c r="L138" s="32" t="s">
        <v>29</v>
      </c>
      <c r="M138" s="37">
        <v>801.16</v>
      </c>
      <c r="N138" s="38">
        <f t="shared" si="12"/>
        <v>1602.32</v>
      </c>
      <c r="O138" s="39">
        <f t="shared" si="13"/>
        <v>790.78111111111104</v>
      </c>
      <c r="P138" s="40">
        <f t="shared" si="14"/>
        <v>-0.18223893955764936</v>
      </c>
      <c r="Q138" s="39">
        <f t="shared" si="15"/>
        <v>1578.68</v>
      </c>
      <c r="R138" s="41"/>
      <c r="T138" s="42">
        <f t="shared" si="16"/>
        <v>-5</v>
      </c>
      <c r="U138" s="42">
        <f t="shared" si="17"/>
        <v>4</v>
      </c>
      <c r="V138" s="42">
        <f t="shared" si="18"/>
        <v>1</v>
      </c>
    </row>
    <row r="139" spans="1:22" s="28" customFormat="1" ht="73.5" customHeight="1" x14ac:dyDescent="0.2">
      <c r="A139" s="30">
        <v>128</v>
      </c>
      <c r="B139" s="31" t="s">
        <v>200</v>
      </c>
      <c r="C139" s="32" t="s">
        <v>25</v>
      </c>
      <c r="D139" s="33">
        <v>36</v>
      </c>
      <c r="E139" s="35">
        <v>329.75</v>
      </c>
      <c r="F139" s="32" t="s">
        <v>27</v>
      </c>
      <c r="G139" s="37">
        <f>356.62/1.2</f>
        <v>297.18333333333334</v>
      </c>
      <c r="H139" s="38">
        <f t="shared" si="20"/>
        <v>10698.6</v>
      </c>
      <c r="I139" s="38" t="s">
        <v>28</v>
      </c>
      <c r="J139" s="37">
        <f>442.12/1.2</f>
        <v>368.43333333333334</v>
      </c>
      <c r="K139" s="38">
        <f t="shared" si="11"/>
        <v>13263.6</v>
      </c>
      <c r="L139" s="32" t="s">
        <v>29</v>
      </c>
      <c r="M139" s="37">
        <v>335.45</v>
      </c>
      <c r="N139" s="38">
        <f t="shared" si="12"/>
        <v>12076.199999999999</v>
      </c>
      <c r="O139" s="39">
        <f t="shared" si="13"/>
        <v>333.68888888888887</v>
      </c>
      <c r="P139" s="40">
        <f t="shared" si="14"/>
        <v>-1.1804075652637067</v>
      </c>
      <c r="Q139" s="39">
        <f t="shared" si="15"/>
        <v>11871</v>
      </c>
      <c r="R139" s="41"/>
      <c r="T139" s="42">
        <f t="shared" si="16"/>
        <v>-11</v>
      </c>
      <c r="U139" s="42">
        <f t="shared" si="17"/>
        <v>10</v>
      </c>
      <c r="V139" s="42">
        <f t="shared" si="18"/>
        <v>1</v>
      </c>
    </row>
    <row r="140" spans="1:22" s="28" customFormat="1" ht="99.75" customHeight="1" x14ac:dyDescent="0.2">
      <c r="A140" s="30">
        <v>129</v>
      </c>
      <c r="B140" s="31" t="s">
        <v>201</v>
      </c>
      <c r="C140" s="32" t="s">
        <v>45</v>
      </c>
      <c r="D140" s="33">
        <v>140</v>
      </c>
      <c r="E140" s="35">
        <v>429.98</v>
      </c>
      <c r="F140" s="32" t="s">
        <v>202</v>
      </c>
      <c r="G140" s="37">
        <f>10220/25</f>
        <v>408.8</v>
      </c>
      <c r="H140" s="38">
        <f t="shared" si="20"/>
        <v>57232</v>
      </c>
      <c r="I140" s="32" t="s">
        <v>46</v>
      </c>
      <c r="J140" s="37">
        <v>456.73</v>
      </c>
      <c r="K140" s="38">
        <f t="shared" ref="K140:K203" si="21">D140*J140</f>
        <v>63942.200000000004</v>
      </c>
      <c r="L140" s="32" t="s">
        <v>57</v>
      </c>
      <c r="M140" s="37">
        <v>428.41</v>
      </c>
      <c r="N140" s="38">
        <f t="shared" ref="N140:N203" si="22">D140*M140</f>
        <v>59977.4</v>
      </c>
      <c r="O140" s="39">
        <f t="shared" ref="O140:O203" si="23">AVERAGE(G140,J140,M140)</f>
        <v>431.31333333333333</v>
      </c>
      <c r="P140" s="40">
        <f t="shared" ref="P140:P203" si="24">E140*100/O140-100</f>
        <v>-0.30913334466822562</v>
      </c>
      <c r="Q140" s="39">
        <f t="shared" ref="Q140:Q203" si="25">D140*E140</f>
        <v>60197.200000000004</v>
      </c>
      <c r="R140" s="41"/>
      <c r="T140" s="42">
        <f t="shared" ref="T140:T203" si="26">ROUND(G140*100/O140-100,0)</f>
        <v>-5</v>
      </c>
      <c r="U140" s="42">
        <f t="shared" ref="U140:U203" si="27">ROUND(J140*100/O140-100,0)</f>
        <v>6</v>
      </c>
      <c r="V140" s="42">
        <f t="shared" ref="V140:V203" si="28">ROUND(M140*100/O140-100,0)</f>
        <v>-1</v>
      </c>
    </row>
    <row r="141" spans="1:22" s="28" customFormat="1" ht="95.25" customHeight="1" x14ac:dyDescent="0.2">
      <c r="A141" s="30">
        <v>130</v>
      </c>
      <c r="B141" s="31" t="s">
        <v>203</v>
      </c>
      <c r="C141" s="32" t="s">
        <v>45</v>
      </c>
      <c r="D141" s="33">
        <v>12</v>
      </c>
      <c r="E141" s="35">
        <v>905.66</v>
      </c>
      <c r="F141" s="32" t="s">
        <v>202</v>
      </c>
      <c r="G141" s="37">
        <f>21931.67/25</f>
        <v>877.26679999999988</v>
      </c>
      <c r="H141" s="38">
        <f t="shared" si="20"/>
        <v>10527.201599999999</v>
      </c>
      <c r="I141" s="32" t="s">
        <v>46</v>
      </c>
      <c r="J141" s="37">
        <v>954.02</v>
      </c>
      <c r="K141" s="38">
        <f t="shared" si="21"/>
        <v>11448.24</v>
      </c>
      <c r="L141" s="32" t="s">
        <v>57</v>
      </c>
      <c r="M141" s="37">
        <v>893.4</v>
      </c>
      <c r="N141" s="38">
        <f t="shared" si="22"/>
        <v>10720.8</v>
      </c>
      <c r="O141" s="39">
        <f t="shared" si="23"/>
        <v>908.22893333333332</v>
      </c>
      <c r="P141" s="40">
        <f t="shared" si="24"/>
        <v>-0.28285085830782464</v>
      </c>
      <c r="Q141" s="39">
        <f t="shared" si="25"/>
        <v>10867.92</v>
      </c>
      <c r="R141" s="41"/>
      <c r="T141" s="42">
        <f t="shared" si="26"/>
        <v>-3</v>
      </c>
      <c r="U141" s="42">
        <f t="shared" si="27"/>
        <v>5</v>
      </c>
      <c r="V141" s="42">
        <f t="shared" si="28"/>
        <v>-2</v>
      </c>
    </row>
    <row r="142" spans="1:22" s="28" customFormat="1" ht="73.5" customHeight="1" x14ac:dyDescent="0.2">
      <c r="A142" s="30">
        <v>131</v>
      </c>
      <c r="B142" s="31" t="s">
        <v>204</v>
      </c>
      <c r="C142" s="32" t="s">
        <v>25</v>
      </c>
      <c r="D142" s="33">
        <v>12</v>
      </c>
      <c r="E142" s="35">
        <v>653.71</v>
      </c>
      <c r="F142" s="32" t="s">
        <v>27</v>
      </c>
      <c r="G142" s="37">
        <f>723.24/1.2</f>
        <v>602.70000000000005</v>
      </c>
      <c r="H142" s="38">
        <f t="shared" si="20"/>
        <v>7232.4000000000005</v>
      </c>
      <c r="I142" s="38" t="s">
        <v>28</v>
      </c>
      <c r="J142" s="37">
        <f>857.27/1.2</f>
        <v>714.39166666666665</v>
      </c>
      <c r="K142" s="38">
        <f t="shared" si="21"/>
        <v>8572.7000000000007</v>
      </c>
      <c r="L142" s="32" t="s">
        <v>29</v>
      </c>
      <c r="M142" s="37">
        <v>652.02</v>
      </c>
      <c r="N142" s="38">
        <f t="shared" si="22"/>
        <v>7824.24</v>
      </c>
      <c r="O142" s="39">
        <f t="shared" si="23"/>
        <v>656.3705555555556</v>
      </c>
      <c r="P142" s="40">
        <f t="shared" si="24"/>
        <v>-0.4053435263109435</v>
      </c>
      <c r="Q142" s="39">
        <f t="shared" si="25"/>
        <v>7844.52</v>
      </c>
      <c r="R142" s="41"/>
      <c r="T142" s="42">
        <f t="shared" si="26"/>
        <v>-8</v>
      </c>
      <c r="U142" s="42">
        <f t="shared" si="27"/>
        <v>9</v>
      </c>
      <c r="V142" s="42">
        <f t="shared" si="28"/>
        <v>-1</v>
      </c>
    </row>
    <row r="143" spans="1:22" s="28" customFormat="1" ht="73.5" customHeight="1" x14ac:dyDescent="0.2">
      <c r="A143" s="30">
        <v>132</v>
      </c>
      <c r="B143" s="31" t="s">
        <v>205</v>
      </c>
      <c r="C143" s="32" t="s">
        <v>25</v>
      </c>
      <c r="D143" s="33">
        <v>35</v>
      </c>
      <c r="E143" s="35">
        <v>113.54</v>
      </c>
      <c r="F143" s="32" t="s">
        <v>27</v>
      </c>
      <c r="G143" s="37">
        <f>118.77/1.2</f>
        <v>98.974999999999994</v>
      </c>
      <c r="H143" s="38">
        <f t="shared" si="20"/>
        <v>3464.125</v>
      </c>
      <c r="I143" s="38" t="s">
        <v>28</v>
      </c>
      <c r="J143" s="37">
        <f>135.22/1.2</f>
        <v>112.68333333333334</v>
      </c>
      <c r="K143" s="38">
        <f t="shared" si="21"/>
        <v>3943.916666666667</v>
      </c>
      <c r="L143" s="32" t="s">
        <v>29</v>
      </c>
      <c r="M143" s="37">
        <v>135.37</v>
      </c>
      <c r="N143" s="38">
        <f t="shared" si="22"/>
        <v>4737.95</v>
      </c>
      <c r="O143" s="39">
        <f t="shared" si="23"/>
        <v>115.6761111111111</v>
      </c>
      <c r="P143" s="40">
        <f t="shared" si="24"/>
        <v>-1.846631158839088</v>
      </c>
      <c r="Q143" s="39">
        <f t="shared" si="25"/>
        <v>3973.9</v>
      </c>
      <c r="R143" s="41"/>
      <c r="T143" s="42">
        <f t="shared" si="26"/>
        <v>-14</v>
      </c>
      <c r="U143" s="42">
        <f t="shared" si="27"/>
        <v>-3</v>
      </c>
      <c r="V143" s="42">
        <f t="shared" si="28"/>
        <v>17</v>
      </c>
    </row>
    <row r="144" spans="1:22" s="28" customFormat="1" ht="73.5" customHeight="1" x14ac:dyDescent="0.2">
      <c r="A144" s="30">
        <v>133</v>
      </c>
      <c r="B144" s="31" t="s">
        <v>206</v>
      </c>
      <c r="C144" s="32" t="s">
        <v>25</v>
      </c>
      <c r="D144" s="33">
        <v>20</v>
      </c>
      <c r="E144" s="35">
        <v>242.64</v>
      </c>
      <c r="F144" s="32" t="s">
        <v>27</v>
      </c>
      <c r="G144" s="37">
        <f>283.32/1.2</f>
        <v>236.1</v>
      </c>
      <c r="H144" s="38">
        <f t="shared" si="20"/>
        <v>4722</v>
      </c>
      <c r="I144" s="38" t="s">
        <v>28</v>
      </c>
      <c r="J144" s="37">
        <f>320.12/1.2</f>
        <v>266.76666666666671</v>
      </c>
      <c r="K144" s="38">
        <f t="shared" si="21"/>
        <v>5335.3333333333339</v>
      </c>
      <c r="L144" s="32" t="s">
        <v>29</v>
      </c>
      <c r="M144" s="37">
        <v>231.89</v>
      </c>
      <c r="N144" s="38">
        <f t="shared" si="22"/>
        <v>4637.7999999999993</v>
      </c>
      <c r="O144" s="39">
        <f t="shared" si="23"/>
        <v>244.91888888888889</v>
      </c>
      <c r="P144" s="40">
        <f t="shared" si="24"/>
        <v>-0.93046677584868576</v>
      </c>
      <c r="Q144" s="39">
        <f t="shared" si="25"/>
        <v>4852.7999999999993</v>
      </c>
      <c r="R144" s="41"/>
      <c r="T144" s="42">
        <f t="shared" si="26"/>
        <v>-4</v>
      </c>
      <c r="U144" s="42">
        <f t="shared" si="27"/>
        <v>9</v>
      </c>
      <c r="V144" s="42">
        <f t="shared" si="28"/>
        <v>-5</v>
      </c>
    </row>
    <row r="145" spans="1:22" s="28" customFormat="1" ht="73.5" customHeight="1" x14ac:dyDescent="0.2">
      <c r="A145" s="30">
        <v>134</v>
      </c>
      <c r="B145" s="31" t="s">
        <v>207</v>
      </c>
      <c r="C145" s="32" t="s">
        <v>25</v>
      </c>
      <c r="D145" s="33">
        <v>356</v>
      </c>
      <c r="E145" s="35">
        <v>228.33</v>
      </c>
      <c r="F145" s="32" t="s">
        <v>27</v>
      </c>
      <c r="G145" s="37">
        <f>219.61/1.2</f>
        <v>183.00833333333335</v>
      </c>
      <c r="H145" s="38">
        <f t="shared" si="20"/>
        <v>65150.966666666674</v>
      </c>
      <c r="I145" s="38" t="s">
        <v>28</v>
      </c>
      <c r="J145" s="37">
        <f>287.78/1.2</f>
        <v>239.81666666666666</v>
      </c>
      <c r="K145" s="38">
        <f t="shared" si="21"/>
        <v>85374.733333333337</v>
      </c>
      <c r="L145" s="32" t="s">
        <v>29</v>
      </c>
      <c r="M145" s="37">
        <v>266.51</v>
      </c>
      <c r="N145" s="38">
        <f t="shared" si="22"/>
        <v>94877.56</v>
      </c>
      <c r="O145" s="39">
        <f t="shared" si="23"/>
        <v>229.77833333333334</v>
      </c>
      <c r="P145" s="40">
        <f t="shared" si="24"/>
        <v>-0.63031762495738519</v>
      </c>
      <c r="Q145" s="39">
        <f t="shared" si="25"/>
        <v>81285.48000000001</v>
      </c>
      <c r="R145" s="41"/>
      <c r="T145" s="42">
        <f t="shared" si="26"/>
        <v>-20</v>
      </c>
      <c r="U145" s="42">
        <f t="shared" si="27"/>
        <v>4</v>
      </c>
      <c r="V145" s="42">
        <f t="shared" si="28"/>
        <v>16</v>
      </c>
    </row>
    <row r="146" spans="1:22" s="28" customFormat="1" ht="73.5" customHeight="1" x14ac:dyDescent="0.2">
      <c r="A146" s="30">
        <v>135</v>
      </c>
      <c r="B146" s="31" t="s">
        <v>208</v>
      </c>
      <c r="C146" s="32" t="s">
        <v>25</v>
      </c>
      <c r="D146" s="33" t="s">
        <v>209</v>
      </c>
      <c r="E146" s="35">
        <v>233.64</v>
      </c>
      <c r="F146" s="32" t="s">
        <v>27</v>
      </c>
      <c r="G146" s="37">
        <f>276.58/1.2</f>
        <v>230.48333333333332</v>
      </c>
      <c r="H146" s="38">
        <f t="shared" si="20"/>
        <v>61769.533333333333</v>
      </c>
      <c r="I146" s="38" t="s">
        <v>28</v>
      </c>
      <c r="J146" s="37">
        <f>267.66/1.2</f>
        <v>223.05000000000004</v>
      </c>
      <c r="K146" s="38">
        <f t="shared" si="21"/>
        <v>59777.400000000009</v>
      </c>
      <c r="L146" s="32" t="s">
        <v>29</v>
      </c>
      <c r="M146" s="37">
        <v>248.97</v>
      </c>
      <c r="N146" s="38">
        <f t="shared" si="22"/>
        <v>66723.960000000006</v>
      </c>
      <c r="O146" s="39">
        <f t="shared" si="23"/>
        <v>234.16777777777779</v>
      </c>
      <c r="P146" s="40">
        <f t="shared" si="24"/>
        <v>-0.22538445843673571</v>
      </c>
      <c r="Q146" s="39">
        <f t="shared" si="25"/>
        <v>62615.519999999997</v>
      </c>
      <c r="R146" s="41"/>
      <c r="T146" s="42">
        <f t="shared" si="26"/>
        <v>-2</v>
      </c>
      <c r="U146" s="42">
        <f t="shared" si="27"/>
        <v>-5</v>
      </c>
      <c r="V146" s="42">
        <f t="shared" si="28"/>
        <v>6</v>
      </c>
    </row>
    <row r="147" spans="1:22" s="28" customFormat="1" ht="73.5" customHeight="1" x14ac:dyDescent="0.2">
      <c r="A147" s="30">
        <v>136</v>
      </c>
      <c r="B147" s="31" t="s">
        <v>210</v>
      </c>
      <c r="C147" s="32" t="s">
        <v>25</v>
      </c>
      <c r="D147" s="33">
        <v>200</v>
      </c>
      <c r="E147" s="35">
        <v>325.77999999999997</v>
      </c>
      <c r="F147" s="32" t="s">
        <v>27</v>
      </c>
      <c r="G147" s="37">
        <f>364.29/1.2</f>
        <v>303.57500000000005</v>
      </c>
      <c r="H147" s="38">
        <f t="shared" si="20"/>
        <v>60715.000000000007</v>
      </c>
      <c r="I147" s="38" t="s">
        <v>28</v>
      </c>
      <c r="J147" s="37">
        <f>361.37/1.2</f>
        <v>301.14166666666671</v>
      </c>
      <c r="K147" s="38">
        <f t="shared" si="21"/>
        <v>60228.333333333343</v>
      </c>
      <c r="L147" s="32" t="s">
        <v>29</v>
      </c>
      <c r="M147" s="37">
        <v>374.02</v>
      </c>
      <c r="N147" s="38">
        <f t="shared" si="22"/>
        <v>74804</v>
      </c>
      <c r="O147" s="39">
        <f t="shared" si="23"/>
        <v>326.24555555555554</v>
      </c>
      <c r="P147" s="40">
        <f t="shared" si="24"/>
        <v>-0.14270096484925432</v>
      </c>
      <c r="Q147" s="39">
        <f t="shared" si="25"/>
        <v>65155.999999999993</v>
      </c>
      <c r="R147" s="41"/>
      <c r="T147" s="42">
        <f t="shared" si="26"/>
        <v>-7</v>
      </c>
      <c r="U147" s="42">
        <f t="shared" si="27"/>
        <v>-8</v>
      </c>
      <c r="V147" s="42">
        <f t="shared" si="28"/>
        <v>15</v>
      </c>
    </row>
    <row r="148" spans="1:22" s="28" customFormat="1" ht="73.5" customHeight="1" x14ac:dyDescent="0.2">
      <c r="A148" s="30">
        <v>137</v>
      </c>
      <c r="B148" s="31" t="s">
        <v>211</v>
      </c>
      <c r="C148" s="32" t="s">
        <v>25</v>
      </c>
      <c r="D148" s="33">
        <v>40</v>
      </c>
      <c r="E148" s="35">
        <v>1233.75</v>
      </c>
      <c r="F148" s="32" t="s">
        <v>27</v>
      </c>
      <c r="G148" s="37">
        <f>1201.84/1.2</f>
        <v>1001.5333333333333</v>
      </c>
      <c r="H148" s="38">
        <f t="shared" si="20"/>
        <v>40061.333333333328</v>
      </c>
      <c r="I148" s="38" t="s">
        <v>28</v>
      </c>
      <c r="J148" s="37">
        <f>1674.32/1.2</f>
        <v>1395.2666666666667</v>
      </c>
      <c r="K148" s="38">
        <f t="shared" si="21"/>
        <v>55810.666666666664</v>
      </c>
      <c r="L148" s="32" t="s">
        <v>29</v>
      </c>
      <c r="M148" s="37">
        <v>1306.33</v>
      </c>
      <c r="N148" s="38">
        <f t="shared" si="22"/>
        <v>52253.2</v>
      </c>
      <c r="O148" s="39">
        <f t="shared" si="23"/>
        <v>1234.3766666666668</v>
      </c>
      <c r="P148" s="40">
        <f t="shared" si="24"/>
        <v>-5.0767863942127178E-2</v>
      </c>
      <c r="Q148" s="39">
        <f t="shared" si="25"/>
        <v>49350</v>
      </c>
      <c r="R148" s="41"/>
      <c r="T148" s="42">
        <f t="shared" si="26"/>
        <v>-19</v>
      </c>
      <c r="U148" s="42">
        <f t="shared" si="27"/>
        <v>13</v>
      </c>
      <c r="V148" s="42">
        <f t="shared" si="28"/>
        <v>6</v>
      </c>
    </row>
    <row r="149" spans="1:22" s="28" customFormat="1" ht="73.5" customHeight="1" x14ac:dyDescent="0.2">
      <c r="A149" s="30">
        <v>138</v>
      </c>
      <c r="B149" s="31" t="s">
        <v>212</v>
      </c>
      <c r="C149" s="32" t="s">
        <v>25</v>
      </c>
      <c r="D149" s="33">
        <v>30</v>
      </c>
      <c r="E149" s="35">
        <v>1098.76</v>
      </c>
      <c r="F149" s="32" t="s">
        <v>27</v>
      </c>
      <c r="G149" s="37">
        <f>1199.31/1.2</f>
        <v>999.42499999999995</v>
      </c>
      <c r="H149" s="38">
        <f t="shared" si="20"/>
        <v>29982.75</v>
      </c>
      <c r="I149" s="38" t="s">
        <v>28</v>
      </c>
      <c r="J149" s="37">
        <f>1269.16/1.2</f>
        <v>1057.6333333333334</v>
      </c>
      <c r="K149" s="38">
        <f t="shared" si="21"/>
        <v>31729.000000000004</v>
      </c>
      <c r="L149" s="32" t="s">
        <v>29</v>
      </c>
      <c r="M149" s="37">
        <v>1244.25</v>
      </c>
      <c r="N149" s="38">
        <f t="shared" si="22"/>
        <v>37327.5</v>
      </c>
      <c r="O149" s="39">
        <f t="shared" si="23"/>
        <v>1100.4361111111111</v>
      </c>
      <c r="P149" s="40">
        <f t="shared" si="24"/>
        <v>-0.15231335051507244</v>
      </c>
      <c r="Q149" s="39">
        <f t="shared" si="25"/>
        <v>32962.800000000003</v>
      </c>
      <c r="R149" s="41"/>
      <c r="T149" s="42">
        <f t="shared" si="26"/>
        <v>-9</v>
      </c>
      <c r="U149" s="42">
        <f t="shared" si="27"/>
        <v>-4</v>
      </c>
      <c r="V149" s="42">
        <f t="shared" si="28"/>
        <v>13</v>
      </c>
    </row>
    <row r="150" spans="1:22" s="28" customFormat="1" ht="73.5" customHeight="1" x14ac:dyDescent="0.2">
      <c r="A150" s="30">
        <v>139</v>
      </c>
      <c r="B150" s="31" t="s">
        <v>213</v>
      </c>
      <c r="C150" s="32" t="s">
        <v>25</v>
      </c>
      <c r="D150" s="33">
        <v>118</v>
      </c>
      <c r="E150" s="35">
        <v>951.47</v>
      </c>
      <c r="F150" s="32" t="s">
        <v>27</v>
      </c>
      <c r="G150" s="37">
        <f>1115.69/1.2</f>
        <v>929.74166666666679</v>
      </c>
      <c r="H150" s="38">
        <f t="shared" si="20"/>
        <v>109709.51666666668</v>
      </c>
      <c r="I150" s="38" t="s">
        <v>28</v>
      </c>
      <c r="J150" s="37">
        <f>1208.38/1.2</f>
        <v>1006.9833333333335</v>
      </c>
      <c r="K150" s="38">
        <f t="shared" si="21"/>
        <v>118824.03333333335</v>
      </c>
      <c r="L150" s="32" t="s">
        <v>29</v>
      </c>
      <c r="M150" s="37">
        <v>921.17</v>
      </c>
      <c r="N150" s="38">
        <f t="shared" si="22"/>
        <v>108698.06</v>
      </c>
      <c r="O150" s="39">
        <f t="shared" si="23"/>
        <v>952.63166666666677</v>
      </c>
      <c r="P150" s="40">
        <f t="shared" si="24"/>
        <v>-0.12194289853196949</v>
      </c>
      <c r="Q150" s="39">
        <f t="shared" si="25"/>
        <v>112273.46</v>
      </c>
      <c r="R150" s="41"/>
      <c r="T150" s="42">
        <f t="shared" si="26"/>
        <v>-2</v>
      </c>
      <c r="U150" s="42">
        <f t="shared" si="27"/>
        <v>6</v>
      </c>
      <c r="V150" s="42">
        <f t="shared" si="28"/>
        <v>-3</v>
      </c>
    </row>
    <row r="151" spans="1:22" s="28" customFormat="1" ht="73.5" customHeight="1" x14ac:dyDescent="0.2">
      <c r="A151" s="30">
        <v>140</v>
      </c>
      <c r="B151" s="31" t="s">
        <v>214</v>
      </c>
      <c r="C151" s="32" t="s">
        <v>25</v>
      </c>
      <c r="D151" s="33">
        <v>425</v>
      </c>
      <c r="E151" s="35">
        <v>1254.32</v>
      </c>
      <c r="F151" s="32" t="s">
        <v>27</v>
      </c>
      <c r="G151" s="37">
        <f>1382.75/1.2</f>
        <v>1152.2916666666667</v>
      </c>
      <c r="H151" s="38">
        <f t="shared" si="20"/>
        <v>489723.95833333337</v>
      </c>
      <c r="I151" s="38" t="s">
        <v>28</v>
      </c>
      <c r="J151" s="37">
        <f>1595.17/1.2</f>
        <v>1329.3083333333334</v>
      </c>
      <c r="K151" s="38">
        <f t="shared" si="21"/>
        <v>564956.04166666674</v>
      </c>
      <c r="L151" s="32" t="s">
        <v>29</v>
      </c>
      <c r="M151" s="37">
        <v>1288.6300000000001</v>
      </c>
      <c r="N151" s="38">
        <f t="shared" si="22"/>
        <v>547667.75</v>
      </c>
      <c r="O151" s="39">
        <f t="shared" si="23"/>
        <v>1256.7433333333336</v>
      </c>
      <c r="P151" s="40">
        <f t="shared" si="24"/>
        <v>-0.19282643233968599</v>
      </c>
      <c r="Q151" s="39">
        <f t="shared" si="25"/>
        <v>533086</v>
      </c>
      <c r="R151" s="41"/>
      <c r="T151" s="42">
        <f t="shared" si="26"/>
        <v>-8</v>
      </c>
      <c r="U151" s="42">
        <f t="shared" si="27"/>
        <v>6</v>
      </c>
      <c r="V151" s="42">
        <f t="shared" si="28"/>
        <v>3</v>
      </c>
    </row>
    <row r="152" spans="1:22" s="28" customFormat="1" ht="73.5" customHeight="1" x14ac:dyDescent="0.2">
      <c r="A152" s="30">
        <v>141</v>
      </c>
      <c r="B152" s="31" t="s">
        <v>215</v>
      </c>
      <c r="C152" s="32" t="s">
        <v>25</v>
      </c>
      <c r="D152" s="33">
        <v>20</v>
      </c>
      <c r="E152" s="35">
        <v>1529.66</v>
      </c>
      <c r="F152" s="32" t="s">
        <v>27</v>
      </c>
      <c r="G152" s="37">
        <f>1801.3/1.2</f>
        <v>1501.0833333333333</v>
      </c>
      <c r="H152" s="38">
        <f t="shared" si="20"/>
        <v>30021.666666666664</v>
      </c>
      <c r="I152" s="38" t="s">
        <v>28</v>
      </c>
      <c r="J152" s="37">
        <f>1933.26/1.2</f>
        <v>1611.05</v>
      </c>
      <c r="K152" s="38">
        <f t="shared" si="21"/>
        <v>32221</v>
      </c>
      <c r="L152" s="32" t="s">
        <v>29</v>
      </c>
      <c r="M152" s="37">
        <v>1482.09</v>
      </c>
      <c r="N152" s="38">
        <f t="shared" si="22"/>
        <v>29641.8</v>
      </c>
      <c r="O152" s="39">
        <f t="shared" si="23"/>
        <v>1531.4077777777777</v>
      </c>
      <c r="P152" s="40">
        <f t="shared" si="24"/>
        <v>-0.11412882990015305</v>
      </c>
      <c r="Q152" s="39">
        <f t="shared" si="25"/>
        <v>30593.200000000001</v>
      </c>
      <c r="R152" s="41"/>
      <c r="T152" s="42">
        <f t="shared" si="26"/>
        <v>-2</v>
      </c>
      <c r="U152" s="42">
        <f t="shared" si="27"/>
        <v>5</v>
      </c>
      <c r="V152" s="42">
        <f t="shared" si="28"/>
        <v>-3</v>
      </c>
    </row>
    <row r="153" spans="1:22" s="28" customFormat="1" ht="73.5" customHeight="1" x14ac:dyDescent="0.2">
      <c r="A153" s="30">
        <v>142</v>
      </c>
      <c r="B153" s="31" t="s">
        <v>216</v>
      </c>
      <c r="C153" s="32" t="s">
        <v>25</v>
      </c>
      <c r="D153" s="33">
        <v>250</v>
      </c>
      <c r="E153" s="35">
        <v>469.64</v>
      </c>
      <c r="F153" s="32" t="s">
        <v>27</v>
      </c>
      <c r="G153" s="37">
        <f>508.15/1.2</f>
        <v>423.45833333333331</v>
      </c>
      <c r="H153" s="38">
        <f t="shared" si="20"/>
        <v>105864.58333333333</v>
      </c>
      <c r="I153" s="38" t="s">
        <v>28</v>
      </c>
      <c r="J153" s="37">
        <f>585.8/1.2</f>
        <v>488.16666666666663</v>
      </c>
      <c r="K153" s="38">
        <f t="shared" si="21"/>
        <v>122041.66666666666</v>
      </c>
      <c r="L153" s="32" t="s">
        <v>29</v>
      </c>
      <c r="M153" s="37">
        <v>501.33</v>
      </c>
      <c r="N153" s="38">
        <f t="shared" si="22"/>
        <v>125332.5</v>
      </c>
      <c r="O153" s="39">
        <f t="shared" si="23"/>
        <v>470.98499999999996</v>
      </c>
      <c r="P153" s="40">
        <f t="shared" si="24"/>
        <v>-0.28557172733738412</v>
      </c>
      <c r="Q153" s="39">
        <f t="shared" si="25"/>
        <v>117410</v>
      </c>
      <c r="R153" s="41"/>
      <c r="T153" s="42">
        <f t="shared" si="26"/>
        <v>-10</v>
      </c>
      <c r="U153" s="42">
        <f t="shared" si="27"/>
        <v>4</v>
      </c>
      <c r="V153" s="42">
        <f t="shared" si="28"/>
        <v>6</v>
      </c>
    </row>
    <row r="154" spans="1:22" s="28" customFormat="1" ht="73.5" customHeight="1" x14ac:dyDescent="0.2">
      <c r="A154" s="30">
        <v>143</v>
      </c>
      <c r="B154" s="31" t="s">
        <v>217</v>
      </c>
      <c r="C154" s="32" t="s">
        <v>25</v>
      </c>
      <c r="D154" s="33">
        <v>15</v>
      </c>
      <c r="E154" s="35">
        <v>1847.48</v>
      </c>
      <c r="F154" s="32" t="s">
        <v>27</v>
      </c>
      <c r="G154" s="37">
        <f>2200.3/1.2</f>
        <v>1833.5833333333335</v>
      </c>
      <c r="H154" s="38">
        <f t="shared" si="20"/>
        <v>27503.750000000004</v>
      </c>
      <c r="I154" s="38" t="s">
        <v>28</v>
      </c>
      <c r="J154" s="37">
        <f>2162.38/1.2</f>
        <v>1801.9833333333336</v>
      </c>
      <c r="K154" s="38">
        <f t="shared" si="21"/>
        <v>27029.750000000004</v>
      </c>
      <c r="L154" s="32" t="s">
        <v>29</v>
      </c>
      <c r="M154" s="37">
        <v>1912.41</v>
      </c>
      <c r="N154" s="38">
        <f t="shared" si="22"/>
        <v>28686.15</v>
      </c>
      <c r="O154" s="39">
        <f t="shared" si="23"/>
        <v>1849.3255555555559</v>
      </c>
      <c r="P154" s="40">
        <f t="shared" si="24"/>
        <v>-9.9796141896788981E-2</v>
      </c>
      <c r="Q154" s="39">
        <f t="shared" si="25"/>
        <v>27712.2</v>
      </c>
      <c r="R154" s="41"/>
      <c r="T154" s="42">
        <f t="shared" si="26"/>
        <v>-1</v>
      </c>
      <c r="U154" s="42">
        <f t="shared" si="27"/>
        <v>-3</v>
      </c>
      <c r="V154" s="42">
        <f t="shared" si="28"/>
        <v>3</v>
      </c>
    </row>
    <row r="155" spans="1:22" s="28" customFormat="1" ht="73.5" customHeight="1" x14ac:dyDescent="0.2">
      <c r="A155" s="30">
        <v>144</v>
      </c>
      <c r="B155" s="31" t="s">
        <v>218</v>
      </c>
      <c r="C155" s="32" t="s">
        <v>25</v>
      </c>
      <c r="D155" s="33">
        <v>14</v>
      </c>
      <c r="E155" s="35">
        <v>130.55000000000001</v>
      </c>
      <c r="F155" s="32" t="s">
        <v>27</v>
      </c>
      <c r="G155" s="37">
        <f>149.23/1.2</f>
        <v>124.35833333333333</v>
      </c>
      <c r="H155" s="38">
        <f t="shared" si="20"/>
        <v>1741.0166666666667</v>
      </c>
      <c r="I155" s="38" t="s">
        <v>28</v>
      </c>
      <c r="J155" s="37">
        <f>144.07/1.2</f>
        <v>120.05833333333334</v>
      </c>
      <c r="K155" s="38">
        <f t="shared" si="21"/>
        <v>1680.8166666666666</v>
      </c>
      <c r="L155" s="32" t="s">
        <v>29</v>
      </c>
      <c r="M155" s="37">
        <v>151.36000000000001</v>
      </c>
      <c r="N155" s="38">
        <f t="shared" si="22"/>
        <v>2119.04</v>
      </c>
      <c r="O155" s="39">
        <f t="shared" si="23"/>
        <v>131.92555555555558</v>
      </c>
      <c r="P155" s="40">
        <f t="shared" si="24"/>
        <v>-1.0426755830308423</v>
      </c>
      <c r="Q155" s="39">
        <f t="shared" si="25"/>
        <v>1827.7000000000003</v>
      </c>
      <c r="R155" s="41"/>
      <c r="T155" s="42">
        <f t="shared" si="26"/>
        <v>-6</v>
      </c>
      <c r="U155" s="42">
        <f t="shared" si="27"/>
        <v>-9</v>
      </c>
      <c r="V155" s="42">
        <f t="shared" si="28"/>
        <v>15</v>
      </c>
    </row>
    <row r="156" spans="1:22" s="28" customFormat="1" ht="73.5" customHeight="1" x14ac:dyDescent="0.2">
      <c r="A156" s="30">
        <v>145</v>
      </c>
      <c r="B156" s="31" t="s">
        <v>219</v>
      </c>
      <c r="C156" s="32" t="s">
        <v>25</v>
      </c>
      <c r="D156" s="33" t="s">
        <v>220</v>
      </c>
      <c r="E156" s="62">
        <v>275.68</v>
      </c>
      <c r="F156" s="32" t="s">
        <v>27</v>
      </c>
      <c r="G156" s="37">
        <f>326.58/1.2</f>
        <v>272.14999999999998</v>
      </c>
      <c r="H156" s="38">
        <f t="shared" si="20"/>
        <v>339643.19999999995</v>
      </c>
      <c r="I156" s="38" t="s">
        <v>28</v>
      </c>
      <c r="J156" s="37">
        <f>350.12/1.2</f>
        <v>291.76666666666671</v>
      </c>
      <c r="K156" s="38">
        <f t="shared" si="21"/>
        <v>364124.80000000005</v>
      </c>
      <c r="L156" s="32" t="s">
        <v>29</v>
      </c>
      <c r="M156" s="37">
        <v>265.08999999999997</v>
      </c>
      <c r="N156" s="38">
        <f t="shared" si="22"/>
        <v>330832.31999999995</v>
      </c>
      <c r="O156" s="39">
        <f t="shared" si="23"/>
        <v>276.33555555555557</v>
      </c>
      <c r="P156" s="40">
        <f t="shared" si="24"/>
        <v>-0.23723170702287177</v>
      </c>
      <c r="Q156" s="39">
        <f t="shared" si="25"/>
        <v>344048.64000000001</v>
      </c>
      <c r="R156" s="64" t="s">
        <v>478</v>
      </c>
      <c r="T156" s="42">
        <f t="shared" si="26"/>
        <v>-2</v>
      </c>
      <c r="U156" s="42">
        <f t="shared" si="27"/>
        <v>6</v>
      </c>
      <c r="V156" s="42">
        <f t="shared" si="28"/>
        <v>-4</v>
      </c>
    </row>
    <row r="157" spans="1:22" s="28" customFormat="1" ht="73.5" customHeight="1" x14ac:dyDescent="0.2">
      <c r="A157" s="30">
        <v>146</v>
      </c>
      <c r="B157" s="31" t="s">
        <v>221</v>
      </c>
      <c r="C157" s="32" t="s">
        <v>25</v>
      </c>
      <c r="D157" s="33">
        <v>20</v>
      </c>
      <c r="E157" s="35">
        <v>264.47000000000003</v>
      </c>
      <c r="F157" s="32" t="s">
        <v>27</v>
      </c>
      <c r="G157" s="37">
        <f>307.21/1.2</f>
        <v>256.00833333333333</v>
      </c>
      <c r="H157" s="38">
        <f t="shared" si="20"/>
        <v>5120.1666666666661</v>
      </c>
      <c r="I157" s="38" t="s">
        <v>28</v>
      </c>
      <c r="J157" s="37">
        <f>304.61/1.2</f>
        <v>253.8416666666667</v>
      </c>
      <c r="K157" s="38">
        <f t="shared" si="21"/>
        <v>5076.8333333333339</v>
      </c>
      <c r="L157" s="32" t="s">
        <v>29</v>
      </c>
      <c r="M157" s="37">
        <v>287.67</v>
      </c>
      <c r="N157" s="38">
        <f t="shared" si="22"/>
        <v>5753.4000000000005</v>
      </c>
      <c r="O157" s="39">
        <f t="shared" si="23"/>
        <v>265.83999999999997</v>
      </c>
      <c r="P157" s="40">
        <f t="shared" si="24"/>
        <v>-0.51534757749020343</v>
      </c>
      <c r="Q157" s="39">
        <f t="shared" si="25"/>
        <v>5289.4000000000005</v>
      </c>
      <c r="R157" s="41"/>
      <c r="T157" s="42">
        <f t="shared" si="26"/>
        <v>-4</v>
      </c>
      <c r="U157" s="42">
        <f t="shared" si="27"/>
        <v>-5</v>
      </c>
      <c r="V157" s="42">
        <f t="shared" si="28"/>
        <v>8</v>
      </c>
    </row>
    <row r="158" spans="1:22" s="28" customFormat="1" ht="73.5" customHeight="1" x14ac:dyDescent="0.2">
      <c r="A158" s="30">
        <v>147</v>
      </c>
      <c r="B158" s="31" t="s">
        <v>222</v>
      </c>
      <c r="C158" s="32" t="s">
        <v>25</v>
      </c>
      <c r="D158" s="33">
        <v>100</v>
      </c>
      <c r="E158" s="35">
        <v>398.01</v>
      </c>
      <c r="F158" s="32" t="s">
        <v>27</v>
      </c>
      <c r="G158" s="37">
        <f>463.67/1.2</f>
        <v>386.39166666666671</v>
      </c>
      <c r="H158" s="38">
        <f t="shared" si="20"/>
        <v>38639.166666666672</v>
      </c>
      <c r="I158" s="38" t="s">
        <v>28</v>
      </c>
      <c r="J158" s="37">
        <f>475.33/1.2</f>
        <v>396.10833333333335</v>
      </c>
      <c r="K158" s="38">
        <f t="shared" si="21"/>
        <v>39610.833333333336</v>
      </c>
      <c r="L158" s="32" t="s">
        <v>29</v>
      </c>
      <c r="M158" s="37">
        <v>412.28</v>
      </c>
      <c r="N158" s="38">
        <f t="shared" si="22"/>
        <v>41228</v>
      </c>
      <c r="O158" s="39">
        <f t="shared" si="23"/>
        <v>398.26</v>
      </c>
      <c r="P158" s="40">
        <f t="shared" si="24"/>
        <v>-6.2773062823282544E-2</v>
      </c>
      <c r="Q158" s="39">
        <f t="shared" si="25"/>
        <v>39801</v>
      </c>
      <c r="R158" s="41"/>
      <c r="T158" s="42">
        <f t="shared" si="26"/>
        <v>-3</v>
      </c>
      <c r="U158" s="42">
        <f t="shared" si="27"/>
        <v>-1</v>
      </c>
      <c r="V158" s="42">
        <f t="shared" si="28"/>
        <v>4</v>
      </c>
    </row>
    <row r="159" spans="1:22" s="28" customFormat="1" ht="73.5" customHeight="1" x14ac:dyDescent="0.2">
      <c r="A159" s="30">
        <v>148</v>
      </c>
      <c r="B159" s="31" t="s">
        <v>223</v>
      </c>
      <c r="C159" s="32" t="s">
        <v>25</v>
      </c>
      <c r="D159" s="33">
        <v>35</v>
      </c>
      <c r="E159" s="35">
        <v>560.24</v>
      </c>
      <c r="F159" s="32" t="s">
        <v>27</v>
      </c>
      <c r="G159" s="37">
        <f>628.4/1.2</f>
        <v>523.66666666666663</v>
      </c>
      <c r="H159" s="38">
        <f t="shared" si="20"/>
        <v>18328.333333333332</v>
      </c>
      <c r="I159" s="38" t="s">
        <v>28</v>
      </c>
      <c r="J159" s="37">
        <f>707.8/1.2</f>
        <v>589.83333333333337</v>
      </c>
      <c r="K159" s="38">
        <f t="shared" si="21"/>
        <v>20644.166666666668</v>
      </c>
      <c r="L159" s="32" t="s">
        <v>29</v>
      </c>
      <c r="M159" s="37">
        <v>574.41</v>
      </c>
      <c r="N159" s="38">
        <f t="shared" si="22"/>
        <v>20104.349999999999</v>
      </c>
      <c r="O159" s="39">
        <f t="shared" si="23"/>
        <v>562.63666666666666</v>
      </c>
      <c r="P159" s="40">
        <f t="shared" si="24"/>
        <v>-0.42597057900006519</v>
      </c>
      <c r="Q159" s="39">
        <f t="shared" si="25"/>
        <v>19608.400000000001</v>
      </c>
      <c r="R159" s="41"/>
      <c r="T159" s="42">
        <f t="shared" si="26"/>
        <v>-7</v>
      </c>
      <c r="U159" s="42">
        <f t="shared" si="27"/>
        <v>5</v>
      </c>
      <c r="V159" s="42">
        <f t="shared" si="28"/>
        <v>2</v>
      </c>
    </row>
    <row r="160" spans="1:22" s="28" customFormat="1" ht="73.5" customHeight="1" x14ac:dyDescent="0.2">
      <c r="A160" s="30">
        <v>149</v>
      </c>
      <c r="B160" s="31" t="s">
        <v>224</v>
      </c>
      <c r="C160" s="32" t="s">
        <v>25</v>
      </c>
      <c r="D160" s="33">
        <v>20</v>
      </c>
      <c r="E160" s="35">
        <v>662.34</v>
      </c>
      <c r="F160" s="32" t="s">
        <v>27</v>
      </c>
      <c r="G160" s="37">
        <f>786.17/1.2</f>
        <v>655.14166666666665</v>
      </c>
      <c r="H160" s="38">
        <f t="shared" si="20"/>
        <v>13102.833333333332</v>
      </c>
      <c r="I160" s="38" t="s">
        <v>28</v>
      </c>
      <c r="J160" s="37">
        <f>780.48/1.2</f>
        <v>650.40000000000009</v>
      </c>
      <c r="K160" s="38">
        <f t="shared" si="21"/>
        <v>13008.000000000002</v>
      </c>
      <c r="L160" s="32" t="s">
        <v>29</v>
      </c>
      <c r="M160" s="37">
        <v>688.63</v>
      </c>
      <c r="N160" s="38">
        <f t="shared" si="22"/>
        <v>13772.6</v>
      </c>
      <c r="O160" s="39">
        <f t="shared" si="23"/>
        <v>664.72388888888884</v>
      </c>
      <c r="P160" s="40">
        <f t="shared" si="24"/>
        <v>-0.35862843636830632</v>
      </c>
      <c r="Q160" s="39">
        <f t="shared" si="25"/>
        <v>13246.800000000001</v>
      </c>
      <c r="R160" s="41"/>
      <c r="T160" s="42">
        <f t="shared" si="26"/>
        <v>-1</v>
      </c>
      <c r="U160" s="42">
        <f t="shared" si="27"/>
        <v>-2</v>
      </c>
      <c r="V160" s="42">
        <f t="shared" si="28"/>
        <v>4</v>
      </c>
    </row>
    <row r="161" spans="1:22" s="28" customFormat="1" ht="73.5" customHeight="1" x14ac:dyDescent="0.2">
      <c r="A161" s="30">
        <v>150</v>
      </c>
      <c r="B161" s="31" t="s">
        <v>225</v>
      </c>
      <c r="C161" s="32" t="s">
        <v>25</v>
      </c>
      <c r="D161" s="33">
        <v>40</v>
      </c>
      <c r="E161" s="35">
        <v>244.58</v>
      </c>
      <c r="F161" s="32" t="s">
        <v>27</v>
      </c>
      <c r="G161" s="37">
        <f>242.87/1.2</f>
        <v>202.39166666666668</v>
      </c>
      <c r="H161" s="38">
        <f t="shared" si="20"/>
        <v>8095.666666666667</v>
      </c>
      <c r="I161" s="38" t="s">
        <v>28</v>
      </c>
      <c r="J161" s="37">
        <f>341.51/1.2</f>
        <v>284.5916666666667</v>
      </c>
      <c r="K161" s="38">
        <f t="shared" si="21"/>
        <v>11383.666666666668</v>
      </c>
      <c r="L161" s="32" t="s">
        <v>29</v>
      </c>
      <c r="M161" s="37">
        <v>251.07</v>
      </c>
      <c r="N161" s="38">
        <f t="shared" si="22"/>
        <v>10042.799999999999</v>
      </c>
      <c r="O161" s="39">
        <f t="shared" si="23"/>
        <v>246.01777777777775</v>
      </c>
      <c r="P161" s="40">
        <f t="shared" si="24"/>
        <v>-0.58442027676409225</v>
      </c>
      <c r="Q161" s="39">
        <f t="shared" si="25"/>
        <v>9783.2000000000007</v>
      </c>
      <c r="R161" s="41"/>
      <c r="T161" s="42">
        <f t="shared" si="26"/>
        <v>-18</v>
      </c>
      <c r="U161" s="42">
        <f t="shared" si="27"/>
        <v>16</v>
      </c>
      <c r="V161" s="42">
        <f t="shared" si="28"/>
        <v>2</v>
      </c>
    </row>
    <row r="162" spans="1:22" s="28" customFormat="1" ht="73.5" customHeight="1" x14ac:dyDescent="0.2">
      <c r="A162" s="30">
        <v>151</v>
      </c>
      <c r="B162" s="31" t="s">
        <v>226</v>
      </c>
      <c r="C162" s="32" t="s">
        <v>25</v>
      </c>
      <c r="D162" s="33">
        <v>25</v>
      </c>
      <c r="E162" s="35">
        <v>205.99</v>
      </c>
      <c r="F162" s="32" t="s">
        <v>27</v>
      </c>
      <c r="G162" s="37">
        <f>222.01/1.2</f>
        <v>185.00833333333333</v>
      </c>
      <c r="H162" s="38">
        <f t="shared" si="20"/>
        <v>4625.208333333333</v>
      </c>
      <c r="I162" s="38" t="s">
        <v>28</v>
      </c>
      <c r="J162" s="37">
        <f>280.49/1.2</f>
        <v>233.74166666666667</v>
      </c>
      <c r="K162" s="38">
        <f t="shared" si="21"/>
        <v>5843.541666666667</v>
      </c>
      <c r="L162" s="32" t="s">
        <v>29</v>
      </c>
      <c r="M162" s="37">
        <v>203.98</v>
      </c>
      <c r="N162" s="38">
        <f t="shared" si="22"/>
        <v>5099.5</v>
      </c>
      <c r="O162" s="39">
        <f t="shared" si="23"/>
        <v>207.57666666666668</v>
      </c>
      <c r="P162" s="40">
        <f t="shared" si="24"/>
        <v>-0.76437621441074555</v>
      </c>
      <c r="Q162" s="39">
        <f t="shared" si="25"/>
        <v>5149.75</v>
      </c>
      <c r="R162" s="41"/>
      <c r="T162" s="42">
        <f t="shared" si="26"/>
        <v>-11</v>
      </c>
      <c r="U162" s="42">
        <f t="shared" si="27"/>
        <v>13</v>
      </c>
      <c r="V162" s="42">
        <f t="shared" si="28"/>
        <v>-2</v>
      </c>
    </row>
    <row r="163" spans="1:22" s="28" customFormat="1" ht="73.5" customHeight="1" x14ac:dyDescent="0.2">
      <c r="A163" s="30">
        <v>152</v>
      </c>
      <c r="B163" s="31" t="s">
        <v>227</v>
      </c>
      <c r="C163" s="32" t="s">
        <v>25</v>
      </c>
      <c r="D163" s="33">
        <v>60</v>
      </c>
      <c r="E163" s="35">
        <v>48.03</v>
      </c>
      <c r="F163" s="32" t="s">
        <v>27</v>
      </c>
      <c r="G163" s="37">
        <f>48.91/1.2</f>
        <v>40.758333333333333</v>
      </c>
      <c r="H163" s="38">
        <f t="shared" si="20"/>
        <v>2445.5</v>
      </c>
      <c r="I163" s="38" t="s">
        <v>28</v>
      </c>
      <c r="J163" s="37">
        <f>69.67/1.2</f>
        <v>58.058333333333337</v>
      </c>
      <c r="K163" s="38">
        <f t="shared" si="21"/>
        <v>3483.5</v>
      </c>
      <c r="L163" s="32" t="s">
        <v>29</v>
      </c>
      <c r="M163" s="37">
        <v>49.5</v>
      </c>
      <c r="N163" s="38">
        <f t="shared" si="22"/>
        <v>2970</v>
      </c>
      <c r="O163" s="39">
        <f t="shared" si="23"/>
        <v>49.43888888888889</v>
      </c>
      <c r="P163" s="40">
        <f t="shared" si="24"/>
        <v>-2.8497583998202032</v>
      </c>
      <c r="Q163" s="39">
        <f t="shared" si="25"/>
        <v>2881.8</v>
      </c>
      <c r="R163" s="41"/>
      <c r="T163" s="42">
        <f t="shared" si="26"/>
        <v>-18</v>
      </c>
      <c r="U163" s="42">
        <f t="shared" si="27"/>
        <v>17</v>
      </c>
      <c r="V163" s="42">
        <f t="shared" si="28"/>
        <v>0</v>
      </c>
    </row>
    <row r="164" spans="1:22" s="28" customFormat="1" ht="73.5" customHeight="1" x14ac:dyDescent="0.2">
      <c r="A164" s="30">
        <v>153</v>
      </c>
      <c r="B164" s="31" t="s">
        <v>228</v>
      </c>
      <c r="C164" s="32" t="s">
        <v>25</v>
      </c>
      <c r="D164" s="33">
        <v>19</v>
      </c>
      <c r="E164" s="35">
        <v>321.56</v>
      </c>
      <c r="F164" s="32" t="s">
        <v>27</v>
      </c>
      <c r="G164" s="37">
        <f>369.48/1.2</f>
        <v>307.90000000000003</v>
      </c>
      <c r="H164" s="38">
        <f t="shared" ref="H164:H195" si="29">D164*G164</f>
        <v>5850.1</v>
      </c>
      <c r="I164" s="38" t="s">
        <v>28</v>
      </c>
      <c r="J164" s="37">
        <f>366.65/1.2</f>
        <v>305.54166666666669</v>
      </c>
      <c r="K164" s="38">
        <f t="shared" si="21"/>
        <v>5805.291666666667</v>
      </c>
      <c r="L164" s="32" t="s">
        <v>29</v>
      </c>
      <c r="M164" s="37">
        <v>361.22</v>
      </c>
      <c r="N164" s="38">
        <f t="shared" si="22"/>
        <v>6863.18</v>
      </c>
      <c r="O164" s="39">
        <f t="shared" si="23"/>
        <v>324.88722222222225</v>
      </c>
      <c r="P164" s="40">
        <f t="shared" si="24"/>
        <v>-1.0241160607869091</v>
      </c>
      <c r="Q164" s="39">
        <f t="shared" si="25"/>
        <v>6109.64</v>
      </c>
      <c r="R164" s="41"/>
      <c r="T164" s="42">
        <f t="shared" si="26"/>
        <v>-5</v>
      </c>
      <c r="U164" s="42">
        <f t="shared" si="27"/>
        <v>-6</v>
      </c>
      <c r="V164" s="42">
        <f t="shared" si="28"/>
        <v>11</v>
      </c>
    </row>
    <row r="165" spans="1:22" s="28" customFormat="1" ht="73.5" customHeight="1" x14ac:dyDescent="0.2">
      <c r="A165" s="30">
        <v>154</v>
      </c>
      <c r="B165" s="31" t="s">
        <v>229</v>
      </c>
      <c r="C165" s="32" t="s">
        <v>45</v>
      </c>
      <c r="D165" s="33" t="s">
        <v>230</v>
      </c>
      <c r="E165" s="35">
        <v>8050.5</v>
      </c>
      <c r="F165" s="32" t="s">
        <v>231</v>
      </c>
      <c r="G165" s="37">
        <f>9362.18/1.2</f>
        <v>7801.8166666666675</v>
      </c>
      <c r="H165" s="38">
        <f t="shared" si="29"/>
        <v>429099.91666666669</v>
      </c>
      <c r="I165" s="32" t="s">
        <v>46</v>
      </c>
      <c r="J165" s="37">
        <v>7956.2</v>
      </c>
      <c r="K165" s="38">
        <f t="shared" si="21"/>
        <v>437591</v>
      </c>
      <c r="L165" s="32" t="s">
        <v>58</v>
      </c>
      <c r="M165" s="37">
        <v>8400.2999999999993</v>
      </c>
      <c r="N165" s="38">
        <f t="shared" si="22"/>
        <v>462016.49999999994</v>
      </c>
      <c r="O165" s="39">
        <f t="shared" si="23"/>
        <v>8052.7722222222219</v>
      </c>
      <c r="P165" s="40">
        <f t="shared" si="24"/>
        <v>-2.8216645889372671E-2</v>
      </c>
      <c r="Q165" s="39">
        <f t="shared" si="25"/>
        <v>442777.5</v>
      </c>
      <c r="R165" s="41"/>
      <c r="T165" s="42">
        <f t="shared" si="26"/>
        <v>-3</v>
      </c>
      <c r="U165" s="42">
        <f t="shared" si="27"/>
        <v>-1</v>
      </c>
      <c r="V165" s="42">
        <f t="shared" si="28"/>
        <v>4</v>
      </c>
    </row>
    <row r="166" spans="1:22" s="28" customFormat="1" ht="73.5" customHeight="1" x14ac:dyDescent="0.2">
      <c r="A166" s="30">
        <v>155</v>
      </c>
      <c r="B166" s="31" t="s">
        <v>232</v>
      </c>
      <c r="C166" s="32" t="s">
        <v>25</v>
      </c>
      <c r="D166" s="33" t="s">
        <v>233</v>
      </c>
      <c r="E166" s="35">
        <v>164.05</v>
      </c>
      <c r="F166" s="32" t="s">
        <v>39</v>
      </c>
      <c r="G166" s="37">
        <v>153.05000000000001</v>
      </c>
      <c r="H166" s="38">
        <f t="shared" si="29"/>
        <v>26324.600000000002</v>
      </c>
      <c r="I166" s="38" t="s">
        <v>28</v>
      </c>
      <c r="J166" s="37">
        <v>159.37</v>
      </c>
      <c r="K166" s="38">
        <f t="shared" si="21"/>
        <v>27411.64</v>
      </c>
      <c r="L166" s="38" t="s">
        <v>46</v>
      </c>
      <c r="M166" s="37">
        <v>181.06</v>
      </c>
      <c r="N166" s="38">
        <f t="shared" si="22"/>
        <v>31142.32</v>
      </c>
      <c r="O166" s="39">
        <f t="shared" si="23"/>
        <v>164.49333333333334</v>
      </c>
      <c r="P166" s="40">
        <f t="shared" si="24"/>
        <v>-0.26951446867147411</v>
      </c>
      <c r="Q166" s="39">
        <f t="shared" si="25"/>
        <v>28216.600000000002</v>
      </c>
      <c r="R166" s="41"/>
      <c r="T166" s="42">
        <f t="shared" si="26"/>
        <v>-7</v>
      </c>
      <c r="U166" s="42">
        <f t="shared" si="27"/>
        <v>-3</v>
      </c>
      <c r="V166" s="42">
        <f t="shared" si="28"/>
        <v>10</v>
      </c>
    </row>
    <row r="167" spans="1:22" s="28" customFormat="1" ht="73.5" customHeight="1" x14ac:dyDescent="0.2">
      <c r="A167" s="30">
        <v>156</v>
      </c>
      <c r="B167" s="31" t="s">
        <v>234</v>
      </c>
      <c r="C167" s="32" t="s">
        <v>45</v>
      </c>
      <c r="D167" s="33" t="s">
        <v>235</v>
      </c>
      <c r="E167" s="35">
        <v>6388.4</v>
      </c>
      <c r="F167" s="32" t="s">
        <v>231</v>
      </c>
      <c r="G167" s="37">
        <f>7648.2/1.2</f>
        <v>6373.5</v>
      </c>
      <c r="H167" s="38">
        <f t="shared" si="29"/>
        <v>236456.85</v>
      </c>
      <c r="I167" s="32" t="s">
        <v>236</v>
      </c>
      <c r="J167" s="37">
        <f>7548/1.2</f>
        <v>6290</v>
      </c>
      <c r="K167" s="38">
        <f t="shared" si="21"/>
        <v>233359</v>
      </c>
      <c r="L167" s="32" t="s">
        <v>58</v>
      </c>
      <c r="M167" s="37">
        <v>6504.5</v>
      </c>
      <c r="N167" s="38">
        <f t="shared" si="22"/>
        <v>241316.95</v>
      </c>
      <c r="O167" s="39">
        <f t="shared" si="23"/>
        <v>6389.333333333333</v>
      </c>
      <c r="P167" s="40">
        <f t="shared" si="24"/>
        <v>-1.4607679465768797E-2</v>
      </c>
      <c r="Q167" s="39">
        <f t="shared" si="25"/>
        <v>237009.63999999998</v>
      </c>
      <c r="R167" s="41"/>
      <c r="T167" s="42">
        <f t="shared" si="26"/>
        <v>0</v>
      </c>
      <c r="U167" s="42">
        <f t="shared" si="27"/>
        <v>-2</v>
      </c>
      <c r="V167" s="42">
        <f t="shared" si="28"/>
        <v>2</v>
      </c>
    </row>
    <row r="168" spans="1:22" s="28" customFormat="1" ht="73.5" customHeight="1" x14ac:dyDescent="0.2">
      <c r="A168" s="30">
        <v>157</v>
      </c>
      <c r="B168" s="31" t="s">
        <v>237</v>
      </c>
      <c r="C168" s="32" t="s">
        <v>147</v>
      </c>
      <c r="D168" s="33" t="s">
        <v>238</v>
      </c>
      <c r="E168" s="35">
        <v>14.72</v>
      </c>
      <c r="F168" s="32" t="s">
        <v>231</v>
      </c>
      <c r="G168" s="37">
        <f>18.73/1.2</f>
        <v>15.608333333333334</v>
      </c>
      <c r="H168" s="38">
        <f t="shared" si="29"/>
        <v>38240.416666666672</v>
      </c>
      <c r="I168" s="32" t="s">
        <v>236</v>
      </c>
      <c r="J168" s="37">
        <f>16.5/1.2</f>
        <v>13.75</v>
      </c>
      <c r="K168" s="38">
        <f t="shared" si="21"/>
        <v>33687.5</v>
      </c>
      <c r="L168" s="32" t="s">
        <v>58</v>
      </c>
      <c r="M168" s="37">
        <v>15.03</v>
      </c>
      <c r="N168" s="38">
        <f t="shared" si="22"/>
        <v>36823.5</v>
      </c>
      <c r="O168" s="39">
        <f t="shared" si="23"/>
        <v>14.796111111111111</v>
      </c>
      <c r="P168" s="40">
        <f t="shared" si="24"/>
        <v>-0.51439942927946447</v>
      </c>
      <c r="Q168" s="39">
        <f t="shared" si="25"/>
        <v>36064</v>
      </c>
      <c r="R168" s="41"/>
      <c r="T168" s="42">
        <f t="shared" si="26"/>
        <v>5</v>
      </c>
      <c r="U168" s="42">
        <f t="shared" si="27"/>
        <v>-7</v>
      </c>
      <c r="V168" s="42">
        <f t="shared" si="28"/>
        <v>2</v>
      </c>
    </row>
    <row r="169" spans="1:22" s="28" customFormat="1" ht="73.5" customHeight="1" x14ac:dyDescent="0.2">
      <c r="A169" s="30">
        <v>158</v>
      </c>
      <c r="B169" s="31" t="s">
        <v>239</v>
      </c>
      <c r="C169" s="32" t="s">
        <v>147</v>
      </c>
      <c r="D169" s="33">
        <v>65</v>
      </c>
      <c r="E169" s="35">
        <v>6</v>
      </c>
      <c r="F169" s="32" t="s">
        <v>231</v>
      </c>
      <c r="G169" s="37">
        <f>7.12/1.2</f>
        <v>5.9333333333333336</v>
      </c>
      <c r="H169" s="38">
        <f t="shared" si="29"/>
        <v>385.66666666666669</v>
      </c>
      <c r="I169" s="32" t="s">
        <v>236</v>
      </c>
      <c r="J169" s="37">
        <f>6.91/1.2</f>
        <v>5.7583333333333337</v>
      </c>
      <c r="K169" s="38">
        <f t="shared" si="21"/>
        <v>374.29166666666669</v>
      </c>
      <c r="L169" s="32" t="s">
        <v>58</v>
      </c>
      <c r="M169" s="37">
        <v>6.37</v>
      </c>
      <c r="N169" s="38">
        <f t="shared" si="22"/>
        <v>414.05</v>
      </c>
      <c r="O169" s="39">
        <f t="shared" si="23"/>
        <v>6.0205555555555561</v>
      </c>
      <c r="P169" s="40">
        <f t="shared" si="24"/>
        <v>-0.34142290301744538</v>
      </c>
      <c r="Q169" s="39">
        <f t="shared" si="25"/>
        <v>390</v>
      </c>
      <c r="R169" s="41"/>
      <c r="T169" s="42">
        <f t="shared" si="26"/>
        <v>-1</v>
      </c>
      <c r="U169" s="42">
        <f t="shared" si="27"/>
        <v>-4</v>
      </c>
      <c r="V169" s="42">
        <f t="shared" si="28"/>
        <v>6</v>
      </c>
    </row>
    <row r="170" spans="1:22" s="28" customFormat="1" ht="73.5" customHeight="1" x14ac:dyDescent="0.2">
      <c r="A170" s="30">
        <v>159</v>
      </c>
      <c r="B170" s="31" t="s">
        <v>240</v>
      </c>
      <c r="C170" s="32" t="s">
        <v>147</v>
      </c>
      <c r="D170" s="33" t="s">
        <v>241</v>
      </c>
      <c r="E170" s="35">
        <v>7.6</v>
      </c>
      <c r="F170" s="32" t="s">
        <v>231</v>
      </c>
      <c r="G170" s="37">
        <f>8.7/1.2</f>
        <v>7.25</v>
      </c>
      <c r="H170" s="38">
        <f t="shared" si="29"/>
        <v>2900</v>
      </c>
      <c r="I170" s="32" t="s">
        <v>236</v>
      </c>
      <c r="J170" s="37">
        <f>9.03/1.2</f>
        <v>7.5249999999999995</v>
      </c>
      <c r="K170" s="38">
        <f t="shared" si="21"/>
        <v>3010</v>
      </c>
      <c r="L170" s="32" t="s">
        <v>58</v>
      </c>
      <c r="M170" s="37">
        <v>8.1199999999999992</v>
      </c>
      <c r="N170" s="38">
        <f t="shared" si="22"/>
        <v>3247.9999999999995</v>
      </c>
      <c r="O170" s="39">
        <f t="shared" si="23"/>
        <v>7.631666666666665</v>
      </c>
      <c r="P170" s="40">
        <f t="shared" si="24"/>
        <v>-0.4149377593360839</v>
      </c>
      <c r="Q170" s="39">
        <f t="shared" si="25"/>
        <v>3040</v>
      </c>
      <c r="R170" s="41"/>
      <c r="T170" s="42">
        <f t="shared" si="26"/>
        <v>-5</v>
      </c>
      <c r="U170" s="42">
        <f t="shared" si="27"/>
        <v>-1</v>
      </c>
      <c r="V170" s="42">
        <f t="shared" si="28"/>
        <v>6</v>
      </c>
    </row>
    <row r="171" spans="1:22" s="28" customFormat="1" ht="73.5" customHeight="1" x14ac:dyDescent="0.2">
      <c r="A171" s="30">
        <v>160</v>
      </c>
      <c r="B171" s="31" t="s">
        <v>242</v>
      </c>
      <c r="C171" s="32" t="s">
        <v>147</v>
      </c>
      <c r="D171" s="33" t="s">
        <v>243</v>
      </c>
      <c r="E171" s="35">
        <v>9.52</v>
      </c>
      <c r="F171" s="32" t="s">
        <v>231</v>
      </c>
      <c r="G171" s="37">
        <f>11.28/1.2</f>
        <v>9.4</v>
      </c>
      <c r="H171" s="38">
        <f t="shared" si="29"/>
        <v>188</v>
      </c>
      <c r="I171" s="32" t="s">
        <v>236</v>
      </c>
      <c r="J171" s="37">
        <f>11.14/1.2</f>
        <v>9.283333333333335</v>
      </c>
      <c r="K171" s="38">
        <f t="shared" si="21"/>
        <v>185.66666666666669</v>
      </c>
      <c r="L171" s="32" t="s">
        <v>58</v>
      </c>
      <c r="M171" s="37">
        <v>9.9700000000000006</v>
      </c>
      <c r="N171" s="38">
        <f t="shared" si="22"/>
        <v>199.4</v>
      </c>
      <c r="O171" s="39">
        <f t="shared" si="23"/>
        <v>9.551111111111112</v>
      </c>
      <c r="P171" s="40">
        <f t="shared" si="24"/>
        <v>-0.32573289902281033</v>
      </c>
      <c r="Q171" s="39">
        <f t="shared" si="25"/>
        <v>190.39999999999998</v>
      </c>
      <c r="R171" s="41"/>
      <c r="T171" s="42">
        <f t="shared" si="26"/>
        <v>-2</v>
      </c>
      <c r="U171" s="42">
        <f t="shared" si="27"/>
        <v>-3</v>
      </c>
      <c r="V171" s="42">
        <f t="shared" si="28"/>
        <v>4</v>
      </c>
    </row>
    <row r="172" spans="1:22" s="28" customFormat="1" ht="73.5" customHeight="1" x14ac:dyDescent="0.2">
      <c r="A172" s="30">
        <v>161</v>
      </c>
      <c r="B172" s="31" t="s">
        <v>244</v>
      </c>
      <c r="C172" s="32" t="s">
        <v>147</v>
      </c>
      <c r="D172" s="33" t="s">
        <v>245</v>
      </c>
      <c r="E172" s="35">
        <v>6.79</v>
      </c>
      <c r="F172" s="32" t="s">
        <v>231</v>
      </c>
      <c r="G172" s="37">
        <f>6.62/1.2</f>
        <v>5.5166666666666666</v>
      </c>
      <c r="H172" s="38">
        <f t="shared" si="29"/>
        <v>3310</v>
      </c>
      <c r="I172" s="32" t="s">
        <v>236</v>
      </c>
      <c r="J172" s="37">
        <f>8.58/1.2</f>
        <v>7.15</v>
      </c>
      <c r="K172" s="38">
        <f t="shared" si="21"/>
        <v>4290</v>
      </c>
      <c r="L172" s="32" t="s">
        <v>58</v>
      </c>
      <c r="M172" s="37">
        <v>7.83</v>
      </c>
      <c r="N172" s="38">
        <f t="shared" si="22"/>
        <v>4698</v>
      </c>
      <c r="O172" s="39">
        <f t="shared" si="23"/>
        <v>6.8322222222222235</v>
      </c>
      <c r="P172" s="40">
        <f t="shared" si="24"/>
        <v>-0.61798666449831785</v>
      </c>
      <c r="Q172" s="39">
        <f t="shared" si="25"/>
        <v>4074</v>
      </c>
      <c r="R172" s="41"/>
      <c r="T172" s="42">
        <f t="shared" si="26"/>
        <v>-19</v>
      </c>
      <c r="U172" s="42">
        <f t="shared" si="27"/>
        <v>5</v>
      </c>
      <c r="V172" s="42">
        <f t="shared" si="28"/>
        <v>15</v>
      </c>
    </row>
    <row r="173" spans="1:22" s="28" customFormat="1" ht="73.5" customHeight="1" x14ac:dyDescent="0.2">
      <c r="A173" s="30">
        <v>162</v>
      </c>
      <c r="B173" s="31" t="s">
        <v>246</v>
      </c>
      <c r="C173" s="32" t="s">
        <v>45</v>
      </c>
      <c r="D173" s="33" t="s">
        <v>247</v>
      </c>
      <c r="E173" s="35">
        <v>2210.44</v>
      </c>
      <c r="F173" s="32" t="s">
        <v>248</v>
      </c>
      <c r="G173" s="37">
        <f>8990/4</f>
        <v>2247.5</v>
      </c>
      <c r="H173" s="38">
        <f t="shared" si="29"/>
        <v>26970</v>
      </c>
      <c r="I173" s="32" t="s">
        <v>249</v>
      </c>
      <c r="J173" s="37">
        <f>10015/4</f>
        <v>2503.75</v>
      </c>
      <c r="K173" s="38">
        <f t="shared" si="21"/>
        <v>30045</v>
      </c>
      <c r="L173" s="32" t="s">
        <v>250</v>
      </c>
      <c r="M173" s="37">
        <v>1898.75</v>
      </c>
      <c r="N173" s="38">
        <f t="shared" si="22"/>
        <v>22785</v>
      </c>
      <c r="O173" s="39">
        <f t="shared" si="23"/>
        <v>2216.6666666666665</v>
      </c>
      <c r="P173" s="40">
        <f t="shared" si="24"/>
        <v>-0.28090225563909144</v>
      </c>
      <c r="Q173" s="39">
        <f t="shared" si="25"/>
        <v>26525.279999999999</v>
      </c>
      <c r="R173" s="41"/>
      <c r="T173" s="42">
        <f t="shared" si="26"/>
        <v>1</v>
      </c>
      <c r="U173" s="42">
        <f t="shared" si="27"/>
        <v>13</v>
      </c>
      <c r="V173" s="42">
        <f t="shared" si="28"/>
        <v>-14</v>
      </c>
    </row>
    <row r="174" spans="1:22" s="28" customFormat="1" ht="64.5" customHeight="1" x14ac:dyDescent="0.2">
      <c r="A174" s="30">
        <v>163</v>
      </c>
      <c r="B174" s="31" t="s">
        <v>251</v>
      </c>
      <c r="C174" s="32" t="s">
        <v>147</v>
      </c>
      <c r="D174" s="33">
        <v>60</v>
      </c>
      <c r="E174" s="35">
        <v>480.56</v>
      </c>
      <c r="F174" s="32" t="s">
        <v>27</v>
      </c>
      <c r="G174" s="37">
        <f>542.05/1.2</f>
        <v>451.70833333333331</v>
      </c>
      <c r="H174" s="38">
        <f t="shared" si="29"/>
        <v>27102.5</v>
      </c>
      <c r="I174" s="38" t="s">
        <v>28</v>
      </c>
      <c r="J174" s="37">
        <f>586.87/1.2</f>
        <v>489.05833333333334</v>
      </c>
      <c r="K174" s="38">
        <f t="shared" si="21"/>
        <v>29343.5</v>
      </c>
      <c r="L174" s="38" t="s">
        <v>29</v>
      </c>
      <c r="M174" s="37">
        <v>506.22</v>
      </c>
      <c r="N174" s="38">
        <f t="shared" si="22"/>
        <v>30373.200000000001</v>
      </c>
      <c r="O174" s="39">
        <f t="shared" si="23"/>
        <v>482.32888888888891</v>
      </c>
      <c r="P174" s="40">
        <f t="shared" si="24"/>
        <v>-0.36673915447275363</v>
      </c>
      <c r="Q174" s="39">
        <f t="shared" si="25"/>
        <v>28833.599999999999</v>
      </c>
      <c r="R174" s="47" t="s">
        <v>116</v>
      </c>
      <c r="T174" s="42">
        <f t="shared" si="26"/>
        <v>-6</v>
      </c>
      <c r="U174" s="42">
        <f t="shared" si="27"/>
        <v>1</v>
      </c>
      <c r="V174" s="42">
        <f t="shared" si="28"/>
        <v>5</v>
      </c>
    </row>
    <row r="175" spans="1:22" s="28" customFormat="1" ht="73.5" customHeight="1" x14ac:dyDescent="0.2">
      <c r="A175" s="30">
        <v>164</v>
      </c>
      <c r="B175" s="31" t="s">
        <v>252</v>
      </c>
      <c r="C175" s="32" t="s">
        <v>45</v>
      </c>
      <c r="D175" s="33">
        <v>180</v>
      </c>
      <c r="E175" s="35">
        <v>383.82</v>
      </c>
      <c r="F175" s="32" t="s">
        <v>253</v>
      </c>
      <c r="G175" s="37">
        <v>385.11</v>
      </c>
      <c r="H175" s="38">
        <f t="shared" si="29"/>
        <v>69319.8</v>
      </c>
      <c r="I175" s="32" t="s">
        <v>254</v>
      </c>
      <c r="J175" s="37">
        <f>462/1.2</f>
        <v>385</v>
      </c>
      <c r="K175" s="38">
        <f t="shared" si="21"/>
        <v>69300</v>
      </c>
      <c r="L175" s="32" t="s">
        <v>255</v>
      </c>
      <c r="M175" s="37">
        <f>462.13/1.2</f>
        <v>385.10833333333335</v>
      </c>
      <c r="N175" s="38">
        <f t="shared" si="22"/>
        <v>69319.5</v>
      </c>
      <c r="O175" s="39">
        <f t="shared" si="23"/>
        <v>385.07277777777773</v>
      </c>
      <c r="P175" s="40">
        <f t="shared" si="24"/>
        <v>-0.32533532622258576</v>
      </c>
      <c r="Q175" s="39">
        <f t="shared" si="25"/>
        <v>69087.600000000006</v>
      </c>
      <c r="R175" s="41"/>
      <c r="T175" s="42">
        <f t="shared" si="26"/>
        <v>0</v>
      </c>
      <c r="U175" s="42">
        <f t="shared" si="27"/>
        <v>0</v>
      </c>
      <c r="V175" s="42">
        <f t="shared" si="28"/>
        <v>0</v>
      </c>
    </row>
    <row r="176" spans="1:22" s="28" customFormat="1" ht="73.5" customHeight="1" x14ac:dyDescent="0.2">
      <c r="A176" s="30">
        <v>165</v>
      </c>
      <c r="B176" s="31" t="s">
        <v>256</v>
      </c>
      <c r="C176" s="32" t="s">
        <v>25</v>
      </c>
      <c r="D176" s="33">
        <v>1580</v>
      </c>
      <c r="E176" s="62">
        <v>254.67</v>
      </c>
      <c r="F176" s="32" t="s">
        <v>27</v>
      </c>
      <c r="G176" s="37">
        <f>246.91/1.2</f>
        <v>205.75833333333333</v>
      </c>
      <c r="H176" s="38">
        <f t="shared" si="29"/>
        <v>325098.16666666663</v>
      </c>
      <c r="I176" s="38" t="s">
        <v>28</v>
      </c>
      <c r="J176" s="37">
        <f>350.39/1.2</f>
        <v>291.99166666666667</v>
      </c>
      <c r="K176" s="38">
        <f t="shared" si="21"/>
        <v>461346.83333333337</v>
      </c>
      <c r="L176" s="38" t="s">
        <v>29</v>
      </c>
      <c r="M176" s="37">
        <v>268.85000000000002</v>
      </c>
      <c r="N176" s="38">
        <f t="shared" si="22"/>
        <v>424783.00000000006</v>
      </c>
      <c r="O176" s="39">
        <f t="shared" si="23"/>
        <v>255.53333333333333</v>
      </c>
      <c r="P176" s="40">
        <f t="shared" si="24"/>
        <v>-0.33785546569266955</v>
      </c>
      <c r="Q176" s="39">
        <f t="shared" si="25"/>
        <v>402378.6</v>
      </c>
      <c r="R176" s="64" t="s">
        <v>479</v>
      </c>
      <c r="T176" s="42">
        <f t="shared" si="26"/>
        <v>-19</v>
      </c>
      <c r="U176" s="42">
        <f t="shared" si="27"/>
        <v>14</v>
      </c>
      <c r="V176" s="42">
        <f t="shared" si="28"/>
        <v>5</v>
      </c>
    </row>
    <row r="177" spans="1:22" s="28" customFormat="1" ht="73.5" customHeight="1" x14ac:dyDescent="0.2">
      <c r="A177" s="30">
        <v>166</v>
      </c>
      <c r="B177" s="31" t="s">
        <v>257</v>
      </c>
      <c r="C177" s="32" t="s">
        <v>45</v>
      </c>
      <c r="D177" s="33">
        <v>13</v>
      </c>
      <c r="E177" s="35">
        <v>98.56</v>
      </c>
      <c r="F177" s="32" t="s">
        <v>258</v>
      </c>
      <c r="G177" s="37">
        <v>98.67</v>
      </c>
      <c r="H177" s="38">
        <f t="shared" si="29"/>
        <v>1282.71</v>
      </c>
      <c r="I177" s="32" t="s">
        <v>259</v>
      </c>
      <c r="J177" s="37">
        <f>117.62/1.2</f>
        <v>98.01666666666668</v>
      </c>
      <c r="K177" s="38">
        <f t="shared" si="21"/>
        <v>1274.2166666666669</v>
      </c>
      <c r="L177" s="38" t="s">
        <v>68</v>
      </c>
      <c r="M177" s="37">
        <v>100.23</v>
      </c>
      <c r="N177" s="38">
        <f t="shared" si="22"/>
        <v>1302.99</v>
      </c>
      <c r="O177" s="39">
        <f t="shared" si="23"/>
        <v>98.972222222222229</v>
      </c>
      <c r="P177" s="40">
        <f t="shared" si="24"/>
        <v>-0.4165029469548216</v>
      </c>
      <c r="Q177" s="39">
        <f t="shared" si="25"/>
        <v>1281.28</v>
      </c>
      <c r="R177" s="41"/>
      <c r="T177" s="42">
        <f t="shared" si="26"/>
        <v>0</v>
      </c>
      <c r="U177" s="42">
        <f t="shared" si="27"/>
        <v>-1</v>
      </c>
      <c r="V177" s="42">
        <f t="shared" si="28"/>
        <v>1</v>
      </c>
    </row>
    <row r="178" spans="1:22" s="28" customFormat="1" ht="73.5" customHeight="1" x14ac:dyDescent="0.2">
      <c r="A178" s="30">
        <v>167</v>
      </c>
      <c r="B178" s="31" t="s">
        <v>260</v>
      </c>
      <c r="C178" s="32" t="s">
        <v>45</v>
      </c>
      <c r="D178" s="33">
        <v>3</v>
      </c>
      <c r="E178" s="35">
        <v>395.42</v>
      </c>
      <c r="F178" s="32" t="s">
        <v>261</v>
      </c>
      <c r="G178" s="37">
        <f>460/1.2</f>
        <v>383.33333333333337</v>
      </c>
      <c r="H178" s="38">
        <f t="shared" si="29"/>
        <v>1150</v>
      </c>
      <c r="I178" s="32" t="s">
        <v>46</v>
      </c>
      <c r="J178" s="37">
        <v>426.92</v>
      </c>
      <c r="K178" s="38">
        <f t="shared" si="21"/>
        <v>1280.76</v>
      </c>
      <c r="L178" s="32" t="s">
        <v>57</v>
      </c>
      <c r="M178" s="37">
        <v>378.8</v>
      </c>
      <c r="N178" s="38">
        <f t="shared" si="22"/>
        <v>1136.4000000000001</v>
      </c>
      <c r="O178" s="39">
        <f t="shared" si="23"/>
        <v>396.35111111111109</v>
      </c>
      <c r="P178" s="40">
        <f t="shared" si="24"/>
        <v>-0.23492077731303596</v>
      </c>
      <c r="Q178" s="39">
        <f t="shared" si="25"/>
        <v>1186.26</v>
      </c>
      <c r="R178" s="41"/>
      <c r="T178" s="42">
        <f t="shared" si="26"/>
        <v>-3</v>
      </c>
      <c r="U178" s="42">
        <f t="shared" si="27"/>
        <v>8</v>
      </c>
      <c r="V178" s="42">
        <f t="shared" si="28"/>
        <v>-4</v>
      </c>
    </row>
    <row r="179" spans="1:22" s="28" customFormat="1" ht="73.5" customHeight="1" x14ac:dyDescent="0.2">
      <c r="A179" s="30">
        <v>168</v>
      </c>
      <c r="B179" s="31" t="s">
        <v>262</v>
      </c>
      <c r="C179" s="32" t="s">
        <v>45</v>
      </c>
      <c r="D179" s="33">
        <v>26.4</v>
      </c>
      <c r="E179" s="35">
        <v>12311.49</v>
      </c>
      <c r="F179" s="32" t="s">
        <v>90</v>
      </c>
      <c r="G179" s="37">
        <f>13658.48/1.2</f>
        <v>11382.066666666668</v>
      </c>
      <c r="H179" s="38">
        <f t="shared" si="29"/>
        <v>300486.56</v>
      </c>
      <c r="I179" s="32" t="s">
        <v>46</v>
      </c>
      <c r="J179" s="37">
        <v>13004.1</v>
      </c>
      <c r="K179" s="38">
        <f t="shared" si="21"/>
        <v>343308.24</v>
      </c>
      <c r="L179" s="32" t="s">
        <v>58</v>
      </c>
      <c r="M179" s="37">
        <v>12560.4</v>
      </c>
      <c r="N179" s="38">
        <f t="shared" si="22"/>
        <v>331594.56</v>
      </c>
      <c r="O179" s="39">
        <f t="shared" si="23"/>
        <v>12315.522222222222</v>
      </c>
      <c r="P179" s="40">
        <f t="shared" si="24"/>
        <v>-3.2740976383010434E-2</v>
      </c>
      <c r="Q179" s="39">
        <f t="shared" si="25"/>
        <v>325023.33599999995</v>
      </c>
      <c r="R179" s="41"/>
      <c r="T179" s="42">
        <f t="shared" si="26"/>
        <v>-8</v>
      </c>
      <c r="U179" s="42">
        <f t="shared" si="27"/>
        <v>6</v>
      </c>
      <c r="V179" s="42">
        <f t="shared" si="28"/>
        <v>2</v>
      </c>
    </row>
    <row r="180" spans="1:22" s="28" customFormat="1" ht="73.5" customHeight="1" x14ac:dyDescent="0.2">
      <c r="A180" s="30">
        <v>169</v>
      </c>
      <c r="B180" s="31" t="s">
        <v>263</v>
      </c>
      <c r="C180" s="32" t="s">
        <v>25</v>
      </c>
      <c r="D180" s="33">
        <v>69</v>
      </c>
      <c r="E180" s="35">
        <v>1431.87</v>
      </c>
      <c r="F180" s="32" t="s">
        <v>27</v>
      </c>
      <c r="G180" s="37">
        <f>1609.9/1.2</f>
        <v>1341.5833333333335</v>
      </c>
      <c r="H180" s="38">
        <f t="shared" si="29"/>
        <v>92569.250000000015</v>
      </c>
      <c r="I180" s="38" t="s">
        <v>28</v>
      </c>
      <c r="J180" s="37">
        <f>1748.87/1.2</f>
        <v>1457.3916666666667</v>
      </c>
      <c r="K180" s="38">
        <f t="shared" si="21"/>
        <v>100560.02499999999</v>
      </c>
      <c r="L180" s="38" t="s">
        <v>29</v>
      </c>
      <c r="M180" s="37">
        <v>1503.09</v>
      </c>
      <c r="N180" s="38">
        <f t="shared" si="22"/>
        <v>103713.20999999999</v>
      </c>
      <c r="O180" s="39">
        <f t="shared" si="23"/>
        <v>1434.0216666666668</v>
      </c>
      <c r="P180" s="40">
        <f t="shared" si="24"/>
        <v>-0.15004422294875042</v>
      </c>
      <c r="Q180" s="39">
        <f t="shared" si="25"/>
        <v>98799.03</v>
      </c>
      <c r="R180" s="41"/>
      <c r="T180" s="42">
        <f t="shared" si="26"/>
        <v>-6</v>
      </c>
      <c r="U180" s="42">
        <f t="shared" si="27"/>
        <v>2</v>
      </c>
      <c r="V180" s="42">
        <f t="shared" si="28"/>
        <v>5</v>
      </c>
    </row>
    <row r="181" spans="1:22" s="28" customFormat="1" ht="73.5" customHeight="1" x14ac:dyDescent="0.2">
      <c r="A181" s="65">
        <v>170</v>
      </c>
      <c r="B181" s="66" t="s">
        <v>264</v>
      </c>
      <c r="C181" s="67" t="s">
        <v>25</v>
      </c>
      <c r="D181" s="68">
        <v>78</v>
      </c>
      <c r="E181" s="69">
        <v>40.01</v>
      </c>
      <c r="F181" s="67" t="s">
        <v>27</v>
      </c>
      <c r="G181" s="70">
        <f>45.64/1.2</f>
        <v>38.033333333333339</v>
      </c>
      <c r="H181" s="71">
        <f t="shared" si="29"/>
        <v>2966.6000000000004</v>
      </c>
      <c r="I181" s="71" t="s">
        <v>28</v>
      </c>
      <c r="J181" s="70">
        <f>44.54/1.2</f>
        <v>37.116666666666667</v>
      </c>
      <c r="K181" s="71">
        <f t="shared" si="21"/>
        <v>2895.1</v>
      </c>
      <c r="L181" s="71" t="s">
        <v>29</v>
      </c>
      <c r="M181" s="70">
        <v>45.47</v>
      </c>
      <c r="N181" s="71">
        <f t="shared" si="22"/>
        <v>3546.66</v>
      </c>
      <c r="O181" s="72">
        <f t="shared" si="23"/>
        <v>40.206666666666671</v>
      </c>
      <c r="P181" s="73">
        <f t="shared" si="24"/>
        <v>-0.48913944619467031</v>
      </c>
      <c r="Q181" s="72">
        <f t="shared" si="25"/>
        <v>3120.7799999999997</v>
      </c>
      <c r="R181" s="32" t="s">
        <v>480</v>
      </c>
      <c r="T181" s="42">
        <f t="shared" si="26"/>
        <v>-5</v>
      </c>
      <c r="U181" s="42">
        <f t="shared" si="27"/>
        <v>-8</v>
      </c>
      <c r="V181" s="42">
        <f t="shared" si="28"/>
        <v>13</v>
      </c>
    </row>
    <row r="182" spans="1:22" s="28" customFormat="1" ht="73.5" customHeight="1" x14ac:dyDescent="0.2">
      <c r="A182" s="30">
        <v>171</v>
      </c>
      <c r="B182" s="31" t="s">
        <v>265</v>
      </c>
      <c r="C182" s="32" t="s">
        <v>25</v>
      </c>
      <c r="D182" s="33">
        <v>1</v>
      </c>
      <c r="E182" s="35">
        <v>539.74</v>
      </c>
      <c r="F182" s="32" t="s">
        <v>27</v>
      </c>
      <c r="G182" s="37">
        <f>628.74/1.2</f>
        <v>523.95000000000005</v>
      </c>
      <c r="H182" s="38">
        <f t="shared" si="29"/>
        <v>523.95000000000005</v>
      </c>
      <c r="I182" s="38" t="s">
        <v>28</v>
      </c>
      <c r="J182" s="37">
        <f>697.44/1.2</f>
        <v>581.20000000000005</v>
      </c>
      <c r="K182" s="38">
        <f t="shared" si="21"/>
        <v>581.20000000000005</v>
      </c>
      <c r="L182" s="38" t="s">
        <v>29</v>
      </c>
      <c r="M182" s="37">
        <v>520.80999999999995</v>
      </c>
      <c r="N182" s="38">
        <f t="shared" si="22"/>
        <v>520.80999999999995</v>
      </c>
      <c r="O182" s="39">
        <f t="shared" si="23"/>
        <v>541.98666666666668</v>
      </c>
      <c r="P182" s="40">
        <f t="shared" si="24"/>
        <v>-0.41452434254225068</v>
      </c>
      <c r="Q182" s="39">
        <f t="shared" si="25"/>
        <v>539.74</v>
      </c>
      <c r="R182" s="41"/>
      <c r="T182" s="42">
        <f t="shared" si="26"/>
        <v>-3</v>
      </c>
      <c r="U182" s="42">
        <f t="shared" si="27"/>
        <v>7</v>
      </c>
      <c r="V182" s="42">
        <f t="shared" si="28"/>
        <v>-4</v>
      </c>
    </row>
    <row r="183" spans="1:22" s="28" customFormat="1" ht="73.5" customHeight="1" x14ac:dyDescent="0.2">
      <c r="A183" s="30">
        <v>172</v>
      </c>
      <c r="B183" s="31" t="s">
        <v>266</v>
      </c>
      <c r="C183" s="32" t="s">
        <v>25</v>
      </c>
      <c r="D183" s="33">
        <v>100</v>
      </c>
      <c r="E183" s="35">
        <v>1.28</v>
      </c>
      <c r="F183" s="32" t="s">
        <v>27</v>
      </c>
      <c r="G183" s="37">
        <f>62.47/50/1.2</f>
        <v>1.0411666666666668</v>
      </c>
      <c r="H183" s="38">
        <f t="shared" si="29"/>
        <v>104.11666666666667</v>
      </c>
      <c r="I183" s="38" t="s">
        <v>28</v>
      </c>
      <c r="J183" s="37">
        <f>1.66/1.2</f>
        <v>1.3833333333333333</v>
      </c>
      <c r="K183" s="38">
        <f t="shared" si="21"/>
        <v>138.33333333333334</v>
      </c>
      <c r="L183" s="38" t="s">
        <v>29</v>
      </c>
      <c r="M183" s="37">
        <v>1.46</v>
      </c>
      <c r="N183" s="38">
        <f t="shared" si="22"/>
        <v>146</v>
      </c>
      <c r="O183" s="39">
        <f t="shared" si="23"/>
        <v>1.2948333333333333</v>
      </c>
      <c r="P183" s="40">
        <f t="shared" si="24"/>
        <v>-1.1455785815420256</v>
      </c>
      <c r="Q183" s="39">
        <f t="shared" si="25"/>
        <v>128</v>
      </c>
      <c r="R183" s="41"/>
      <c r="T183" s="42">
        <f t="shared" si="26"/>
        <v>-20</v>
      </c>
      <c r="U183" s="42">
        <f t="shared" si="27"/>
        <v>7</v>
      </c>
      <c r="V183" s="42">
        <f t="shared" si="28"/>
        <v>13</v>
      </c>
    </row>
    <row r="184" spans="1:22" s="28" customFormat="1" ht="73.5" customHeight="1" x14ac:dyDescent="0.2">
      <c r="A184" s="30">
        <v>173</v>
      </c>
      <c r="B184" s="31" t="s">
        <v>267</v>
      </c>
      <c r="C184" s="32" t="s">
        <v>25</v>
      </c>
      <c r="D184" s="33">
        <v>26</v>
      </c>
      <c r="E184" s="35">
        <v>22.15</v>
      </c>
      <c r="F184" s="32" t="s">
        <v>27</v>
      </c>
      <c r="G184" s="37">
        <f>21.83/1.2</f>
        <v>18.191666666666666</v>
      </c>
      <c r="H184" s="38">
        <f t="shared" si="29"/>
        <v>472.98333333333335</v>
      </c>
      <c r="I184" s="38" t="s">
        <v>28</v>
      </c>
      <c r="J184" s="37">
        <f>27.18/1.2</f>
        <v>22.650000000000002</v>
      </c>
      <c r="K184" s="38">
        <f t="shared" si="21"/>
        <v>588.90000000000009</v>
      </c>
      <c r="L184" s="38" t="s">
        <v>29</v>
      </c>
      <c r="M184" s="37">
        <v>26.07</v>
      </c>
      <c r="N184" s="38">
        <f t="shared" si="22"/>
        <v>677.82</v>
      </c>
      <c r="O184" s="39">
        <f t="shared" si="23"/>
        <v>22.303888888888888</v>
      </c>
      <c r="P184" s="40">
        <f t="shared" si="24"/>
        <v>-0.68996438090019296</v>
      </c>
      <c r="Q184" s="39">
        <f t="shared" si="25"/>
        <v>575.9</v>
      </c>
      <c r="R184" s="41"/>
      <c r="T184" s="42">
        <f t="shared" si="26"/>
        <v>-18</v>
      </c>
      <c r="U184" s="42">
        <f t="shared" si="27"/>
        <v>2</v>
      </c>
      <c r="V184" s="42">
        <f t="shared" si="28"/>
        <v>17</v>
      </c>
    </row>
    <row r="185" spans="1:22" s="28" customFormat="1" ht="73.5" customHeight="1" x14ac:dyDescent="0.2">
      <c r="A185" s="30">
        <v>174</v>
      </c>
      <c r="B185" s="31" t="s">
        <v>268</v>
      </c>
      <c r="C185" s="32" t="s">
        <v>25</v>
      </c>
      <c r="D185" s="33">
        <v>8</v>
      </c>
      <c r="E185" s="35">
        <v>569.91</v>
      </c>
      <c r="F185" s="32" t="s">
        <v>57</v>
      </c>
      <c r="G185" s="37">
        <v>518.54</v>
      </c>
      <c r="H185" s="38">
        <f t="shared" si="29"/>
        <v>4148.32</v>
      </c>
      <c r="I185" s="32" t="s">
        <v>46</v>
      </c>
      <c r="J185" s="37">
        <v>554.70000000000005</v>
      </c>
      <c r="K185" s="38">
        <f t="shared" si="21"/>
        <v>4437.6000000000004</v>
      </c>
      <c r="L185" s="38" t="s">
        <v>41</v>
      </c>
      <c r="M185" s="37">
        <v>640.79999999999995</v>
      </c>
      <c r="N185" s="38">
        <f t="shared" si="22"/>
        <v>5126.3999999999996</v>
      </c>
      <c r="O185" s="39">
        <f t="shared" si="23"/>
        <v>571.34666666666669</v>
      </c>
      <c r="P185" s="40">
        <f t="shared" si="24"/>
        <v>-0.25145270822152099</v>
      </c>
      <c r="Q185" s="39">
        <f t="shared" si="25"/>
        <v>4559.28</v>
      </c>
      <c r="R185" s="41"/>
      <c r="T185" s="42">
        <f t="shared" si="26"/>
        <v>-9</v>
      </c>
      <c r="U185" s="42">
        <f t="shared" si="27"/>
        <v>-3</v>
      </c>
      <c r="V185" s="42">
        <f t="shared" si="28"/>
        <v>12</v>
      </c>
    </row>
    <row r="186" spans="1:22" s="28" customFormat="1" ht="73.5" customHeight="1" x14ac:dyDescent="0.2">
      <c r="A186" s="30">
        <v>175</v>
      </c>
      <c r="B186" s="31" t="s">
        <v>269</v>
      </c>
      <c r="C186" s="32" t="s">
        <v>45</v>
      </c>
      <c r="D186" s="33">
        <v>48</v>
      </c>
      <c r="E186" s="35">
        <v>4556.9399999999996</v>
      </c>
      <c r="F186" s="32" t="s">
        <v>270</v>
      </c>
      <c r="G186" s="37">
        <v>4125</v>
      </c>
      <c r="H186" s="38">
        <f t="shared" si="29"/>
        <v>198000</v>
      </c>
      <c r="I186" s="32" t="s">
        <v>271</v>
      </c>
      <c r="J186" s="37">
        <v>4583.33</v>
      </c>
      <c r="K186" s="38">
        <f t="shared" si="21"/>
        <v>219999.84</v>
      </c>
      <c r="L186" s="32" t="s">
        <v>272</v>
      </c>
      <c r="M186" s="37">
        <v>4970.33</v>
      </c>
      <c r="N186" s="38">
        <f t="shared" si="22"/>
        <v>238575.84</v>
      </c>
      <c r="O186" s="39">
        <f t="shared" si="23"/>
        <v>4559.5533333333333</v>
      </c>
      <c r="P186" s="40">
        <f t="shared" si="24"/>
        <v>-5.7315555763508996E-2</v>
      </c>
      <c r="Q186" s="39">
        <f t="shared" si="25"/>
        <v>218733.12</v>
      </c>
      <c r="R186" s="41"/>
      <c r="T186" s="42">
        <f t="shared" si="26"/>
        <v>-10</v>
      </c>
      <c r="U186" s="42">
        <f t="shared" si="27"/>
        <v>1</v>
      </c>
      <c r="V186" s="42">
        <f t="shared" si="28"/>
        <v>9</v>
      </c>
    </row>
    <row r="187" spans="1:22" s="28" customFormat="1" ht="73.5" customHeight="1" x14ac:dyDescent="0.2">
      <c r="A187" s="30">
        <v>176</v>
      </c>
      <c r="B187" s="31" t="s">
        <v>273</v>
      </c>
      <c r="C187" s="32" t="s">
        <v>45</v>
      </c>
      <c r="D187" s="33">
        <v>16</v>
      </c>
      <c r="E187" s="35">
        <v>1229.54</v>
      </c>
      <c r="F187" s="32" t="s">
        <v>274</v>
      </c>
      <c r="G187" s="37">
        <v>980</v>
      </c>
      <c r="H187" s="38">
        <f t="shared" si="29"/>
        <v>15680</v>
      </c>
      <c r="I187" s="32" t="s">
        <v>275</v>
      </c>
      <c r="J187" s="37">
        <v>1450</v>
      </c>
      <c r="K187" s="38">
        <f t="shared" si="21"/>
        <v>23200</v>
      </c>
      <c r="L187" s="38" t="s">
        <v>41</v>
      </c>
      <c r="M187" s="37">
        <v>1263</v>
      </c>
      <c r="N187" s="38">
        <f t="shared" si="22"/>
        <v>20208</v>
      </c>
      <c r="O187" s="39">
        <f t="shared" si="23"/>
        <v>1231</v>
      </c>
      <c r="P187" s="40">
        <f t="shared" si="24"/>
        <v>-0.11860276198213171</v>
      </c>
      <c r="Q187" s="39">
        <f t="shared" si="25"/>
        <v>19672.64</v>
      </c>
      <c r="R187" s="41"/>
      <c r="T187" s="42">
        <f t="shared" si="26"/>
        <v>-20</v>
      </c>
      <c r="U187" s="42">
        <f t="shared" si="27"/>
        <v>18</v>
      </c>
      <c r="V187" s="42">
        <f t="shared" si="28"/>
        <v>3</v>
      </c>
    </row>
    <row r="188" spans="1:22" s="28" customFormat="1" ht="73.5" customHeight="1" x14ac:dyDescent="0.2">
      <c r="A188" s="30">
        <v>177</v>
      </c>
      <c r="B188" s="31" t="s">
        <v>276</v>
      </c>
      <c r="C188" s="32" t="s">
        <v>53</v>
      </c>
      <c r="D188" s="33">
        <v>500</v>
      </c>
      <c r="E188" s="62">
        <v>482.37</v>
      </c>
      <c r="F188" s="32" t="s">
        <v>277</v>
      </c>
      <c r="G188" s="37">
        <f>625/1.2</f>
        <v>520.83333333333337</v>
      </c>
      <c r="H188" s="38">
        <f t="shared" si="29"/>
        <v>260416.66666666669</v>
      </c>
      <c r="I188" s="32" t="s">
        <v>46</v>
      </c>
      <c r="J188" s="37">
        <v>479</v>
      </c>
      <c r="K188" s="38">
        <f t="shared" si="21"/>
        <v>239500</v>
      </c>
      <c r="L188" s="32" t="s">
        <v>278</v>
      </c>
      <c r="M188" s="37">
        <f>10800/20/1.2</f>
        <v>450</v>
      </c>
      <c r="N188" s="38">
        <f t="shared" si="22"/>
        <v>225000</v>
      </c>
      <c r="O188" s="39">
        <f t="shared" si="23"/>
        <v>483.27777777777783</v>
      </c>
      <c r="P188" s="40">
        <f t="shared" si="24"/>
        <v>-0.18783768249224408</v>
      </c>
      <c r="Q188" s="39">
        <f t="shared" si="25"/>
        <v>241185</v>
      </c>
      <c r="R188" s="64" t="s">
        <v>481</v>
      </c>
      <c r="T188" s="42">
        <f t="shared" si="26"/>
        <v>8</v>
      </c>
      <c r="U188" s="42">
        <f t="shared" si="27"/>
        <v>-1</v>
      </c>
      <c r="V188" s="42">
        <f t="shared" si="28"/>
        <v>-7</v>
      </c>
    </row>
    <row r="189" spans="1:22" s="28" customFormat="1" ht="73.5" customHeight="1" x14ac:dyDescent="0.2">
      <c r="A189" s="30">
        <v>178</v>
      </c>
      <c r="B189" s="31" t="s">
        <v>279</v>
      </c>
      <c r="C189" s="32" t="s">
        <v>45</v>
      </c>
      <c r="D189" s="33" t="s">
        <v>280</v>
      </c>
      <c r="E189" s="35">
        <v>28855.3</v>
      </c>
      <c r="F189" s="32" t="s">
        <v>281</v>
      </c>
      <c r="G189" s="37">
        <f>(1630*1000/50)/1.2</f>
        <v>27166.666666666668</v>
      </c>
      <c r="H189" s="38">
        <f t="shared" si="29"/>
        <v>13583.333333333334</v>
      </c>
      <c r="I189" s="32" t="s">
        <v>58</v>
      </c>
      <c r="J189" s="37">
        <v>30052.39</v>
      </c>
      <c r="K189" s="54">
        <f t="shared" si="21"/>
        <v>15026.195</v>
      </c>
      <c r="L189" s="38" t="s">
        <v>29</v>
      </c>
      <c r="M189" s="37">
        <v>29361.09</v>
      </c>
      <c r="N189" s="38">
        <f t="shared" si="22"/>
        <v>14680.545</v>
      </c>
      <c r="O189" s="39">
        <f t="shared" si="23"/>
        <v>28860.04888888889</v>
      </c>
      <c r="P189" s="40">
        <f t="shared" si="24"/>
        <v>-1.6454888580312854E-2</v>
      </c>
      <c r="Q189" s="39">
        <f t="shared" si="25"/>
        <v>14427.65</v>
      </c>
      <c r="R189" s="41"/>
      <c r="T189" s="42">
        <f t="shared" si="26"/>
        <v>-6</v>
      </c>
      <c r="U189" s="42">
        <f t="shared" si="27"/>
        <v>4</v>
      </c>
      <c r="V189" s="42">
        <f t="shared" si="28"/>
        <v>2</v>
      </c>
    </row>
    <row r="190" spans="1:22" s="28" customFormat="1" ht="73.5" customHeight="1" x14ac:dyDescent="0.2">
      <c r="A190" s="30">
        <v>179</v>
      </c>
      <c r="B190" s="31" t="s">
        <v>282</v>
      </c>
      <c r="C190" s="32" t="s">
        <v>25</v>
      </c>
      <c r="D190" s="33">
        <v>10</v>
      </c>
      <c r="E190" s="35">
        <v>154.38</v>
      </c>
      <c r="F190" s="32" t="s">
        <v>27</v>
      </c>
      <c r="G190" s="37">
        <f>159.09/1.2</f>
        <v>132.57500000000002</v>
      </c>
      <c r="H190" s="38">
        <f t="shared" si="29"/>
        <v>1325.7500000000002</v>
      </c>
      <c r="I190" s="38" t="s">
        <v>28</v>
      </c>
      <c r="J190" s="37">
        <v>173.53</v>
      </c>
      <c r="K190" s="38">
        <f t="shared" si="21"/>
        <v>1735.3</v>
      </c>
      <c r="L190" s="38" t="s">
        <v>29</v>
      </c>
      <c r="M190" s="37">
        <v>159.82</v>
      </c>
      <c r="N190" s="38">
        <f t="shared" si="22"/>
        <v>1598.1999999999998</v>
      </c>
      <c r="O190" s="39">
        <f t="shared" si="23"/>
        <v>155.30833333333334</v>
      </c>
      <c r="P190" s="40">
        <f t="shared" si="24"/>
        <v>-0.59773568707410618</v>
      </c>
      <c r="Q190" s="39">
        <f t="shared" si="25"/>
        <v>1543.8</v>
      </c>
      <c r="R190" s="41"/>
      <c r="T190" s="42">
        <f t="shared" si="26"/>
        <v>-15</v>
      </c>
      <c r="U190" s="42">
        <f t="shared" si="27"/>
        <v>12</v>
      </c>
      <c r="V190" s="42">
        <f t="shared" si="28"/>
        <v>3</v>
      </c>
    </row>
    <row r="191" spans="1:22" s="28" customFormat="1" ht="73.5" customHeight="1" x14ac:dyDescent="0.2">
      <c r="A191" s="30">
        <v>180</v>
      </c>
      <c r="B191" s="31" t="s">
        <v>283</v>
      </c>
      <c r="C191" s="32" t="s">
        <v>25</v>
      </c>
      <c r="D191" s="33">
        <v>5</v>
      </c>
      <c r="E191" s="35">
        <v>38.659999999999997</v>
      </c>
      <c r="F191" s="32" t="s">
        <v>27</v>
      </c>
      <c r="G191" s="37">
        <f>41.96/1.2</f>
        <v>34.966666666666669</v>
      </c>
      <c r="H191" s="38">
        <f t="shared" si="29"/>
        <v>174.83333333333334</v>
      </c>
      <c r="I191" s="38" t="s">
        <v>28</v>
      </c>
      <c r="J191" s="37">
        <v>40.11</v>
      </c>
      <c r="K191" s="38">
        <f t="shared" si="21"/>
        <v>200.55</v>
      </c>
      <c r="L191" s="38" t="s">
        <v>29</v>
      </c>
      <c r="M191" s="37">
        <v>42.43</v>
      </c>
      <c r="N191" s="38">
        <f t="shared" si="22"/>
        <v>212.15</v>
      </c>
      <c r="O191" s="39">
        <f t="shared" si="23"/>
        <v>39.168888888888887</v>
      </c>
      <c r="P191" s="40">
        <f t="shared" si="24"/>
        <v>-1.2992170656984001</v>
      </c>
      <c r="Q191" s="39">
        <f t="shared" si="25"/>
        <v>193.29999999999998</v>
      </c>
      <c r="R191" s="41"/>
      <c r="T191" s="42">
        <f t="shared" si="26"/>
        <v>-11</v>
      </c>
      <c r="U191" s="42">
        <f t="shared" si="27"/>
        <v>2</v>
      </c>
      <c r="V191" s="42">
        <f t="shared" si="28"/>
        <v>8</v>
      </c>
    </row>
    <row r="192" spans="1:22" s="28" customFormat="1" ht="73.5" customHeight="1" x14ac:dyDescent="0.2">
      <c r="A192" s="30">
        <v>181</v>
      </c>
      <c r="B192" s="31" t="s">
        <v>284</v>
      </c>
      <c r="C192" s="32" t="s">
        <v>25</v>
      </c>
      <c r="D192" s="33">
        <v>51</v>
      </c>
      <c r="E192" s="35">
        <v>37.020000000000003</v>
      </c>
      <c r="F192" s="32" t="s">
        <v>27</v>
      </c>
      <c r="G192" s="37">
        <f>42.95/1.2</f>
        <v>35.791666666666671</v>
      </c>
      <c r="H192" s="38">
        <f t="shared" si="29"/>
        <v>1825.3750000000002</v>
      </c>
      <c r="I192" s="38" t="s">
        <v>28</v>
      </c>
      <c r="J192" s="37">
        <v>42.57</v>
      </c>
      <c r="K192" s="38">
        <f t="shared" si="21"/>
        <v>2171.0700000000002</v>
      </c>
      <c r="L192" s="38" t="s">
        <v>29</v>
      </c>
      <c r="M192" s="37">
        <v>34.21</v>
      </c>
      <c r="N192" s="38">
        <f t="shared" si="22"/>
        <v>1744.71</v>
      </c>
      <c r="O192" s="39">
        <f t="shared" si="23"/>
        <v>37.523888888888898</v>
      </c>
      <c r="P192" s="40">
        <f t="shared" si="24"/>
        <v>-1.3428482596272175</v>
      </c>
      <c r="Q192" s="39">
        <f t="shared" si="25"/>
        <v>1888.0200000000002</v>
      </c>
      <c r="R192" s="41"/>
      <c r="T192" s="42">
        <f t="shared" si="26"/>
        <v>-5</v>
      </c>
      <c r="U192" s="42">
        <f t="shared" si="27"/>
        <v>13</v>
      </c>
      <c r="V192" s="42">
        <f t="shared" si="28"/>
        <v>-9</v>
      </c>
    </row>
    <row r="193" spans="1:22" s="28" customFormat="1" ht="73.5" customHeight="1" x14ac:dyDescent="0.2">
      <c r="A193" s="30">
        <v>182</v>
      </c>
      <c r="B193" s="31" t="s">
        <v>285</v>
      </c>
      <c r="C193" s="32" t="s">
        <v>25</v>
      </c>
      <c r="D193" s="33">
        <v>65</v>
      </c>
      <c r="E193" s="35">
        <v>128.97999999999999</v>
      </c>
      <c r="F193" s="32" t="s">
        <v>27</v>
      </c>
      <c r="G193" s="37">
        <f>152.58/1.2</f>
        <v>127.15000000000002</v>
      </c>
      <c r="H193" s="38">
        <f t="shared" si="29"/>
        <v>8264.7500000000018</v>
      </c>
      <c r="I193" s="38" t="s">
        <v>28</v>
      </c>
      <c r="J193" s="37">
        <v>124.64</v>
      </c>
      <c r="K193" s="38">
        <f t="shared" si="21"/>
        <v>8101.6</v>
      </c>
      <c r="L193" s="38" t="s">
        <v>29</v>
      </c>
      <c r="M193" s="37">
        <v>140.51</v>
      </c>
      <c r="N193" s="38">
        <f t="shared" si="22"/>
        <v>9133.15</v>
      </c>
      <c r="O193" s="39">
        <f t="shared" si="23"/>
        <v>130.76666666666668</v>
      </c>
      <c r="P193" s="40">
        <f t="shared" si="24"/>
        <v>-1.366301300025512</v>
      </c>
      <c r="Q193" s="39">
        <f t="shared" si="25"/>
        <v>8383.6999999999989</v>
      </c>
      <c r="R193" s="41"/>
      <c r="T193" s="42">
        <f t="shared" si="26"/>
        <v>-3</v>
      </c>
      <c r="U193" s="42">
        <f t="shared" si="27"/>
        <v>-5</v>
      </c>
      <c r="V193" s="42">
        <f t="shared" si="28"/>
        <v>7</v>
      </c>
    </row>
    <row r="194" spans="1:22" s="28" customFormat="1" ht="73.5" customHeight="1" x14ac:dyDescent="0.2">
      <c r="A194" s="30">
        <v>183</v>
      </c>
      <c r="B194" s="31" t="s">
        <v>286</v>
      </c>
      <c r="C194" s="32" t="s">
        <v>25</v>
      </c>
      <c r="D194" s="33">
        <v>17</v>
      </c>
      <c r="E194" s="35">
        <v>825.64</v>
      </c>
      <c r="F194" s="32" t="s">
        <v>27</v>
      </c>
      <c r="G194" s="37">
        <f>964.79/1.2</f>
        <v>803.99166666666667</v>
      </c>
      <c r="H194" s="38">
        <f t="shared" si="29"/>
        <v>13667.858333333334</v>
      </c>
      <c r="I194" s="38" t="s">
        <v>28</v>
      </c>
      <c r="J194" s="37">
        <v>800.97</v>
      </c>
      <c r="K194" s="38">
        <f t="shared" si="21"/>
        <v>13616.49</v>
      </c>
      <c r="L194" s="38" t="s">
        <v>29</v>
      </c>
      <c r="M194" s="37">
        <v>877.17</v>
      </c>
      <c r="N194" s="38">
        <f t="shared" si="22"/>
        <v>14911.89</v>
      </c>
      <c r="O194" s="39">
        <f t="shared" si="23"/>
        <v>827.37722222222226</v>
      </c>
      <c r="P194" s="40">
        <f t="shared" si="24"/>
        <v>-0.20996737347401506</v>
      </c>
      <c r="Q194" s="39">
        <f t="shared" si="25"/>
        <v>14035.88</v>
      </c>
      <c r="R194" s="41"/>
      <c r="T194" s="42">
        <f t="shared" si="26"/>
        <v>-3</v>
      </c>
      <c r="U194" s="42">
        <f t="shared" si="27"/>
        <v>-3</v>
      </c>
      <c r="V194" s="42">
        <f t="shared" si="28"/>
        <v>6</v>
      </c>
    </row>
    <row r="195" spans="1:22" s="28" customFormat="1" ht="73.5" customHeight="1" x14ac:dyDescent="0.2">
      <c r="A195" s="30">
        <v>184</v>
      </c>
      <c r="B195" s="31" t="s">
        <v>287</v>
      </c>
      <c r="C195" s="32" t="s">
        <v>25</v>
      </c>
      <c r="D195" s="33">
        <v>1</v>
      </c>
      <c r="E195" s="35">
        <v>1705.34</v>
      </c>
      <c r="F195" s="32" t="s">
        <v>27</v>
      </c>
      <c r="G195" s="37">
        <f>1922.48/1.2</f>
        <v>1602.0666666666668</v>
      </c>
      <c r="H195" s="38">
        <f t="shared" si="29"/>
        <v>1602.0666666666668</v>
      </c>
      <c r="I195" s="38" t="s">
        <v>28</v>
      </c>
      <c r="J195" s="37">
        <v>1722.42</v>
      </c>
      <c r="K195" s="38">
        <f t="shared" si="21"/>
        <v>1722.42</v>
      </c>
      <c r="L195" s="38" t="s">
        <v>29</v>
      </c>
      <c r="M195" s="37">
        <v>1806.95</v>
      </c>
      <c r="N195" s="38">
        <f t="shared" si="22"/>
        <v>1806.95</v>
      </c>
      <c r="O195" s="39">
        <f t="shared" si="23"/>
        <v>1710.4788888888888</v>
      </c>
      <c r="P195" s="40">
        <f t="shared" si="24"/>
        <v>-0.30043568045596203</v>
      </c>
      <c r="Q195" s="39">
        <f t="shared" si="25"/>
        <v>1705.34</v>
      </c>
      <c r="R195" s="41"/>
      <c r="T195" s="42">
        <f t="shared" si="26"/>
        <v>-6</v>
      </c>
      <c r="U195" s="42">
        <f t="shared" si="27"/>
        <v>1</v>
      </c>
      <c r="V195" s="42">
        <f t="shared" si="28"/>
        <v>6</v>
      </c>
    </row>
    <row r="196" spans="1:22" s="28" customFormat="1" ht="73.5" customHeight="1" x14ac:dyDescent="0.2">
      <c r="A196" s="30">
        <v>185</v>
      </c>
      <c r="B196" s="31" t="s">
        <v>288</v>
      </c>
      <c r="C196" s="32" t="s">
        <v>25</v>
      </c>
      <c r="D196" s="33">
        <v>1</v>
      </c>
      <c r="E196" s="35">
        <v>246.37</v>
      </c>
      <c r="F196" s="32" t="s">
        <v>27</v>
      </c>
      <c r="G196" s="37">
        <f>272.92/1.2</f>
        <v>227.43333333333337</v>
      </c>
      <c r="H196" s="38">
        <f t="shared" ref="H196:H226" si="30">D196*G196</f>
        <v>227.43333333333337</v>
      </c>
      <c r="I196" s="38" t="s">
        <v>28</v>
      </c>
      <c r="J196" s="37">
        <v>218.37</v>
      </c>
      <c r="K196" s="38">
        <f t="shared" si="21"/>
        <v>218.37</v>
      </c>
      <c r="L196" s="38" t="s">
        <v>29</v>
      </c>
      <c r="M196" s="37">
        <v>299.05</v>
      </c>
      <c r="N196" s="38">
        <f t="shared" si="22"/>
        <v>299.05</v>
      </c>
      <c r="O196" s="39">
        <f t="shared" si="23"/>
        <v>248.28444444444449</v>
      </c>
      <c r="P196" s="40">
        <f t="shared" si="24"/>
        <v>-0.77106902477447647</v>
      </c>
      <c r="Q196" s="39">
        <f t="shared" si="25"/>
        <v>246.37</v>
      </c>
      <c r="R196" s="41"/>
      <c r="T196" s="42">
        <f t="shared" si="26"/>
        <v>-8</v>
      </c>
      <c r="U196" s="42">
        <f t="shared" si="27"/>
        <v>-12</v>
      </c>
      <c r="V196" s="42">
        <f t="shared" si="28"/>
        <v>20</v>
      </c>
    </row>
    <row r="197" spans="1:22" s="28" customFormat="1" ht="73.5" customHeight="1" x14ac:dyDescent="0.2">
      <c r="A197" s="30">
        <v>186</v>
      </c>
      <c r="B197" s="31" t="s">
        <v>289</v>
      </c>
      <c r="C197" s="32" t="s">
        <v>25</v>
      </c>
      <c r="D197" s="33">
        <v>36</v>
      </c>
      <c r="E197" s="35">
        <v>39.04</v>
      </c>
      <c r="F197" s="32" t="s">
        <v>27</v>
      </c>
      <c r="G197" s="37">
        <f>42.98/1.2</f>
        <v>35.816666666666663</v>
      </c>
      <c r="H197" s="38">
        <f t="shared" si="30"/>
        <v>1289.3999999999999</v>
      </c>
      <c r="I197" s="38" t="s">
        <v>28</v>
      </c>
      <c r="J197" s="37">
        <v>44.2</v>
      </c>
      <c r="K197" s="38">
        <f t="shared" si="21"/>
        <v>1591.2</v>
      </c>
      <c r="L197" s="38" t="s">
        <v>29</v>
      </c>
      <c r="M197" s="37">
        <v>38.46</v>
      </c>
      <c r="N197" s="38">
        <f t="shared" si="22"/>
        <v>1384.56</v>
      </c>
      <c r="O197" s="39">
        <f t="shared" si="23"/>
        <v>39.492222222222217</v>
      </c>
      <c r="P197" s="40">
        <f t="shared" si="24"/>
        <v>-1.1450918605632552</v>
      </c>
      <c r="Q197" s="39">
        <f t="shared" si="25"/>
        <v>1405.44</v>
      </c>
      <c r="R197" s="41"/>
      <c r="T197" s="42">
        <f t="shared" si="26"/>
        <v>-9</v>
      </c>
      <c r="U197" s="42">
        <f t="shared" si="27"/>
        <v>12</v>
      </c>
      <c r="V197" s="42">
        <f t="shared" si="28"/>
        <v>-3</v>
      </c>
    </row>
    <row r="198" spans="1:22" s="28" customFormat="1" ht="73.5" customHeight="1" x14ac:dyDescent="0.2">
      <c r="A198" s="30">
        <v>187</v>
      </c>
      <c r="B198" s="31" t="s">
        <v>290</v>
      </c>
      <c r="C198" s="32" t="s">
        <v>45</v>
      </c>
      <c r="D198" s="33">
        <v>8</v>
      </c>
      <c r="E198" s="35">
        <v>592.47</v>
      </c>
      <c r="F198" s="32" t="s">
        <v>56</v>
      </c>
      <c r="G198" s="37">
        <v>597.5</v>
      </c>
      <c r="H198" s="38">
        <f t="shared" si="30"/>
        <v>4780</v>
      </c>
      <c r="I198" s="38" t="s">
        <v>57</v>
      </c>
      <c r="J198" s="37">
        <v>549.78</v>
      </c>
      <c r="K198" s="38">
        <f t="shared" si="21"/>
        <v>4398.24</v>
      </c>
      <c r="L198" s="32" t="s">
        <v>58</v>
      </c>
      <c r="M198" s="37">
        <v>634.45000000000005</v>
      </c>
      <c r="N198" s="38">
        <f t="shared" si="22"/>
        <v>5075.6000000000004</v>
      </c>
      <c r="O198" s="39">
        <f t="shared" si="23"/>
        <v>593.91</v>
      </c>
      <c r="P198" s="40">
        <f t="shared" si="24"/>
        <v>-0.24246097893619378</v>
      </c>
      <c r="Q198" s="39">
        <f t="shared" si="25"/>
        <v>4739.76</v>
      </c>
      <c r="R198" s="41"/>
      <c r="T198" s="42">
        <f t="shared" si="26"/>
        <v>1</v>
      </c>
      <c r="U198" s="42">
        <f t="shared" si="27"/>
        <v>-7</v>
      </c>
      <c r="V198" s="42">
        <f t="shared" si="28"/>
        <v>7</v>
      </c>
    </row>
    <row r="199" spans="1:22" s="28" customFormat="1" ht="73.5" customHeight="1" x14ac:dyDescent="0.2">
      <c r="A199" s="30">
        <v>188</v>
      </c>
      <c r="B199" s="31" t="s">
        <v>291</v>
      </c>
      <c r="C199" s="32" t="s">
        <v>292</v>
      </c>
      <c r="D199" s="33">
        <v>532</v>
      </c>
      <c r="E199" s="35">
        <v>53.08</v>
      </c>
      <c r="F199" s="32" t="s">
        <v>90</v>
      </c>
      <c r="G199" s="37">
        <f>61.72/1.2</f>
        <v>51.433333333333337</v>
      </c>
      <c r="H199" s="38">
        <f t="shared" si="30"/>
        <v>27362.533333333336</v>
      </c>
      <c r="I199" s="32" t="s">
        <v>46</v>
      </c>
      <c r="J199" s="37">
        <v>55.09</v>
      </c>
      <c r="K199" s="38">
        <f t="shared" si="21"/>
        <v>29307.88</v>
      </c>
      <c r="L199" s="32" t="s">
        <v>58</v>
      </c>
      <c r="M199" s="37">
        <v>53.87</v>
      </c>
      <c r="N199" s="38">
        <f t="shared" si="22"/>
        <v>28658.84</v>
      </c>
      <c r="O199" s="39">
        <f t="shared" si="23"/>
        <v>53.464444444444446</v>
      </c>
      <c r="P199" s="40">
        <f t="shared" si="24"/>
        <v>-0.71906563032545989</v>
      </c>
      <c r="Q199" s="39">
        <f t="shared" si="25"/>
        <v>28238.559999999998</v>
      </c>
      <c r="R199" s="41"/>
      <c r="T199" s="42">
        <f t="shared" si="26"/>
        <v>-4</v>
      </c>
      <c r="U199" s="42">
        <f t="shared" si="27"/>
        <v>3</v>
      </c>
      <c r="V199" s="42">
        <f t="shared" si="28"/>
        <v>1</v>
      </c>
    </row>
    <row r="200" spans="1:22" s="28" customFormat="1" ht="73.5" customHeight="1" x14ac:dyDescent="0.2">
      <c r="A200" s="30">
        <v>189</v>
      </c>
      <c r="B200" s="31" t="s">
        <v>293</v>
      </c>
      <c r="C200" s="32" t="s">
        <v>25</v>
      </c>
      <c r="D200" s="33">
        <v>8</v>
      </c>
      <c r="E200" s="35">
        <v>394.7</v>
      </c>
      <c r="F200" s="32" t="s">
        <v>294</v>
      </c>
      <c r="G200" s="37">
        <v>357.28</v>
      </c>
      <c r="H200" s="38">
        <f t="shared" si="30"/>
        <v>2858.24</v>
      </c>
      <c r="I200" s="32" t="s">
        <v>295</v>
      </c>
      <c r="J200" s="37">
        <v>380</v>
      </c>
      <c r="K200" s="38">
        <f t="shared" si="21"/>
        <v>3040</v>
      </c>
      <c r="L200" s="38" t="s">
        <v>41</v>
      </c>
      <c r="M200" s="37">
        <v>450.14</v>
      </c>
      <c r="N200" s="38">
        <f t="shared" si="22"/>
        <v>3601.12</v>
      </c>
      <c r="O200" s="39">
        <f t="shared" si="23"/>
        <v>395.80666666666667</v>
      </c>
      <c r="P200" s="40">
        <f t="shared" si="24"/>
        <v>-0.27959778342962238</v>
      </c>
      <c r="Q200" s="39">
        <f t="shared" si="25"/>
        <v>3157.6</v>
      </c>
      <c r="R200" s="41"/>
      <c r="T200" s="42">
        <f t="shared" si="26"/>
        <v>-10</v>
      </c>
      <c r="U200" s="42">
        <f t="shared" si="27"/>
        <v>-4</v>
      </c>
      <c r="V200" s="42">
        <f t="shared" si="28"/>
        <v>14</v>
      </c>
    </row>
    <row r="201" spans="1:22" s="28" customFormat="1" ht="73.5" customHeight="1" x14ac:dyDescent="0.2">
      <c r="A201" s="30">
        <v>190</v>
      </c>
      <c r="B201" s="31" t="s">
        <v>296</v>
      </c>
      <c r="C201" s="32" t="s">
        <v>25</v>
      </c>
      <c r="D201" s="33">
        <v>28</v>
      </c>
      <c r="E201" s="35">
        <v>402.64</v>
      </c>
      <c r="F201" s="32" t="s">
        <v>294</v>
      </c>
      <c r="G201" s="37">
        <v>395.38</v>
      </c>
      <c r="H201" s="38">
        <f t="shared" si="30"/>
        <v>11070.64</v>
      </c>
      <c r="I201" s="32" t="s">
        <v>295</v>
      </c>
      <c r="J201" s="37">
        <v>395</v>
      </c>
      <c r="K201" s="38">
        <f t="shared" si="21"/>
        <v>11060</v>
      </c>
      <c r="L201" s="38" t="s">
        <v>41</v>
      </c>
      <c r="M201" s="37">
        <v>420.11</v>
      </c>
      <c r="N201" s="38">
        <f t="shared" si="22"/>
        <v>11763.08</v>
      </c>
      <c r="O201" s="39">
        <f t="shared" si="23"/>
        <v>403.49666666666667</v>
      </c>
      <c r="P201" s="40">
        <f t="shared" si="24"/>
        <v>-0.21231071714760219</v>
      </c>
      <c r="Q201" s="39">
        <f t="shared" si="25"/>
        <v>11273.92</v>
      </c>
      <c r="R201" s="41"/>
      <c r="T201" s="42">
        <f t="shared" si="26"/>
        <v>-2</v>
      </c>
      <c r="U201" s="42">
        <f t="shared" si="27"/>
        <v>-2</v>
      </c>
      <c r="V201" s="42">
        <f t="shared" si="28"/>
        <v>4</v>
      </c>
    </row>
    <row r="202" spans="1:22" s="28" customFormat="1" ht="73.5" customHeight="1" x14ac:dyDescent="0.2">
      <c r="A202" s="30">
        <v>191</v>
      </c>
      <c r="B202" s="31" t="s">
        <v>297</v>
      </c>
      <c r="C202" s="32" t="s">
        <v>25</v>
      </c>
      <c r="D202" s="33">
        <v>2</v>
      </c>
      <c r="E202" s="35">
        <v>990.1</v>
      </c>
      <c r="F202" s="32" t="s">
        <v>294</v>
      </c>
      <c r="G202" s="37">
        <v>984.06</v>
      </c>
      <c r="H202" s="38">
        <f t="shared" si="30"/>
        <v>1968.12</v>
      </c>
      <c r="I202" s="32" t="s">
        <v>295</v>
      </c>
      <c r="J202" s="37">
        <v>956</v>
      </c>
      <c r="K202" s="38">
        <f t="shared" si="21"/>
        <v>1912</v>
      </c>
      <c r="L202" s="38" t="s">
        <v>41</v>
      </c>
      <c r="M202" s="37">
        <v>1040.46</v>
      </c>
      <c r="N202" s="38">
        <f t="shared" si="22"/>
        <v>2080.92</v>
      </c>
      <c r="O202" s="39">
        <f t="shared" si="23"/>
        <v>993.50666666666666</v>
      </c>
      <c r="P202" s="40">
        <f t="shared" si="24"/>
        <v>-0.34289318642385069</v>
      </c>
      <c r="Q202" s="39">
        <f t="shared" si="25"/>
        <v>1980.2</v>
      </c>
      <c r="R202" s="41"/>
      <c r="T202" s="42">
        <f t="shared" si="26"/>
        <v>-1</v>
      </c>
      <c r="U202" s="42">
        <f t="shared" si="27"/>
        <v>-4</v>
      </c>
      <c r="V202" s="42">
        <f t="shared" si="28"/>
        <v>5</v>
      </c>
    </row>
    <row r="203" spans="1:22" s="28" customFormat="1" ht="73.5" customHeight="1" x14ac:dyDescent="0.2">
      <c r="A203" s="30">
        <v>192</v>
      </c>
      <c r="B203" s="31" t="s">
        <v>298</v>
      </c>
      <c r="C203" s="32" t="s">
        <v>25</v>
      </c>
      <c r="D203" s="33">
        <v>8</v>
      </c>
      <c r="E203" s="35">
        <v>487.56</v>
      </c>
      <c r="F203" s="32" t="s">
        <v>294</v>
      </c>
      <c r="G203" s="37">
        <v>465.05</v>
      </c>
      <c r="H203" s="38">
        <f t="shared" si="30"/>
        <v>3720.4</v>
      </c>
      <c r="I203" s="32" t="s">
        <v>295</v>
      </c>
      <c r="J203" s="37">
        <v>482</v>
      </c>
      <c r="K203" s="38">
        <f t="shared" si="21"/>
        <v>3856</v>
      </c>
      <c r="L203" s="38" t="s">
        <v>41</v>
      </c>
      <c r="M203" s="37">
        <v>521.12</v>
      </c>
      <c r="N203" s="38">
        <f t="shared" si="22"/>
        <v>4168.96</v>
      </c>
      <c r="O203" s="39">
        <f t="shared" si="23"/>
        <v>489.39000000000004</v>
      </c>
      <c r="P203" s="40">
        <f t="shared" si="24"/>
        <v>-0.37393489854717643</v>
      </c>
      <c r="Q203" s="39">
        <f t="shared" si="25"/>
        <v>3900.48</v>
      </c>
      <c r="R203" s="41"/>
      <c r="T203" s="42">
        <f t="shared" si="26"/>
        <v>-5</v>
      </c>
      <c r="U203" s="42">
        <f t="shared" si="27"/>
        <v>-2</v>
      </c>
      <c r="V203" s="42">
        <f t="shared" si="28"/>
        <v>6</v>
      </c>
    </row>
    <row r="204" spans="1:22" s="28" customFormat="1" ht="73.5" customHeight="1" x14ac:dyDescent="0.2">
      <c r="A204" s="30">
        <v>193</v>
      </c>
      <c r="B204" s="31" t="s">
        <v>299</v>
      </c>
      <c r="C204" s="32" t="s">
        <v>25</v>
      </c>
      <c r="D204" s="33">
        <v>10</v>
      </c>
      <c r="E204" s="35">
        <v>578.79999999999995</v>
      </c>
      <c r="F204" s="32" t="s">
        <v>294</v>
      </c>
      <c r="G204" s="37">
        <v>557.80999999999995</v>
      </c>
      <c r="H204" s="38">
        <f t="shared" si="30"/>
        <v>5578.0999999999995</v>
      </c>
      <c r="I204" s="32" t="s">
        <v>295</v>
      </c>
      <c r="J204" s="37">
        <v>560</v>
      </c>
      <c r="K204" s="38">
        <f t="shared" ref="K204:K267" si="31">D204*J204</f>
        <v>5600</v>
      </c>
      <c r="L204" s="38" t="s">
        <v>41</v>
      </c>
      <c r="M204" s="37">
        <v>620.64</v>
      </c>
      <c r="N204" s="38">
        <f t="shared" ref="N204:N267" si="32">D204*M204</f>
        <v>6206.4</v>
      </c>
      <c r="O204" s="39">
        <f t="shared" ref="O204:O267" si="33">AVERAGE(G204,J204,M204)</f>
        <v>579.48333333333323</v>
      </c>
      <c r="P204" s="40">
        <f t="shared" ref="P204:P267" si="34">E204*100/O204-100</f>
        <v>-0.1179211366447106</v>
      </c>
      <c r="Q204" s="39">
        <f t="shared" ref="Q204:Q267" si="35">D204*E204</f>
        <v>5788</v>
      </c>
      <c r="R204" s="41"/>
      <c r="T204" s="42">
        <f t="shared" ref="T204:T267" si="36">ROUND(G204*100/O204-100,0)</f>
        <v>-4</v>
      </c>
      <c r="U204" s="42">
        <f t="shared" ref="U204:U267" si="37">ROUND(J204*100/O204-100,0)</f>
        <v>-3</v>
      </c>
      <c r="V204" s="42">
        <f t="shared" ref="V204:V267" si="38">ROUND(M204*100/O204-100,0)</f>
        <v>7</v>
      </c>
    </row>
    <row r="205" spans="1:22" s="28" customFormat="1" ht="73.5" customHeight="1" x14ac:dyDescent="0.2">
      <c r="A205" s="30">
        <v>194</v>
      </c>
      <c r="B205" s="31" t="s">
        <v>300</v>
      </c>
      <c r="C205" s="32" t="s">
        <v>25</v>
      </c>
      <c r="D205" s="33">
        <v>46</v>
      </c>
      <c r="E205" s="35">
        <v>841.2</v>
      </c>
      <c r="F205" s="32" t="s">
        <v>294</v>
      </c>
      <c r="G205" s="37">
        <v>766.01</v>
      </c>
      <c r="H205" s="38">
        <f t="shared" si="30"/>
        <v>35236.46</v>
      </c>
      <c r="I205" s="32" t="s">
        <v>295</v>
      </c>
      <c r="J205" s="37">
        <v>840</v>
      </c>
      <c r="K205" s="38">
        <f t="shared" si="31"/>
        <v>38640</v>
      </c>
      <c r="L205" s="38" t="s">
        <v>41</v>
      </c>
      <c r="M205" s="37">
        <v>921.5</v>
      </c>
      <c r="N205" s="38">
        <f t="shared" si="32"/>
        <v>42389</v>
      </c>
      <c r="O205" s="39">
        <f t="shared" si="33"/>
        <v>842.50333333333344</v>
      </c>
      <c r="P205" s="40">
        <f t="shared" si="34"/>
        <v>-0.15469770643836966</v>
      </c>
      <c r="Q205" s="39">
        <f t="shared" si="35"/>
        <v>38695.200000000004</v>
      </c>
      <c r="R205" s="41"/>
      <c r="T205" s="42">
        <f t="shared" si="36"/>
        <v>-9</v>
      </c>
      <c r="U205" s="42">
        <f t="shared" si="37"/>
        <v>0</v>
      </c>
      <c r="V205" s="42">
        <f t="shared" si="38"/>
        <v>9</v>
      </c>
    </row>
    <row r="206" spans="1:22" s="28" customFormat="1" ht="73.5" customHeight="1" x14ac:dyDescent="0.2">
      <c r="A206" s="30">
        <v>195</v>
      </c>
      <c r="B206" s="31" t="s">
        <v>301</v>
      </c>
      <c r="C206" s="32" t="s">
        <v>25</v>
      </c>
      <c r="D206" s="33">
        <v>24</v>
      </c>
      <c r="E206" s="35">
        <v>1017.48</v>
      </c>
      <c r="F206" s="32" t="s">
        <v>294</v>
      </c>
      <c r="G206" s="37">
        <v>995.81</v>
      </c>
      <c r="H206" s="38">
        <f t="shared" si="30"/>
        <v>23899.439999999999</v>
      </c>
      <c r="I206" s="32" t="s">
        <v>295</v>
      </c>
      <c r="J206" s="37">
        <v>960</v>
      </c>
      <c r="K206" s="38">
        <f t="shared" si="31"/>
        <v>23040</v>
      </c>
      <c r="L206" s="38" t="s">
        <v>41</v>
      </c>
      <c r="M206" s="37">
        <v>1102.7</v>
      </c>
      <c r="N206" s="38">
        <f t="shared" si="32"/>
        <v>26464.800000000003</v>
      </c>
      <c r="O206" s="39">
        <f t="shared" si="33"/>
        <v>1019.5033333333334</v>
      </c>
      <c r="P206" s="40">
        <f t="shared" si="34"/>
        <v>-0.19846265011395303</v>
      </c>
      <c r="Q206" s="39">
        <f t="shared" si="35"/>
        <v>24419.52</v>
      </c>
      <c r="R206" s="41"/>
      <c r="T206" s="42">
        <f t="shared" si="36"/>
        <v>-2</v>
      </c>
      <c r="U206" s="42">
        <f t="shared" si="37"/>
        <v>-6</v>
      </c>
      <c r="V206" s="42">
        <f t="shared" si="38"/>
        <v>8</v>
      </c>
    </row>
    <row r="207" spans="1:22" s="28" customFormat="1" ht="73.5" customHeight="1" x14ac:dyDescent="0.2">
      <c r="A207" s="30">
        <v>196</v>
      </c>
      <c r="B207" s="31" t="s">
        <v>302</v>
      </c>
      <c r="C207" s="32" t="s">
        <v>25</v>
      </c>
      <c r="D207" s="33">
        <v>2</v>
      </c>
      <c r="E207" s="35">
        <v>1897.42</v>
      </c>
      <c r="F207" s="32" t="s">
        <v>294</v>
      </c>
      <c r="G207" s="37">
        <v>1850.62</v>
      </c>
      <c r="H207" s="38">
        <f t="shared" si="30"/>
        <v>3701.24</v>
      </c>
      <c r="I207" s="32" t="s">
        <v>295</v>
      </c>
      <c r="J207" s="37">
        <v>1890</v>
      </c>
      <c r="K207" s="38">
        <f t="shared" si="31"/>
        <v>3780</v>
      </c>
      <c r="L207" s="38" t="s">
        <v>41</v>
      </c>
      <c r="M207" s="37">
        <v>1954.93</v>
      </c>
      <c r="N207" s="38">
        <f t="shared" si="32"/>
        <v>3909.86</v>
      </c>
      <c r="O207" s="39">
        <f t="shared" si="33"/>
        <v>1898.5166666666667</v>
      </c>
      <c r="P207" s="40">
        <f t="shared" si="34"/>
        <v>-5.7764395010138969E-2</v>
      </c>
      <c r="Q207" s="39">
        <f t="shared" si="35"/>
        <v>3794.84</v>
      </c>
      <c r="R207" s="41"/>
      <c r="T207" s="42">
        <f t="shared" si="36"/>
        <v>-3</v>
      </c>
      <c r="U207" s="42">
        <f t="shared" si="37"/>
        <v>0</v>
      </c>
      <c r="V207" s="42">
        <f t="shared" si="38"/>
        <v>3</v>
      </c>
    </row>
    <row r="208" spans="1:22" s="28" customFormat="1" ht="73.5" customHeight="1" x14ac:dyDescent="0.2">
      <c r="A208" s="30">
        <v>197</v>
      </c>
      <c r="B208" s="31" t="s">
        <v>303</v>
      </c>
      <c r="C208" s="32" t="s">
        <v>25</v>
      </c>
      <c r="D208" s="33">
        <v>26</v>
      </c>
      <c r="E208" s="35">
        <v>2441.2399999999998</v>
      </c>
      <c r="F208" s="32" t="s">
        <v>294</v>
      </c>
      <c r="G208" s="37">
        <v>2411.34</v>
      </c>
      <c r="H208" s="38">
        <f t="shared" si="30"/>
        <v>62694.840000000004</v>
      </c>
      <c r="I208" s="32" t="s">
        <v>295</v>
      </c>
      <c r="J208" s="37">
        <v>2400</v>
      </c>
      <c r="K208" s="38">
        <f t="shared" si="31"/>
        <v>62400</v>
      </c>
      <c r="L208" s="38" t="s">
        <v>41</v>
      </c>
      <c r="M208" s="37">
        <v>2515.5</v>
      </c>
      <c r="N208" s="38">
        <f t="shared" si="32"/>
        <v>65403</v>
      </c>
      <c r="O208" s="39">
        <f t="shared" si="33"/>
        <v>2442.2800000000002</v>
      </c>
      <c r="P208" s="40">
        <f t="shared" si="34"/>
        <v>-4.2583159998059728E-2</v>
      </c>
      <c r="Q208" s="39">
        <f t="shared" si="35"/>
        <v>63472.239999999991</v>
      </c>
      <c r="R208" s="41"/>
      <c r="T208" s="42">
        <f t="shared" si="36"/>
        <v>-1</v>
      </c>
      <c r="U208" s="42">
        <f t="shared" si="37"/>
        <v>-2</v>
      </c>
      <c r="V208" s="42">
        <f t="shared" si="38"/>
        <v>3</v>
      </c>
    </row>
    <row r="209" spans="1:22" s="28" customFormat="1" ht="73.5" customHeight="1" x14ac:dyDescent="0.2">
      <c r="A209" s="30">
        <v>198</v>
      </c>
      <c r="B209" s="31" t="s">
        <v>304</v>
      </c>
      <c r="C209" s="32" t="s">
        <v>25</v>
      </c>
      <c r="D209" s="33">
        <v>24</v>
      </c>
      <c r="E209" s="35">
        <v>3222.7</v>
      </c>
      <c r="F209" s="32" t="s">
        <v>294</v>
      </c>
      <c r="G209" s="37">
        <v>3132.1</v>
      </c>
      <c r="H209" s="38">
        <f t="shared" si="30"/>
        <v>75170.399999999994</v>
      </c>
      <c r="I209" s="32" t="s">
        <v>295</v>
      </c>
      <c r="J209" s="37">
        <v>3200</v>
      </c>
      <c r="K209" s="38">
        <f t="shared" si="31"/>
        <v>76800</v>
      </c>
      <c r="L209" s="38" t="s">
        <v>41</v>
      </c>
      <c r="M209" s="37">
        <v>3340.7</v>
      </c>
      <c r="N209" s="38">
        <f t="shared" si="32"/>
        <v>80176.799999999988</v>
      </c>
      <c r="O209" s="39">
        <f t="shared" si="33"/>
        <v>3224.2666666666664</v>
      </c>
      <c r="P209" s="40">
        <f t="shared" si="34"/>
        <v>-4.8589860226613268E-2</v>
      </c>
      <c r="Q209" s="39">
        <f t="shared" si="35"/>
        <v>77344.799999999988</v>
      </c>
      <c r="R209" s="41"/>
      <c r="T209" s="42">
        <f t="shared" si="36"/>
        <v>-3</v>
      </c>
      <c r="U209" s="42">
        <f t="shared" si="37"/>
        <v>-1</v>
      </c>
      <c r="V209" s="42">
        <f t="shared" si="38"/>
        <v>4</v>
      </c>
    </row>
    <row r="210" spans="1:22" s="28" customFormat="1" ht="73.5" customHeight="1" x14ac:dyDescent="0.2">
      <c r="A210" s="30">
        <v>199</v>
      </c>
      <c r="B210" s="31" t="s">
        <v>305</v>
      </c>
      <c r="C210" s="32" t="s">
        <v>25</v>
      </c>
      <c r="D210" s="33">
        <v>2</v>
      </c>
      <c r="E210" s="35">
        <v>5075.3</v>
      </c>
      <c r="F210" s="32" t="s">
        <v>294</v>
      </c>
      <c r="G210" s="37">
        <v>5058.01</v>
      </c>
      <c r="H210" s="38">
        <f t="shared" si="30"/>
        <v>10116.02</v>
      </c>
      <c r="I210" s="32" t="s">
        <v>295</v>
      </c>
      <c r="J210" s="37">
        <v>5070</v>
      </c>
      <c r="K210" s="38">
        <f t="shared" si="31"/>
        <v>10140</v>
      </c>
      <c r="L210" s="38" t="s">
        <v>41</v>
      </c>
      <c r="M210" s="37">
        <v>5108.7700000000004</v>
      </c>
      <c r="N210" s="38">
        <f t="shared" si="32"/>
        <v>10217.540000000001</v>
      </c>
      <c r="O210" s="39">
        <f t="shared" si="33"/>
        <v>5078.9266666666672</v>
      </c>
      <c r="P210" s="40">
        <f t="shared" si="34"/>
        <v>-7.1406163244475351E-2</v>
      </c>
      <c r="Q210" s="39">
        <f t="shared" si="35"/>
        <v>10150.6</v>
      </c>
      <c r="R210" s="41"/>
      <c r="T210" s="42">
        <f t="shared" si="36"/>
        <v>0</v>
      </c>
      <c r="U210" s="42">
        <f t="shared" si="37"/>
        <v>0</v>
      </c>
      <c r="V210" s="42">
        <f t="shared" si="38"/>
        <v>1</v>
      </c>
    </row>
    <row r="211" spans="1:22" s="28" customFormat="1" ht="73.5" customHeight="1" x14ac:dyDescent="0.2">
      <c r="A211" s="30">
        <v>200</v>
      </c>
      <c r="B211" s="31" t="s">
        <v>461</v>
      </c>
      <c r="C211" s="32" t="s">
        <v>25</v>
      </c>
      <c r="D211" s="33" t="s">
        <v>462</v>
      </c>
      <c r="E211" s="35">
        <v>6988</v>
      </c>
      <c r="F211" s="32" t="s">
        <v>482</v>
      </c>
      <c r="G211" s="37">
        <v>6827.65</v>
      </c>
      <c r="H211" s="38">
        <f t="shared" si="30"/>
        <v>13655.3</v>
      </c>
      <c r="I211" s="32" t="s">
        <v>483</v>
      </c>
      <c r="J211" s="37">
        <v>7133.28</v>
      </c>
      <c r="K211" s="38">
        <f t="shared" si="31"/>
        <v>14266.56</v>
      </c>
      <c r="L211" s="38" t="s">
        <v>484</v>
      </c>
      <c r="M211" s="37">
        <f>8403.76/1.2</f>
        <v>7003.1333333333341</v>
      </c>
      <c r="N211" s="38">
        <f t="shared" si="32"/>
        <v>14006.266666666668</v>
      </c>
      <c r="O211" s="39">
        <f t="shared" si="33"/>
        <v>6988.0211111111121</v>
      </c>
      <c r="P211" s="40">
        <f t="shared" si="34"/>
        <v>-3.0210428354848773E-4</v>
      </c>
      <c r="Q211" s="39">
        <f t="shared" si="35"/>
        <v>13976</v>
      </c>
      <c r="R211" s="32" t="s">
        <v>485</v>
      </c>
      <c r="T211" s="42">
        <f t="shared" si="36"/>
        <v>-2</v>
      </c>
      <c r="U211" s="42">
        <f t="shared" si="37"/>
        <v>2</v>
      </c>
      <c r="V211" s="42">
        <f t="shared" si="38"/>
        <v>0</v>
      </c>
    </row>
    <row r="212" spans="1:22" s="28" customFormat="1" ht="73.5" customHeight="1" x14ac:dyDescent="0.2">
      <c r="A212" s="30">
        <v>201</v>
      </c>
      <c r="B212" s="31" t="s">
        <v>464</v>
      </c>
      <c r="C212" s="32" t="s">
        <v>25</v>
      </c>
      <c r="D212" s="33" t="s">
        <v>465</v>
      </c>
      <c r="E212" s="35">
        <v>20175.78</v>
      </c>
      <c r="F212" s="32" t="s">
        <v>482</v>
      </c>
      <c r="G212" s="37">
        <v>19683.77</v>
      </c>
      <c r="H212" s="38">
        <f t="shared" si="30"/>
        <v>78735.08</v>
      </c>
      <c r="I212" s="32" t="s">
        <v>483</v>
      </c>
      <c r="J212" s="37">
        <v>20795.03</v>
      </c>
      <c r="K212" s="38">
        <f t="shared" si="31"/>
        <v>83180.12</v>
      </c>
      <c r="L212" s="38" t="s">
        <v>484</v>
      </c>
      <c r="M212" s="37">
        <f>24058.31/1.2</f>
        <v>20048.591666666667</v>
      </c>
      <c r="N212" s="38">
        <f t="shared" si="32"/>
        <v>80194.366666666669</v>
      </c>
      <c r="O212" s="39">
        <f t="shared" si="33"/>
        <v>20175.797222222223</v>
      </c>
      <c r="P212" s="40">
        <f t="shared" si="34"/>
        <v>-8.5360801520550922E-5</v>
      </c>
      <c r="Q212" s="39">
        <f t="shared" si="35"/>
        <v>80703.12</v>
      </c>
      <c r="R212" s="32" t="s">
        <v>485</v>
      </c>
      <c r="T212" s="42">
        <f t="shared" si="36"/>
        <v>-2</v>
      </c>
      <c r="U212" s="42">
        <f t="shared" si="37"/>
        <v>3</v>
      </c>
      <c r="V212" s="42">
        <f t="shared" si="38"/>
        <v>-1</v>
      </c>
    </row>
    <row r="213" spans="1:22" s="28" customFormat="1" ht="73.5" customHeight="1" x14ac:dyDescent="0.2">
      <c r="A213" s="30">
        <v>202</v>
      </c>
      <c r="B213" s="31" t="s">
        <v>306</v>
      </c>
      <c r="C213" s="32" t="s">
        <v>25</v>
      </c>
      <c r="D213" s="33" t="s">
        <v>307</v>
      </c>
      <c r="E213" s="62">
        <v>19950.740000000002</v>
      </c>
      <c r="F213" s="32" t="s">
        <v>294</v>
      </c>
      <c r="G213" s="37">
        <v>19822.95</v>
      </c>
      <c r="H213" s="38">
        <f t="shared" si="30"/>
        <v>892032.75</v>
      </c>
      <c r="I213" s="32" t="s">
        <v>295</v>
      </c>
      <c r="J213" s="37">
        <v>19903</v>
      </c>
      <c r="K213" s="38">
        <f t="shared" si="31"/>
        <v>895635</v>
      </c>
      <c r="L213" s="38" t="s">
        <v>41</v>
      </c>
      <c r="M213" s="37">
        <v>20154.88</v>
      </c>
      <c r="N213" s="38">
        <f t="shared" si="32"/>
        <v>906969.60000000009</v>
      </c>
      <c r="O213" s="39">
        <f t="shared" si="33"/>
        <v>19960.276666666668</v>
      </c>
      <c r="P213" s="40">
        <f t="shared" si="34"/>
        <v>-4.7778228858888383E-2</v>
      </c>
      <c r="Q213" s="39">
        <f t="shared" si="35"/>
        <v>897783.3</v>
      </c>
      <c r="R213" s="64" t="s">
        <v>486</v>
      </c>
      <c r="T213" s="42">
        <f t="shared" si="36"/>
        <v>-1</v>
      </c>
      <c r="U213" s="42">
        <f t="shared" si="37"/>
        <v>0</v>
      </c>
      <c r="V213" s="42">
        <f t="shared" si="38"/>
        <v>1</v>
      </c>
    </row>
    <row r="214" spans="1:22" s="28" customFormat="1" ht="73.5" customHeight="1" x14ac:dyDescent="0.2">
      <c r="A214" s="30">
        <v>203</v>
      </c>
      <c r="B214" s="31" t="s">
        <v>308</v>
      </c>
      <c r="C214" s="32" t="s">
        <v>25</v>
      </c>
      <c r="D214" s="33">
        <v>4</v>
      </c>
      <c r="E214" s="35">
        <v>301.5</v>
      </c>
      <c r="F214" s="32" t="s">
        <v>294</v>
      </c>
      <c r="G214" s="37">
        <v>299.49</v>
      </c>
      <c r="H214" s="38">
        <f t="shared" si="30"/>
        <v>1197.96</v>
      </c>
      <c r="I214" s="32" t="s">
        <v>295</v>
      </c>
      <c r="J214" s="37">
        <v>295</v>
      </c>
      <c r="K214" s="38">
        <f t="shared" si="31"/>
        <v>1180</v>
      </c>
      <c r="L214" s="38" t="s">
        <v>41</v>
      </c>
      <c r="M214" s="37">
        <v>320.14</v>
      </c>
      <c r="N214" s="38">
        <f t="shared" si="32"/>
        <v>1280.56</v>
      </c>
      <c r="O214" s="39">
        <f t="shared" si="33"/>
        <v>304.87666666666667</v>
      </c>
      <c r="P214" s="40">
        <f t="shared" si="34"/>
        <v>-1.1075516875676499</v>
      </c>
      <c r="Q214" s="39">
        <f t="shared" si="35"/>
        <v>1206</v>
      </c>
      <c r="R214" s="41"/>
      <c r="T214" s="42">
        <f t="shared" si="36"/>
        <v>-2</v>
      </c>
      <c r="U214" s="42">
        <f t="shared" si="37"/>
        <v>-3</v>
      </c>
      <c r="V214" s="42">
        <f t="shared" si="38"/>
        <v>5</v>
      </c>
    </row>
    <row r="215" spans="1:22" s="28" customFormat="1" ht="73.5" customHeight="1" x14ac:dyDescent="0.2">
      <c r="A215" s="30">
        <v>204</v>
      </c>
      <c r="B215" s="31" t="s">
        <v>309</v>
      </c>
      <c r="C215" s="32" t="s">
        <v>25</v>
      </c>
      <c r="D215" s="33">
        <v>1</v>
      </c>
      <c r="E215" s="35">
        <v>21351</v>
      </c>
      <c r="F215" s="32" t="s">
        <v>294</v>
      </c>
      <c r="G215" s="37">
        <v>21316.78</v>
      </c>
      <c r="H215" s="38">
        <f t="shared" si="30"/>
        <v>21316.78</v>
      </c>
      <c r="I215" s="32" t="s">
        <v>295</v>
      </c>
      <c r="J215" s="37">
        <v>21291</v>
      </c>
      <c r="K215" s="38">
        <f t="shared" si="31"/>
        <v>21291</v>
      </c>
      <c r="L215" s="38" t="s">
        <v>41</v>
      </c>
      <c r="M215" s="37">
        <v>21455</v>
      </c>
      <c r="N215" s="38">
        <f t="shared" si="32"/>
        <v>21455</v>
      </c>
      <c r="O215" s="39">
        <f t="shared" si="33"/>
        <v>21354.26</v>
      </c>
      <c r="P215" s="40">
        <f t="shared" si="34"/>
        <v>-1.5266274738621632E-2</v>
      </c>
      <c r="Q215" s="39">
        <f t="shared" si="35"/>
        <v>21351</v>
      </c>
      <c r="R215" s="41"/>
      <c r="T215" s="42">
        <f t="shared" si="36"/>
        <v>0</v>
      </c>
      <c r="U215" s="42">
        <f t="shared" si="37"/>
        <v>0</v>
      </c>
      <c r="V215" s="42">
        <f t="shared" si="38"/>
        <v>0</v>
      </c>
    </row>
    <row r="216" spans="1:22" s="28" customFormat="1" ht="73.5" customHeight="1" x14ac:dyDescent="0.2">
      <c r="A216" s="30">
        <v>205</v>
      </c>
      <c r="B216" s="31" t="s">
        <v>310</v>
      </c>
      <c r="C216" s="32" t="s">
        <v>81</v>
      </c>
      <c r="D216" s="33">
        <v>4724</v>
      </c>
      <c r="E216" s="35">
        <v>83.4</v>
      </c>
      <c r="F216" s="32" t="s">
        <v>90</v>
      </c>
      <c r="G216" s="37">
        <f>102.29/1.2</f>
        <v>85.241666666666674</v>
      </c>
      <c r="H216" s="38">
        <f t="shared" si="30"/>
        <v>402681.63333333336</v>
      </c>
      <c r="I216" s="32" t="s">
        <v>46</v>
      </c>
      <c r="J216" s="37">
        <v>83.77</v>
      </c>
      <c r="K216" s="38">
        <f t="shared" si="31"/>
        <v>395729.48</v>
      </c>
      <c r="L216" s="32" t="s">
        <v>58</v>
      </c>
      <c r="M216" s="37">
        <v>81.69</v>
      </c>
      <c r="N216" s="38">
        <f t="shared" si="32"/>
        <v>385903.56</v>
      </c>
      <c r="O216" s="39">
        <f t="shared" si="33"/>
        <v>83.567222222222213</v>
      </c>
      <c r="P216" s="40">
        <f t="shared" si="34"/>
        <v>-0.20010503852519435</v>
      </c>
      <c r="Q216" s="39">
        <f t="shared" si="35"/>
        <v>393981.60000000003</v>
      </c>
      <c r="R216" s="41"/>
      <c r="T216" s="42">
        <f t="shared" si="36"/>
        <v>2</v>
      </c>
      <c r="U216" s="42">
        <f t="shared" si="37"/>
        <v>0</v>
      </c>
      <c r="V216" s="42">
        <f t="shared" si="38"/>
        <v>-2</v>
      </c>
    </row>
    <row r="217" spans="1:22" s="28" customFormat="1" ht="73.5" customHeight="1" x14ac:dyDescent="0.2">
      <c r="A217" s="30">
        <v>206</v>
      </c>
      <c r="B217" s="31" t="s">
        <v>311</v>
      </c>
      <c r="C217" s="32" t="s">
        <v>25</v>
      </c>
      <c r="D217" s="33">
        <v>1</v>
      </c>
      <c r="E217" s="35">
        <v>323.39999999999998</v>
      </c>
      <c r="F217" s="32" t="s">
        <v>27</v>
      </c>
      <c r="G217" s="37">
        <f>356.57/1.2</f>
        <v>297.14166666666665</v>
      </c>
      <c r="H217" s="38">
        <f t="shared" si="30"/>
        <v>297.14166666666665</v>
      </c>
      <c r="I217" s="38" t="s">
        <v>28</v>
      </c>
      <c r="J217" s="37">
        <v>316.27999999999997</v>
      </c>
      <c r="K217" s="38">
        <f t="shared" si="31"/>
        <v>316.27999999999997</v>
      </c>
      <c r="L217" s="33" t="s">
        <v>29</v>
      </c>
      <c r="M217" s="37">
        <v>361.87</v>
      </c>
      <c r="N217" s="38">
        <f t="shared" si="32"/>
        <v>361.87</v>
      </c>
      <c r="O217" s="39">
        <f t="shared" si="33"/>
        <v>325.09722222222223</v>
      </c>
      <c r="P217" s="40">
        <f t="shared" si="34"/>
        <v>-0.52206604861794403</v>
      </c>
      <c r="Q217" s="39">
        <f t="shared" si="35"/>
        <v>323.39999999999998</v>
      </c>
      <c r="R217" s="41"/>
      <c r="T217" s="42">
        <f t="shared" si="36"/>
        <v>-9</v>
      </c>
      <c r="U217" s="42">
        <f t="shared" si="37"/>
        <v>-3</v>
      </c>
      <c r="V217" s="42">
        <f t="shared" si="38"/>
        <v>11</v>
      </c>
    </row>
    <row r="218" spans="1:22" s="28" customFormat="1" ht="73.5" customHeight="1" x14ac:dyDescent="0.2">
      <c r="A218" s="30">
        <v>207</v>
      </c>
      <c r="B218" s="31" t="s">
        <v>312</v>
      </c>
      <c r="C218" s="32" t="s">
        <v>25</v>
      </c>
      <c r="D218" s="33">
        <v>8</v>
      </c>
      <c r="E218" s="35">
        <v>144835.70000000001</v>
      </c>
      <c r="F218" s="32" t="s">
        <v>27</v>
      </c>
      <c r="G218" s="37">
        <f>168045.6/1.2</f>
        <v>140038</v>
      </c>
      <c r="H218" s="38">
        <f t="shared" si="30"/>
        <v>1120304</v>
      </c>
      <c r="I218" s="38" t="s">
        <v>28</v>
      </c>
      <c r="J218" s="37">
        <v>149082</v>
      </c>
      <c r="K218" s="38">
        <f t="shared" si="31"/>
        <v>1192656</v>
      </c>
      <c r="L218" s="33" t="s">
        <v>29</v>
      </c>
      <c r="M218" s="37">
        <v>145394</v>
      </c>
      <c r="N218" s="38">
        <f t="shared" si="32"/>
        <v>1163152</v>
      </c>
      <c r="O218" s="39">
        <f t="shared" si="33"/>
        <v>144838</v>
      </c>
      <c r="P218" s="40">
        <f t="shared" si="34"/>
        <v>-1.587981054683496E-3</v>
      </c>
      <c r="Q218" s="39">
        <f t="shared" si="35"/>
        <v>1158685.6000000001</v>
      </c>
      <c r="R218" s="41"/>
      <c r="T218" s="42">
        <f t="shared" si="36"/>
        <v>-3</v>
      </c>
      <c r="U218" s="42">
        <f t="shared" si="37"/>
        <v>3</v>
      </c>
      <c r="V218" s="42">
        <f t="shared" si="38"/>
        <v>0</v>
      </c>
    </row>
    <row r="219" spans="1:22" s="28" customFormat="1" ht="73.5" customHeight="1" x14ac:dyDescent="0.2">
      <c r="A219" s="30">
        <v>208</v>
      </c>
      <c r="B219" s="31" t="s">
        <v>313</v>
      </c>
      <c r="C219" s="32" t="s">
        <v>25</v>
      </c>
      <c r="D219" s="33">
        <v>3</v>
      </c>
      <c r="E219" s="35">
        <v>3621.37</v>
      </c>
      <c r="F219" s="32" t="s">
        <v>27</v>
      </c>
      <c r="G219" s="37">
        <f>4262.14/1.2</f>
        <v>3551.7833333333338</v>
      </c>
      <c r="H219" s="38">
        <f t="shared" si="30"/>
        <v>10655.350000000002</v>
      </c>
      <c r="I219" s="38" t="s">
        <v>28</v>
      </c>
      <c r="J219" s="37">
        <v>3458.37</v>
      </c>
      <c r="K219" s="38">
        <f t="shared" si="31"/>
        <v>10375.11</v>
      </c>
      <c r="L219" s="33" t="s">
        <v>29</v>
      </c>
      <c r="M219" s="37">
        <v>3907.54</v>
      </c>
      <c r="N219" s="38">
        <f t="shared" si="32"/>
        <v>11722.619999999999</v>
      </c>
      <c r="O219" s="39">
        <f t="shared" si="33"/>
        <v>3639.2311111111107</v>
      </c>
      <c r="P219" s="40">
        <f t="shared" si="34"/>
        <v>-0.49079353758484956</v>
      </c>
      <c r="Q219" s="39">
        <f t="shared" si="35"/>
        <v>10864.11</v>
      </c>
      <c r="R219" s="41"/>
      <c r="T219" s="42">
        <f t="shared" si="36"/>
        <v>-2</v>
      </c>
      <c r="U219" s="42">
        <f t="shared" si="37"/>
        <v>-5</v>
      </c>
      <c r="V219" s="42">
        <f t="shared" si="38"/>
        <v>7</v>
      </c>
    </row>
    <row r="220" spans="1:22" s="28" customFormat="1" ht="73.5" customHeight="1" x14ac:dyDescent="0.2">
      <c r="A220" s="30">
        <v>209</v>
      </c>
      <c r="B220" s="31" t="s">
        <v>314</v>
      </c>
      <c r="C220" s="32" t="s">
        <v>25</v>
      </c>
      <c r="D220" s="33">
        <v>4</v>
      </c>
      <c r="E220" s="35">
        <v>5811.74</v>
      </c>
      <c r="F220" s="32" t="s">
        <v>27</v>
      </c>
      <c r="G220" s="37">
        <f>6938.81/1.2</f>
        <v>5782.3416666666672</v>
      </c>
      <c r="H220" s="38">
        <f t="shared" si="30"/>
        <v>23129.366666666669</v>
      </c>
      <c r="I220" s="38" t="s">
        <v>28</v>
      </c>
      <c r="J220" s="37">
        <v>5911.04</v>
      </c>
      <c r="K220" s="38">
        <f t="shared" si="31"/>
        <v>23644.16</v>
      </c>
      <c r="L220" s="33" t="s">
        <v>29</v>
      </c>
      <c r="M220" s="37">
        <v>5752.26</v>
      </c>
      <c r="N220" s="38">
        <f t="shared" si="32"/>
        <v>23009.040000000001</v>
      </c>
      <c r="O220" s="39">
        <f t="shared" si="33"/>
        <v>5815.2138888888903</v>
      </c>
      <c r="P220" s="40">
        <f t="shared" si="34"/>
        <v>-5.9737938367632637E-2</v>
      </c>
      <c r="Q220" s="39">
        <f t="shared" si="35"/>
        <v>23246.959999999999</v>
      </c>
      <c r="R220" s="41"/>
      <c r="T220" s="42">
        <f t="shared" si="36"/>
        <v>-1</v>
      </c>
      <c r="U220" s="42">
        <f t="shared" si="37"/>
        <v>2</v>
      </c>
      <c r="V220" s="42">
        <f t="shared" si="38"/>
        <v>-1</v>
      </c>
    </row>
    <row r="221" spans="1:22" s="28" customFormat="1" ht="73.5" customHeight="1" x14ac:dyDescent="0.2">
      <c r="A221" s="30">
        <v>210</v>
      </c>
      <c r="B221" s="31" t="s">
        <v>315</v>
      </c>
      <c r="C221" s="32" t="s">
        <v>25</v>
      </c>
      <c r="D221" s="33">
        <v>6</v>
      </c>
      <c r="E221" s="35">
        <v>292.47000000000003</v>
      </c>
      <c r="F221" s="32" t="s">
        <v>27</v>
      </c>
      <c r="G221" s="37">
        <f>349.09/1.2</f>
        <v>290.9083333333333</v>
      </c>
      <c r="H221" s="38">
        <f t="shared" si="30"/>
        <v>1745.4499999999998</v>
      </c>
      <c r="I221" s="38" t="s">
        <v>28</v>
      </c>
      <c r="J221" s="37">
        <v>286.52</v>
      </c>
      <c r="K221" s="38">
        <f t="shared" si="31"/>
        <v>1719.12</v>
      </c>
      <c r="L221" s="33" t="s">
        <v>29</v>
      </c>
      <c r="M221" s="37">
        <v>309.87</v>
      </c>
      <c r="N221" s="38">
        <f t="shared" si="32"/>
        <v>1859.22</v>
      </c>
      <c r="O221" s="39">
        <f t="shared" si="33"/>
        <v>295.76611111111112</v>
      </c>
      <c r="P221" s="40">
        <f t="shared" si="34"/>
        <v>-1.1144316361088471</v>
      </c>
      <c r="Q221" s="39">
        <f t="shared" si="35"/>
        <v>1754.8200000000002</v>
      </c>
      <c r="R221" s="41"/>
      <c r="T221" s="42">
        <f t="shared" si="36"/>
        <v>-2</v>
      </c>
      <c r="U221" s="42">
        <f t="shared" si="37"/>
        <v>-3</v>
      </c>
      <c r="V221" s="42">
        <f t="shared" si="38"/>
        <v>5</v>
      </c>
    </row>
    <row r="222" spans="1:22" s="28" customFormat="1" ht="73.5" customHeight="1" x14ac:dyDescent="0.2">
      <c r="A222" s="30">
        <v>211</v>
      </c>
      <c r="B222" s="31" t="s">
        <v>316</v>
      </c>
      <c r="C222" s="32" t="s">
        <v>25</v>
      </c>
      <c r="D222" s="33">
        <v>11</v>
      </c>
      <c r="E222" s="35">
        <v>563.94000000000005</v>
      </c>
      <c r="F222" s="32" t="s">
        <v>27</v>
      </c>
      <c r="G222" s="37">
        <f>640.39/1.2</f>
        <v>533.6583333333333</v>
      </c>
      <c r="H222" s="38">
        <f t="shared" si="30"/>
        <v>5870.2416666666668</v>
      </c>
      <c r="I222" s="38" t="s">
        <v>28</v>
      </c>
      <c r="J222" s="37">
        <v>573.66</v>
      </c>
      <c r="K222" s="38">
        <f t="shared" si="31"/>
        <v>6310.2599999999993</v>
      </c>
      <c r="L222" s="33" t="s">
        <v>29</v>
      </c>
      <c r="M222" s="37">
        <v>599.20000000000005</v>
      </c>
      <c r="N222" s="38">
        <f t="shared" si="32"/>
        <v>6591.2000000000007</v>
      </c>
      <c r="O222" s="39">
        <f t="shared" si="33"/>
        <v>568.83944444444444</v>
      </c>
      <c r="P222" s="40">
        <f t="shared" si="34"/>
        <v>-0.86130532829511708</v>
      </c>
      <c r="Q222" s="39">
        <f t="shared" si="35"/>
        <v>6203.34</v>
      </c>
      <c r="R222" s="41"/>
      <c r="T222" s="42">
        <f t="shared" si="36"/>
        <v>-6</v>
      </c>
      <c r="U222" s="42">
        <f t="shared" si="37"/>
        <v>1</v>
      </c>
      <c r="V222" s="42">
        <f t="shared" si="38"/>
        <v>5</v>
      </c>
    </row>
    <row r="223" spans="1:22" s="28" customFormat="1" ht="73.5" customHeight="1" x14ac:dyDescent="0.2">
      <c r="A223" s="30">
        <v>212</v>
      </c>
      <c r="B223" s="31" t="s">
        <v>317</v>
      </c>
      <c r="C223" s="32" t="s">
        <v>25</v>
      </c>
      <c r="D223" s="33">
        <v>13</v>
      </c>
      <c r="E223" s="35">
        <v>1331.15</v>
      </c>
      <c r="F223" s="32" t="s">
        <v>27</v>
      </c>
      <c r="G223" s="37">
        <f>1491.91/1.2</f>
        <v>1243.2583333333334</v>
      </c>
      <c r="H223" s="38">
        <f t="shared" si="30"/>
        <v>16162.358333333335</v>
      </c>
      <c r="I223" s="38" t="s">
        <v>28</v>
      </c>
      <c r="J223" s="37">
        <v>1408.92</v>
      </c>
      <c r="K223" s="38">
        <f t="shared" si="31"/>
        <v>18315.96</v>
      </c>
      <c r="L223" s="33" t="s">
        <v>29</v>
      </c>
      <c r="M223" s="37">
        <v>1348.02</v>
      </c>
      <c r="N223" s="38">
        <f t="shared" si="32"/>
        <v>17524.259999999998</v>
      </c>
      <c r="O223" s="39">
        <f t="shared" si="33"/>
        <v>1333.3994444444445</v>
      </c>
      <c r="P223" s="40">
        <f t="shared" si="34"/>
        <v>-0.16869996862655512</v>
      </c>
      <c r="Q223" s="39">
        <f t="shared" si="35"/>
        <v>17304.95</v>
      </c>
      <c r="R223" s="41"/>
      <c r="T223" s="42">
        <f t="shared" si="36"/>
        <v>-7</v>
      </c>
      <c r="U223" s="42">
        <f t="shared" si="37"/>
        <v>6</v>
      </c>
      <c r="V223" s="42">
        <f t="shared" si="38"/>
        <v>1</v>
      </c>
    </row>
    <row r="224" spans="1:22" s="28" customFormat="1" ht="73.5" customHeight="1" x14ac:dyDescent="0.2">
      <c r="A224" s="30">
        <v>213</v>
      </c>
      <c r="B224" s="31" t="s">
        <v>318</v>
      </c>
      <c r="C224" s="32" t="s">
        <v>147</v>
      </c>
      <c r="D224" s="33" t="s">
        <v>319</v>
      </c>
      <c r="E224" s="35">
        <v>104.48</v>
      </c>
      <c r="F224" s="32" t="s">
        <v>148</v>
      </c>
      <c r="G224" s="37">
        <f>118.23/1.2</f>
        <v>98.525000000000006</v>
      </c>
      <c r="H224" s="38">
        <f t="shared" si="30"/>
        <v>24631.25</v>
      </c>
      <c r="I224" s="32" t="s">
        <v>67</v>
      </c>
      <c r="J224" s="37">
        <f>123.29/1.2</f>
        <v>102.74166666666667</v>
      </c>
      <c r="K224" s="38">
        <f t="shared" si="31"/>
        <v>25685.416666666668</v>
      </c>
      <c r="L224" s="32" t="s">
        <v>149</v>
      </c>
      <c r="M224" s="37">
        <f>138.44/1.2</f>
        <v>115.36666666666667</v>
      </c>
      <c r="N224" s="38">
        <f t="shared" si="32"/>
        <v>28841.666666666668</v>
      </c>
      <c r="O224" s="39">
        <f t="shared" si="33"/>
        <v>105.54444444444444</v>
      </c>
      <c r="P224" s="40">
        <f t="shared" si="34"/>
        <v>-1.0085272133908774</v>
      </c>
      <c r="Q224" s="39">
        <f t="shared" si="35"/>
        <v>26120</v>
      </c>
      <c r="R224" s="41"/>
      <c r="T224" s="42">
        <f t="shared" si="36"/>
        <v>-7</v>
      </c>
      <c r="U224" s="42">
        <f t="shared" si="37"/>
        <v>-3</v>
      </c>
      <c r="V224" s="42">
        <f t="shared" si="38"/>
        <v>9</v>
      </c>
    </row>
    <row r="225" spans="1:22" s="28" customFormat="1" ht="73.5" customHeight="1" x14ac:dyDescent="0.2">
      <c r="A225" s="30">
        <v>214</v>
      </c>
      <c r="B225" s="31" t="s">
        <v>320</v>
      </c>
      <c r="C225" s="32" t="s">
        <v>25</v>
      </c>
      <c r="D225" s="33">
        <v>10</v>
      </c>
      <c r="E225" s="35">
        <v>796.51</v>
      </c>
      <c r="F225" s="32" t="s">
        <v>56</v>
      </c>
      <c r="G225" s="37">
        <v>830.5</v>
      </c>
      <c r="H225" s="38">
        <f t="shared" si="30"/>
        <v>8305</v>
      </c>
      <c r="I225" s="32" t="s">
        <v>57</v>
      </c>
      <c r="J225" s="37">
        <v>755.31</v>
      </c>
      <c r="K225" s="38">
        <f t="shared" si="31"/>
        <v>7553.0999999999995</v>
      </c>
      <c r="L225" s="32" t="s">
        <v>58</v>
      </c>
      <c r="M225" s="37">
        <v>810.41</v>
      </c>
      <c r="N225" s="38">
        <f t="shared" si="32"/>
        <v>8104.0999999999995</v>
      </c>
      <c r="O225" s="39">
        <f t="shared" si="33"/>
        <v>798.7399999999999</v>
      </c>
      <c r="P225" s="40">
        <f t="shared" si="34"/>
        <v>-0.2791897238149943</v>
      </c>
      <c r="Q225" s="39">
        <f t="shared" si="35"/>
        <v>7965.1</v>
      </c>
      <c r="R225" s="41"/>
      <c r="T225" s="42">
        <f t="shared" si="36"/>
        <v>4</v>
      </c>
      <c r="U225" s="42">
        <f t="shared" si="37"/>
        <v>-5</v>
      </c>
      <c r="V225" s="42">
        <f t="shared" si="38"/>
        <v>1</v>
      </c>
    </row>
    <row r="226" spans="1:22" s="28" customFormat="1" ht="73.5" customHeight="1" x14ac:dyDescent="0.2">
      <c r="A226" s="30">
        <v>215</v>
      </c>
      <c r="B226" s="31" t="s">
        <v>321</v>
      </c>
      <c r="C226" s="32" t="s">
        <v>25</v>
      </c>
      <c r="D226" s="33">
        <v>3</v>
      </c>
      <c r="E226" s="55">
        <v>5485.34</v>
      </c>
      <c r="F226" s="32" t="s">
        <v>27</v>
      </c>
      <c r="G226" s="37">
        <f>6274.38/1.2</f>
        <v>5228.6500000000005</v>
      </c>
      <c r="H226" s="38">
        <f t="shared" si="30"/>
        <v>15685.95</v>
      </c>
      <c r="I226" s="38" t="s">
        <v>28</v>
      </c>
      <c r="J226" s="37">
        <v>5500.4</v>
      </c>
      <c r="K226" s="38">
        <f t="shared" si="31"/>
        <v>16501.199999999997</v>
      </c>
      <c r="L226" s="33" t="s">
        <v>29</v>
      </c>
      <c r="M226" s="37">
        <v>5740.12</v>
      </c>
      <c r="N226" s="38">
        <f t="shared" si="32"/>
        <v>17220.36</v>
      </c>
      <c r="O226" s="39">
        <f t="shared" si="33"/>
        <v>5489.7233333333324</v>
      </c>
      <c r="P226" s="40">
        <f t="shared" si="34"/>
        <v>-7.9846161039071717E-2</v>
      </c>
      <c r="Q226" s="39">
        <f t="shared" si="35"/>
        <v>16456.02</v>
      </c>
      <c r="R226" s="41"/>
      <c r="T226" s="42">
        <f t="shared" si="36"/>
        <v>-5</v>
      </c>
      <c r="U226" s="42">
        <f t="shared" si="37"/>
        <v>0</v>
      </c>
      <c r="V226" s="42">
        <f t="shared" si="38"/>
        <v>5</v>
      </c>
    </row>
    <row r="227" spans="1:22" s="28" customFormat="1" ht="73.5" customHeight="1" x14ac:dyDescent="0.2">
      <c r="A227" s="30">
        <v>216</v>
      </c>
      <c r="B227" s="31" t="s">
        <v>322</v>
      </c>
      <c r="C227" s="32" t="s">
        <v>323</v>
      </c>
      <c r="D227" s="33">
        <v>4.8000000000000001E-2</v>
      </c>
      <c r="E227" s="56">
        <v>2698750.3</v>
      </c>
      <c r="F227" s="32" t="s">
        <v>68</v>
      </c>
      <c r="G227" s="37">
        <f>3276.5/1.2*1000</f>
        <v>2730416.666666667</v>
      </c>
      <c r="H227" s="38">
        <f>G227*D227</f>
        <v>131060.00000000001</v>
      </c>
      <c r="I227" s="32" t="s">
        <v>67</v>
      </c>
      <c r="J227" s="37">
        <f>3255/1.2*1000</f>
        <v>2712500</v>
      </c>
      <c r="K227" s="38">
        <f t="shared" si="31"/>
        <v>130200</v>
      </c>
      <c r="L227" s="32" t="s">
        <v>272</v>
      </c>
      <c r="M227" s="37">
        <f>2661.67*1000</f>
        <v>2661670</v>
      </c>
      <c r="N227" s="38">
        <f t="shared" si="32"/>
        <v>127760.16</v>
      </c>
      <c r="O227" s="39">
        <f t="shared" si="33"/>
        <v>2701528.888888889</v>
      </c>
      <c r="P227" s="40">
        <f t="shared" si="34"/>
        <v>-0.10285245885458494</v>
      </c>
      <c r="Q227" s="39">
        <f t="shared" si="35"/>
        <v>129540.0144</v>
      </c>
      <c r="R227" s="41"/>
      <c r="T227" s="42">
        <f t="shared" si="36"/>
        <v>1</v>
      </c>
      <c r="U227" s="42">
        <f t="shared" si="37"/>
        <v>0</v>
      </c>
      <c r="V227" s="42">
        <f t="shared" si="38"/>
        <v>-1</v>
      </c>
    </row>
    <row r="228" spans="1:22" s="28" customFormat="1" ht="73.5" customHeight="1" x14ac:dyDescent="0.2">
      <c r="A228" s="30">
        <v>217</v>
      </c>
      <c r="B228" s="31" t="s">
        <v>324</v>
      </c>
      <c r="C228" s="32" t="s">
        <v>25</v>
      </c>
      <c r="D228" s="33">
        <v>10</v>
      </c>
      <c r="E228" s="35">
        <v>6202.47</v>
      </c>
      <c r="F228" s="32" t="s">
        <v>56</v>
      </c>
      <c r="G228" s="37">
        <v>6050.4</v>
      </c>
      <c r="H228" s="38">
        <f t="shared" ref="H228:H259" si="39">D228*G228</f>
        <v>60504</v>
      </c>
      <c r="I228" s="32" t="s">
        <v>57</v>
      </c>
      <c r="J228" s="37">
        <v>6131.78</v>
      </c>
      <c r="K228" s="38">
        <f t="shared" si="31"/>
        <v>61317.799999999996</v>
      </c>
      <c r="L228" s="32" t="s">
        <v>58</v>
      </c>
      <c r="M228" s="37">
        <v>6541.19</v>
      </c>
      <c r="N228" s="38">
        <f t="shared" si="32"/>
        <v>65411.899999999994</v>
      </c>
      <c r="O228" s="39">
        <f t="shared" si="33"/>
        <v>6241.123333333333</v>
      </c>
      <c r="P228" s="40">
        <f t="shared" si="34"/>
        <v>-0.61933295127960264</v>
      </c>
      <c r="Q228" s="39">
        <f t="shared" si="35"/>
        <v>62024.700000000004</v>
      </c>
      <c r="R228" s="47" t="s">
        <v>116</v>
      </c>
      <c r="T228" s="42">
        <f t="shared" si="36"/>
        <v>-3</v>
      </c>
      <c r="U228" s="42">
        <f t="shared" si="37"/>
        <v>-2</v>
      </c>
      <c r="V228" s="42">
        <f t="shared" si="38"/>
        <v>5</v>
      </c>
    </row>
    <row r="229" spans="1:22" s="28" customFormat="1" ht="73.5" customHeight="1" x14ac:dyDescent="0.2">
      <c r="A229" s="30">
        <v>218</v>
      </c>
      <c r="B229" s="31" t="s">
        <v>325</v>
      </c>
      <c r="C229" s="32" t="s">
        <v>25</v>
      </c>
      <c r="D229" s="33">
        <v>4</v>
      </c>
      <c r="E229" s="35">
        <v>13230.7</v>
      </c>
      <c r="F229" s="32" t="s">
        <v>27</v>
      </c>
      <c r="G229" s="37">
        <f>15633.38/1.2</f>
        <v>13027.816666666666</v>
      </c>
      <c r="H229" s="38">
        <f t="shared" si="39"/>
        <v>52111.266666666663</v>
      </c>
      <c r="I229" s="38" t="s">
        <v>28</v>
      </c>
      <c r="J229" s="37">
        <v>13344.3</v>
      </c>
      <c r="K229" s="38">
        <f t="shared" si="31"/>
        <v>53377.2</v>
      </c>
      <c r="L229" s="33" t="s">
        <v>29</v>
      </c>
      <c r="M229" s="37">
        <v>13500.58</v>
      </c>
      <c r="N229" s="38">
        <f t="shared" si="32"/>
        <v>54002.32</v>
      </c>
      <c r="O229" s="39">
        <f t="shared" si="33"/>
        <v>13290.898888888887</v>
      </c>
      <c r="P229" s="40">
        <f t="shared" si="34"/>
        <v>-0.45293316420617202</v>
      </c>
      <c r="Q229" s="39">
        <f t="shared" si="35"/>
        <v>52922.8</v>
      </c>
      <c r="R229" s="41"/>
      <c r="T229" s="42">
        <f t="shared" si="36"/>
        <v>-2</v>
      </c>
      <c r="U229" s="42">
        <f t="shared" si="37"/>
        <v>0</v>
      </c>
      <c r="V229" s="42">
        <f t="shared" si="38"/>
        <v>2</v>
      </c>
    </row>
    <row r="230" spans="1:22" s="28" customFormat="1" ht="73.5" customHeight="1" x14ac:dyDescent="0.2">
      <c r="A230" s="30">
        <v>219</v>
      </c>
      <c r="B230" s="31" t="s">
        <v>326</v>
      </c>
      <c r="C230" s="32" t="s">
        <v>25</v>
      </c>
      <c r="D230" s="33">
        <v>7</v>
      </c>
      <c r="E230" s="35">
        <v>895.64</v>
      </c>
      <c r="F230" s="32" t="s">
        <v>27</v>
      </c>
      <c r="G230" s="37">
        <f>1005.59/1.2</f>
        <v>837.99166666666667</v>
      </c>
      <c r="H230" s="38">
        <f t="shared" si="39"/>
        <v>5865.9416666666666</v>
      </c>
      <c r="I230" s="38" t="s">
        <v>28</v>
      </c>
      <c r="J230" s="37">
        <v>921.8</v>
      </c>
      <c r="K230" s="38">
        <f t="shared" si="31"/>
        <v>6452.5999999999995</v>
      </c>
      <c r="L230" s="33" t="s">
        <v>29</v>
      </c>
      <c r="M230" s="37">
        <v>944.36</v>
      </c>
      <c r="N230" s="38">
        <f t="shared" si="32"/>
        <v>6610.52</v>
      </c>
      <c r="O230" s="39">
        <f t="shared" si="33"/>
        <v>901.38388888888892</v>
      </c>
      <c r="P230" s="40">
        <f t="shared" si="34"/>
        <v>-0.63723003702331482</v>
      </c>
      <c r="Q230" s="39">
        <f t="shared" si="35"/>
        <v>6269.48</v>
      </c>
      <c r="R230" s="41"/>
      <c r="T230" s="42">
        <f t="shared" si="36"/>
        <v>-7</v>
      </c>
      <c r="U230" s="42">
        <f t="shared" si="37"/>
        <v>2</v>
      </c>
      <c r="V230" s="42">
        <f t="shared" si="38"/>
        <v>5</v>
      </c>
    </row>
    <row r="231" spans="1:22" s="28" customFormat="1" ht="73.5" customHeight="1" x14ac:dyDescent="0.2">
      <c r="A231" s="30">
        <v>220</v>
      </c>
      <c r="B231" s="31" t="s">
        <v>327</v>
      </c>
      <c r="C231" s="32" t="s">
        <v>25</v>
      </c>
      <c r="D231" s="33">
        <v>4</v>
      </c>
      <c r="E231" s="35">
        <v>976.87</v>
      </c>
      <c r="F231" s="32" t="s">
        <v>27</v>
      </c>
      <c r="G231" s="37">
        <f>1138.77/1.2</f>
        <v>948.97500000000002</v>
      </c>
      <c r="H231" s="38">
        <f t="shared" si="39"/>
        <v>3795.9</v>
      </c>
      <c r="I231" s="38" t="s">
        <v>28</v>
      </c>
      <c r="J231" s="37">
        <v>1010.4</v>
      </c>
      <c r="K231" s="38">
        <f t="shared" si="31"/>
        <v>4041.6</v>
      </c>
      <c r="L231" s="33" t="s">
        <v>29</v>
      </c>
      <c r="M231" s="37">
        <v>995.11</v>
      </c>
      <c r="N231" s="38">
        <f t="shared" si="32"/>
        <v>3980.44</v>
      </c>
      <c r="O231" s="39">
        <f t="shared" si="33"/>
        <v>984.82833333333338</v>
      </c>
      <c r="P231" s="40">
        <f t="shared" si="34"/>
        <v>-0.80809345791229248</v>
      </c>
      <c r="Q231" s="39">
        <f t="shared" si="35"/>
        <v>3907.48</v>
      </c>
      <c r="R231" s="41"/>
      <c r="T231" s="42">
        <f t="shared" si="36"/>
        <v>-4</v>
      </c>
      <c r="U231" s="42">
        <f t="shared" si="37"/>
        <v>3</v>
      </c>
      <c r="V231" s="42">
        <f t="shared" si="38"/>
        <v>1</v>
      </c>
    </row>
    <row r="232" spans="1:22" s="28" customFormat="1" ht="73.5" customHeight="1" x14ac:dyDescent="0.2">
      <c r="A232" s="30">
        <v>221</v>
      </c>
      <c r="B232" s="31" t="s">
        <v>328</v>
      </c>
      <c r="C232" s="32" t="s">
        <v>25</v>
      </c>
      <c r="D232" s="33">
        <v>1</v>
      </c>
      <c r="E232" s="35">
        <v>1842.92</v>
      </c>
      <c r="F232" s="32" t="s">
        <v>27</v>
      </c>
      <c r="G232" s="37">
        <f>2152.46/1.2</f>
        <v>1793.7166666666667</v>
      </c>
      <c r="H232" s="38">
        <f t="shared" si="39"/>
        <v>1793.7166666666667</v>
      </c>
      <c r="I232" s="38" t="s">
        <v>28</v>
      </c>
      <c r="J232" s="37">
        <v>1928.6</v>
      </c>
      <c r="K232" s="38">
        <f t="shared" si="31"/>
        <v>1928.6</v>
      </c>
      <c r="L232" s="33" t="s">
        <v>29</v>
      </c>
      <c r="M232" s="37">
        <v>1850.46</v>
      </c>
      <c r="N232" s="38">
        <f t="shared" si="32"/>
        <v>1850.46</v>
      </c>
      <c r="O232" s="39">
        <f t="shared" si="33"/>
        <v>1857.5922222222223</v>
      </c>
      <c r="P232" s="40">
        <f t="shared" si="34"/>
        <v>-0.78985161795466752</v>
      </c>
      <c r="Q232" s="39">
        <f t="shared" si="35"/>
        <v>1842.92</v>
      </c>
      <c r="R232" s="41"/>
      <c r="T232" s="42">
        <f t="shared" si="36"/>
        <v>-3</v>
      </c>
      <c r="U232" s="42">
        <f t="shared" si="37"/>
        <v>4</v>
      </c>
      <c r="V232" s="42">
        <f t="shared" si="38"/>
        <v>0</v>
      </c>
    </row>
    <row r="233" spans="1:22" s="28" customFormat="1" ht="73.5" customHeight="1" x14ac:dyDescent="0.2">
      <c r="A233" s="30">
        <v>222</v>
      </c>
      <c r="B233" s="31" t="s">
        <v>329</v>
      </c>
      <c r="C233" s="32" t="s">
        <v>25</v>
      </c>
      <c r="D233" s="33">
        <v>24</v>
      </c>
      <c r="E233" s="35">
        <v>312.8</v>
      </c>
      <c r="F233" s="32" t="s">
        <v>27</v>
      </c>
      <c r="G233" s="37">
        <f>362.57/1.2</f>
        <v>302.14166666666665</v>
      </c>
      <c r="H233" s="38">
        <f t="shared" si="39"/>
        <v>7251.4</v>
      </c>
      <c r="I233" s="38" t="s">
        <v>28</v>
      </c>
      <c r="J233" s="37">
        <v>312.77</v>
      </c>
      <c r="K233" s="38">
        <f t="shared" si="31"/>
        <v>7506.48</v>
      </c>
      <c r="L233" s="33" t="s">
        <v>29</v>
      </c>
      <c r="M233" s="37">
        <v>344.29</v>
      </c>
      <c r="N233" s="38">
        <f t="shared" si="32"/>
        <v>8262.9600000000009</v>
      </c>
      <c r="O233" s="39">
        <f t="shared" si="33"/>
        <v>319.73388888888888</v>
      </c>
      <c r="P233" s="40">
        <f t="shared" si="34"/>
        <v>-2.1686437158678871</v>
      </c>
      <c r="Q233" s="39">
        <f t="shared" si="35"/>
        <v>7507.2000000000007</v>
      </c>
      <c r="R233" s="41"/>
      <c r="T233" s="42">
        <f t="shared" si="36"/>
        <v>-6</v>
      </c>
      <c r="U233" s="42">
        <f t="shared" si="37"/>
        <v>-2</v>
      </c>
      <c r="V233" s="42">
        <f t="shared" si="38"/>
        <v>8</v>
      </c>
    </row>
    <row r="234" spans="1:22" s="28" customFormat="1" ht="73.5" customHeight="1" x14ac:dyDescent="0.2">
      <c r="A234" s="30">
        <v>223</v>
      </c>
      <c r="B234" s="31" t="s">
        <v>330</v>
      </c>
      <c r="C234" s="32" t="s">
        <v>25</v>
      </c>
      <c r="D234" s="33">
        <v>18</v>
      </c>
      <c r="E234" s="35">
        <v>343.64</v>
      </c>
      <c r="F234" s="32" t="s">
        <v>27</v>
      </c>
      <c r="G234" s="37">
        <f>398.85/1.2</f>
        <v>332.37500000000006</v>
      </c>
      <c r="H234" s="38">
        <f t="shared" si="39"/>
        <v>5982.7500000000009</v>
      </c>
      <c r="I234" s="38" t="s">
        <v>28</v>
      </c>
      <c r="J234" s="37">
        <v>364.5</v>
      </c>
      <c r="K234" s="38">
        <f t="shared" si="31"/>
        <v>6561</v>
      </c>
      <c r="L234" s="33" t="s">
        <v>29</v>
      </c>
      <c r="M234" s="37">
        <v>350.15</v>
      </c>
      <c r="N234" s="38">
        <f t="shared" si="32"/>
        <v>6302.7</v>
      </c>
      <c r="O234" s="39">
        <f t="shared" si="33"/>
        <v>349.00833333333338</v>
      </c>
      <c r="P234" s="40">
        <f t="shared" si="34"/>
        <v>-1.5381676655285332</v>
      </c>
      <c r="Q234" s="39">
        <f t="shared" si="35"/>
        <v>6185.5199999999995</v>
      </c>
      <c r="R234" s="41"/>
      <c r="T234" s="42">
        <f t="shared" si="36"/>
        <v>-5</v>
      </c>
      <c r="U234" s="42">
        <f t="shared" si="37"/>
        <v>4</v>
      </c>
      <c r="V234" s="42">
        <f t="shared" si="38"/>
        <v>0</v>
      </c>
    </row>
    <row r="235" spans="1:22" s="28" customFormat="1" ht="73.5" customHeight="1" x14ac:dyDescent="0.2">
      <c r="A235" s="30">
        <v>224</v>
      </c>
      <c r="B235" s="31" t="s">
        <v>331</v>
      </c>
      <c r="C235" s="32" t="s">
        <v>25</v>
      </c>
      <c r="D235" s="33">
        <v>90</v>
      </c>
      <c r="E235" s="35">
        <v>233.82</v>
      </c>
      <c r="F235" s="32" t="s">
        <v>27</v>
      </c>
      <c r="G235" s="37">
        <f>283.52/1.2</f>
        <v>236.26666666666665</v>
      </c>
      <c r="H235" s="38">
        <f t="shared" si="39"/>
        <v>21264</v>
      </c>
      <c r="I235" s="38" t="s">
        <v>28</v>
      </c>
      <c r="J235" s="37">
        <v>232.43</v>
      </c>
      <c r="K235" s="38">
        <f t="shared" si="31"/>
        <v>20918.7</v>
      </c>
      <c r="L235" s="33" t="s">
        <v>29</v>
      </c>
      <c r="M235" s="37">
        <v>251.2</v>
      </c>
      <c r="N235" s="38">
        <f t="shared" si="32"/>
        <v>22608</v>
      </c>
      <c r="O235" s="39">
        <f t="shared" si="33"/>
        <v>239.96555555555554</v>
      </c>
      <c r="P235" s="40">
        <f t="shared" si="34"/>
        <v>-2.5610157013275057</v>
      </c>
      <c r="Q235" s="39">
        <f t="shared" si="35"/>
        <v>21043.8</v>
      </c>
      <c r="R235" s="41"/>
      <c r="T235" s="42">
        <f t="shared" si="36"/>
        <v>-2</v>
      </c>
      <c r="U235" s="42">
        <f t="shared" si="37"/>
        <v>-3</v>
      </c>
      <c r="V235" s="42">
        <f t="shared" si="38"/>
        <v>5</v>
      </c>
    </row>
    <row r="236" spans="1:22" s="28" customFormat="1" ht="73.5" customHeight="1" x14ac:dyDescent="0.2">
      <c r="A236" s="30">
        <v>225</v>
      </c>
      <c r="B236" s="31" t="s">
        <v>332</v>
      </c>
      <c r="C236" s="32" t="s">
        <v>25</v>
      </c>
      <c r="D236" s="33" t="s">
        <v>333</v>
      </c>
      <c r="E236" s="35">
        <v>178.37</v>
      </c>
      <c r="F236" s="32" t="s">
        <v>27</v>
      </c>
      <c r="G236" s="37">
        <f>210.11/1.2</f>
        <v>175.0916666666667</v>
      </c>
      <c r="H236" s="38">
        <f t="shared" si="39"/>
        <v>8054.2166666666681</v>
      </c>
      <c r="I236" s="38" t="s">
        <v>28</v>
      </c>
      <c r="J236" s="37">
        <v>186.22</v>
      </c>
      <c r="K236" s="38">
        <f t="shared" si="31"/>
        <v>8566.1200000000008</v>
      </c>
      <c r="L236" s="33" t="s">
        <v>29</v>
      </c>
      <c r="M236" s="37">
        <v>179.55</v>
      </c>
      <c r="N236" s="38">
        <f t="shared" si="32"/>
        <v>8259.3000000000011</v>
      </c>
      <c r="O236" s="39">
        <f t="shared" si="33"/>
        <v>180.28722222222223</v>
      </c>
      <c r="P236" s="40">
        <f t="shared" si="34"/>
        <v>-1.0634265693322646</v>
      </c>
      <c r="Q236" s="39">
        <f t="shared" si="35"/>
        <v>8205.02</v>
      </c>
      <c r="R236" s="41"/>
      <c r="T236" s="42">
        <f t="shared" si="36"/>
        <v>-3</v>
      </c>
      <c r="U236" s="42">
        <f t="shared" si="37"/>
        <v>3</v>
      </c>
      <c r="V236" s="42">
        <f t="shared" si="38"/>
        <v>0</v>
      </c>
    </row>
    <row r="237" spans="1:22" s="28" customFormat="1" ht="73.5" customHeight="1" x14ac:dyDescent="0.2">
      <c r="A237" s="30">
        <v>226</v>
      </c>
      <c r="B237" s="31" t="s">
        <v>334</v>
      </c>
      <c r="C237" s="32" t="s">
        <v>25</v>
      </c>
      <c r="D237" s="33" t="s">
        <v>335</v>
      </c>
      <c r="E237" s="35">
        <v>191.64</v>
      </c>
      <c r="F237" s="32" t="s">
        <v>27</v>
      </c>
      <c r="G237" s="37">
        <f>224.62/1.2</f>
        <v>187.18333333333334</v>
      </c>
      <c r="H237" s="38">
        <f t="shared" si="39"/>
        <v>1123.0999999999999</v>
      </c>
      <c r="I237" s="38" t="s">
        <v>28</v>
      </c>
      <c r="J237" s="37">
        <v>196.75</v>
      </c>
      <c r="K237" s="38">
        <f t="shared" si="31"/>
        <v>1180.5</v>
      </c>
      <c r="L237" s="33" t="s">
        <v>29</v>
      </c>
      <c r="M237" s="37">
        <v>199.8</v>
      </c>
      <c r="N237" s="38">
        <f t="shared" si="32"/>
        <v>1198.8000000000002</v>
      </c>
      <c r="O237" s="39">
        <f t="shared" si="33"/>
        <v>194.57777777777778</v>
      </c>
      <c r="P237" s="40">
        <f t="shared" si="34"/>
        <v>-1.5098218364550036</v>
      </c>
      <c r="Q237" s="39">
        <f t="shared" si="35"/>
        <v>1149.8399999999999</v>
      </c>
      <c r="R237" s="41"/>
      <c r="T237" s="42">
        <f t="shared" si="36"/>
        <v>-4</v>
      </c>
      <c r="U237" s="42">
        <f t="shared" si="37"/>
        <v>1</v>
      </c>
      <c r="V237" s="42">
        <f t="shared" si="38"/>
        <v>3</v>
      </c>
    </row>
    <row r="238" spans="1:22" s="28" customFormat="1" ht="73.5" customHeight="1" x14ac:dyDescent="0.2">
      <c r="A238" s="30">
        <v>227</v>
      </c>
      <c r="B238" s="31" t="s">
        <v>336</v>
      </c>
      <c r="C238" s="32" t="s">
        <v>25</v>
      </c>
      <c r="D238" s="33">
        <v>6</v>
      </c>
      <c r="E238" s="35">
        <v>15489.62</v>
      </c>
      <c r="F238" s="32" t="s">
        <v>27</v>
      </c>
      <c r="G238" s="37">
        <f>18284.58/1.2</f>
        <v>15237.150000000001</v>
      </c>
      <c r="H238" s="38">
        <f t="shared" si="39"/>
        <v>91422.900000000009</v>
      </c>
      <c r="I238" s="38" t="s">
        <v>28</v>
      </c>
      <c r="J238" s="37">
        <v>15870.63</v>
      </c>
      <c r="K238" s="38">
        <f t="shared" si="31"/>
        <v>95223.78</v>
      </c>
      <c r="L238" s="33" t="s">
        <v>29</v>
      </c>
      <c r="M238" s="37">
        <v>16020.61</v>
      </c>
      <c r="N238" s="38">
        <f t="shared" si="32"/>
        <v>96123.66</v>
      </c>
      <c r="O238" s="39">
        <f t="shared" si="33"/>
        <v>15709.463333333333</v>
      </c>
      <c r="P238" s="40">
        <f t="shared" si="34"/>
        <v>-1.3994324864481911</v>
      </c>
      <c r="Q238" s="39">
        <f t="shared" si="35"/>
        <v>92937.72</v>
      </c>
      <c r="R238" s="41"/>
      <c r="T238" s="42">
        <f t="shared" si="36"/>
        <v>-3</v>
      </c>
      <c r="U238" s="42">
        <f t="shared" si="37"/>
        <v>1</v>
      </c>
      <c r="V238" s="42">
        <f t="shared" si="38"/>
        <v>2</v>
      </c>
    </row>
    <row r="239" spans="1:22" s="28" customFormat="1" ht="73.5" customHeight="1" x14ac:dyDescent="0.2">
      <c r="A239" s="30">
        <v>228</v>
      </c>
      <c r="B239" s="31" t="s">
        <v>337</v>
      </c>
      <c r="C239" s="32" t="s">
        <v>45</v>
      </c>
      <c r="D239" s="33">
        <v>40</v>
      </c>
      <c r="E239" s="35">
        <v>3124.7</v>
      </c>
      <c r="F239" s="32" t="s">
        <v>90</v>
      </c>
      <c r="G239" s="37">
        <v>3607.24</v>
      </c>
      <c r="H239" s="38">
        <f t="shared" si="39"/>
        <v>144289.59999999998</v>
      </c>
      <c r="I239" s="32" t="s">
        <v>338</v>
      </c>
      <c r="J239" s="37">
        <v>2575.6999999999998</v>
      </c>
      <c r="K239" s="38">
        <f t="shared" si="31"/>
        <v>103028</v>
      </c>
      <c r="L239" s="32" t="s">
        <v>339</v>
      </c>
      <c r="M239" s="37">
        <v>3370</v>
      </c>
      <c r="N239" s="38">
        <f t="shared" si="32"/>
        <v>134800</v>
      </c>
      <c r="O239" s="39">
        <f t="shared" si="33"/>
        <v>3184.313333333333</v>
      </c>
      <c r="P239" s="40">
        <f t="shared" si="34"/>
        <v>-1.8720938266125273</v>
      </c>
      <c r="Q239" s="39">
        <f t="shared" si="35"/>
        <v>124988</v>
      </c>
      <c r="R239" s="41"/>
      <c r="T239" s="42">
        <f t="shared" si="36"/>
        <v>13</v>
      </c>
      <c r="U239" s="42">
        <f t="shared" si="37"/>
        <v>-19</v>
      </c>
      <c r="V239" s="42">
        <f t="shared" si="38"/>
        <v>6</v>
      </c>
    </row>
    <row r="240" spans="1:22" s="28" customFormat="1" ht="73.5" customHeight="1" x14ac:dyDescent="0.2">
      <c r="A240" s="30">
        <v>229</v>
      </c>
      <c r="B240" s="31" t="s">
        <v>340</v>
      </c>
      <c r="C240" s="32" t="s">
        <v>25</v>
      </c>
      <c r="D240" s="33">
        <v>10</v>
      </c>
      <c r="E240" s="35">
        <v>2334.6799999999998</v>
      </c>
      <c r="F240" s="32" t="s">
        <v>27</v>
      </c>
      <c r="G240" s="37">
        <f>2872.8/1.2</f>
        <v>2394.0000000000005</v>
      </c>
      <c r="H240" s="38">
        <f t="shared" si="39"/>
        <v>23940.000000000004</v>
      </c>
      <c r="I240" s="38" t="s">
        <v>28</v>
      </c>
      <c r="J240" s="37">
        <v>2254.9</v>
      </c>
      <c r="K240" s="38">
        <f t="shared" si="31"/>
        <v>22549</v>
      </c>
      <c r="L240" s="33" t="s">
        <v>29</v>
      </c>
      <c r="M240" s="37">
        <v>2467.66</v>
      </c>
      <c r="N240" s="38">
        <f t="shared" si="32"/>
        <v>24676.6</v>
      </c>
      <c r="O240" s="39">
        <f t="shared" si="33"/>
        <v>2372.186666666667</v>
      </c>
      <c r="P240" s="40">
        <f t="shared" si="34"/>
        <v>-1.5811009813730408</v>
      </c>
      <c r="Q240" s="39">
        <f t="shared" si="35"/>
        <v>23346.799999999999</v>
      </c>
      <c r="R240" s="41"/>
      <c r="T240" s="42">
        <f t="shared" si="36"/>
        <v>1</v>
      </c>
      <c r="U240" s="42">
        <f t="shared" si="37"/>
        <v>-5</v>
      </c>
      <c r="V240" s="42">
        <f t="shared" si="38"/>
        <v>4</v>
      </c>
    </row>
    <row r="241" spans="1:22" s="28" customFormat="1" ht="73.5" customHeight="1" x14ac:dyDescent="0.2">
      <c r="A241" s="30">
        <v>230</v>
      </c>
      <c r="B241" s="31" t="s">
        <v>341</v>
      </c>
      <c r="C241" s="32" t="s">
        <v>25</v>
      </c>
      <c r="D241" s="33" t="s">
        <v>342</v>
      </c>
      <c r="E241" s="35">
        <v>21782.44</v>
      </c>
      <c r="F241" s="32" t="s">
        <v>27</v>
      </c>
      <c r="G241" s="37">
        <f>25573/1.2</f>
        <v>21310.833333333336</v>
      </c>
      <c r="H241" s="38">
        <f t="shared" si="39"/>
        <v>1704866.666666667</v>
      </c>
      <c r="I241" s="38" t="s">
        <v>28</v>
      </c>
      <c r="J241" s="37">
        <v>21971.58</v>
      </c>
      <c r="K241" s="38">
        <f t="shared" si="31"/>
        <v>1757726.4000000001</v>
      </c>
      <c r="L241" s="33" t="s">
        <v>29</v>
      </c>
      <c r="M241" s="37">
        <v>22150.400000000001</v>
      </c>
      <c r="N241" s="38">
        <f t="shared" si="32"/>
        <v>1772032</v>
      </c>
      <c r="O241" s="39">
        <f t="shared" si="33"/>
        <v>21810.937777777781</v>
      </c>
      <c r="P241" s="40">
        <f t="shared" si="34"/>
        <v>-0.13065819575541582</v>
      </c>
      <c r="Q241" s="39">
        <f t="shared" si="35"/>
        <v>1742595.2</v>
      </c>
      <c r="R241" s="41"/>
      <c r="T241" s="42">
        <f t="shared" si="36"/>
        <v>-2</v>
      </c>
      <c r="U241" s="42">
        <f t="shared" si="37"/>
        <v>1</v>
      </c>
      <c r="V241" s="42">
        <f t="shared" si="38"/>
        <v>2</v>
      </c>
    </row>
    <row r="242" spans="1:22" s="28" customFormat="1" ht="73.5" customHeight="1" x14ac:dyDescent="0.2">
      <c r="A242" s="30">
        <v>231</v>
      </c>
      <c r="B242" s="31" t="s">
        <v>343</v>
      </c>
      <c r="C242" s="32" t="s">
        <v>25</v>
      </c>
      <c r="D242" s="33">
        <v>10</v>
      </c>
      <c r="E242" s="35">
        <v>1394.8</v>
      </c>
      <c r="F242" s="32" t="s">
        <v>27</v>
      </c>
      <c r="G242" s="37">
        <f>1586.38/1.2</f>
        <v>1321.9833333333336</v>
      </c>
      <c r="H242" s="38">
        <f t="shared" si="39"/>
        <v>13219.833333333336</v>
      </c>
      <c r="I242" s="38" t="s">
        <v>28</v>
      </c>
      <c r="J242" s="37">
        <v>1501.2</v>
      </c>
      <c r="K242" s="38">
        <f t="shared" si="31"/>
        <v>15012</v>
      </c>
      <c r="L242" s="33" t="s">
        <v>29</v>
      </c>
      <c r="M242" s="37">
        <v>1452.7</v>
      </c>
      <c r="N242" s="38">
        <f t="shared" si="32"/>
        <v>14527</v>
      </c>
      <c r="O242" s="39">
        <f t="shared" si="33"/>
        <v>1425.2944444444445</v>
      </c>
      <c r="P242" s="40">
        <f t="shared" si="34"/>
        <v>-2.1395189298117714</v>
      </c>
      <c r="Q242" s="39">
        <f t="shared" si="35"/>
        <v>13948</v>
      </c>
      <c r="R242" s="41"/>
      <c r="T242" s="42">
        <f t="shared" si="36"/>
        <v>-7</v>
      </c>
      <c r="U242" s="42">
        <f t="shared" si="37"/>
        <v>5</v>
      </c>
      <c r="V242" s="42">
        <f t="shared" si="38"/>
        <v>2</v>
      </c>
    </row>
    <row r="243" spans="1:22" s="28" customFormat="1" ht="73.5" customHeight="1" x14ac:dyDescent="0.2">
      <c r="A243" s="30">
        <v>232</v>
      </c>
      <c r="B243" s="31" t="s">
        <v>344</v>
      </c>
      <c r="C243" s="32" t="s">
        <v>25</v>
      </c>
      <c r="D243" s="33">
        <v>2</v>
      </c>
      <c r="E243" s="35">
        <v>10840.24</v>
      </c>
      <c r="F243" s="32" t="s">
        <v>27</v>
      </c>
      <c r="G243" s="37">
        <f>12749.04/1.2</f>
        <v>10624.2</v>
      </c>
      <c r="H243" s="38">
        <f t="shared" si="39"/>
        <v>21248.400000000001</v>
      </c>
      <c r="I243" s="38" t="s">
        <v>28</v>
      </c>
      <c r="J243" s="37">
        <v>11205.5</v>
      </c>
      <c r="K243" s="38">
        <f t="shared" si="31"/>
        <v>22411</v>
      </c>
      <c r="L243" s="33" t="s">
        <v>29</v>
      </c>
      <c r="M243" s="37">
        <v>10800.9</v>
      </c>
      <c r="N243" s="38">
        <f t="shared" si="32"/>
        <v>21601.8</v>
      </c>
      <c r="O243" s="39">
        <f t="shared" si="33"/>
        <v>10876.866666666667</v>
      </c>
      <c r="P243" s="40">
        <f t="shared" si="34"/>
        <v>-0.33673913443209358</v>
      </c>
      <c r="Q243" s="39">
        <f t="shared" si="35"/>
        <v>21680.48</v>
      </c>
      <c r="R243" s="41"/>
      <c r="T243" s="42">
        <f t="shared" si="36"/>
        <v>-2</v>
      </c>
      <c r="U243" s="42">
        <f t="shared" si="37"/>
        <v>3</v>
      </c>
      <c r="V243" s="42">
        <f t="shared" si="38"/>
        <v>-1</v>
      </c>
    </row>
    <row r="244" spans="1:22" s="28" customFormat="1" ht="73.5" customHeight="1" x14ac:dyDescent="0.2">
      <c r="A244" s="30">
        <v>233</v>
      </c>
      <c r="B244" s="31" t="s">
        <v>345</v>
      </c>
      <c r="C244" s="32" t="s">
        <v>25</v>
      </c>
      <c r="D244" s="33">
        <v>3</v>
      </c>
      <c r="E244" s="35">
        <v>6897.64</v>
      </c>
      <c r="F244" s="32" t="s">
        <v>27</v>
      </c>
      <c r="G244" s="37">
        <f>8062.43/1.2</f>
        <v>6718.6916666666675</v>
      </c>
      <c r="H244" s="38">
        <f t="shared" si="39"/>
        <v>20156.075000000004</v>
      </c>
      <c r="I244" s="38" t="s">
        <v>28</v>
      </c>
      <c r="J244" s="37">
        <v>7211.8</v>
      </c>
      <c r="K244" s="38">
        <f t="shared" si="31"/>
        <v>21635.4</v>
      </c>
      <c r="L244" s="33" t="s">
        <v>29</v>
      </c>
      <c r="M244" s="37">
        <v>6897.87</v>
      </c>
      <c r="N244" s="38">
        <f t="shared" si="32"/>
        <v>20693.61</v>
      </c>
      <c r="O244" s="39">
        <f t="shared" si="33"/>
        <v>6942.7872222222222</v>
      </c>
      <c r="P244" s="40">
        <f t="shared" si="34"/>
        <v>-0.65027518166935749</v>
      </c>
      <c r="Q244" s="39">
        <f t="shared" si="35"/>
        <v>20692.920000000002</v>
      </c>
      <c r="R244" s="41"/>
      <c r="T244" s="42">
        <f t="shared" si="36"/>
        <v>-3</v>
      </c>
      <c r="U244" s="42">
        <f t="shared" si="37"/>
        <v>4</v>
      </c>
      <c r="V244" s="42">
        <f t="shared" si="38"/>
        <v>-1</v>
      </c>
    </row>
    <row r="245" spans="1:22" s="28" customFormat="1" ht="73.5" customHeight="1" x14ac:dyDescent="0.2">
      <c r="A245" s="30">
        <v>234</v>
      </c>
      <c r="B245" s="31" t="s">
        <v>346</v>
      </c>
      <c r="C245" s="32" t="s">
        <v>25</v>
      </c>
      <c r="D245" s="33">
        <v>20</v>
      </c>
      <c r="E245" s="35">
        <v>5997.3</v>
      </c>
      <c r="F245" s="32" t="s">
        <v>27</v>
      </c>
      <c r="G245" s="37">
        <f>6964.01/1.2</f>
        <v>5803.3416666666672</v>
      </c>
      <c r="H245" s="38">
        <f t="shared" si="39"/>
        <v>116066.83333333334</v>
      </c>
      <c r="I245" s="38" t="s">
        <v>28</v>
      </c>
      <c r="J245" s="37">
        <v>6025.6</v>
      </c>
      <c r="K245" s="38">
        <f t="shared" si="31"/>
        <v>120512</v>
      </c>
      <c r="L245" s="33" t="s">
        <v>29</v>
      </c>
      <c r="M245" s="37">
        <v>6300.1</v>
      </c>
      <c r="N245" s="38">
        <f t="shared" si="32"/>
        <v>126002</v>
      </c>
      <c r="O245" s="39">
        <f t="shared" si="33"/>
        <v>6043.0138888888896</v>
      </c>
      <c r="P245" s="40">
        <f t="shared" si="34"/>
        <v>-0.75647499293262399</v>
      </c>
      <c r="Q245" s="39">
        <f t="shared" si="35"/>
        <v>119946</v>
      </c>
      <c r="R245" s="41"/>
      <c r="T245" s="42">
        <f t="shared" si="36"/>
        <v>-4</v>
      </c>
      <c r="U245" s="42">
        <f t="shared" si="37"/>
        <v>0</v>
      </c>
      <c r="V245" s="42">
        <f t="shared" si="38"/>
        <v>4</v>
      </c>
    </row>
    <row r="246" spans="1:22" s="28" customFormat="1" ht="73.5" customHeight="1" x14ac:dyDescent="0.2">
      <c r="A246" s="30">
        <v>235</v>
      </c>
      <c r="B246" s="31" t="s">
        <v>347</v>
      </c>
      <c r="C246" s="32" t="s">
        <v>25</v>
      </c>
      <c r="D246" s="33">
        <v>2</v>
      </c>
      <c r="E246" s="35">
        <v>23347.599999999999</v>
      </c>
      <c r="F246" s="32" t="s">
        <v>27</v>
      </c>
      <c r="G246" s="37">
        <f>27973.25/1.2</f>
        <v>23311.041666666668</v>
      </c>
      <c r="H246" s="38">
        <f t="shared" si="39"/>
        <v>46622.083333333336</v>
      </c>
      <c r="I246" s="38" t="s">
        <v>28</v>
      </c>
      <c r="J246" s="37">
        <v>24500.6</v>
      </c>
      <c r="K246" s="38">
        <f t="shared" si="31"/>
        <v>49001.2</v>
      </c>
      <c r="L246" s="33" t="s">
        <v>29</v>
      </c>
      <c r="M246" s="37">
        <v>22940.3</v>
      </c>
      <c r="N246" s="38">
        <f t="shared" si="32"/>
        <v>45880.6</v>
      </c>
      <c r="O246" s="39">
        <f t="shared" si="33"/>
        <v>23583.980555555554</v>
      </c>
      <c r="P246" s="40">
        <f t="shared" si="34"/>
        <v>-1.0022928699365394</v>
      </c>
      <c r="Q246" s="39">
        <f t="shared" si="35"/>
        <v>46695.199999999997</v>
      </c>
      <c r="R246" s="41"/>
      <c r="T246" s="42">
        <f t="shared" si="36"/>
        <v>-1</v>
      </c>
      <c r="U246" s="42">
        <f t="shared" si="37"/>
        <v>4</v>
      </c>
      <c r="V246" s="42">
        <f t="shared" si="38"/>
        <v>-3</v>
      </c>
    </row>
    <row r="247" spans="1:22" s="28" customFormat="1" ht="73.5" customHeight="1" x14ac:dyDescent="0.2">
      <c r="A247" s="30">
        <v>236</v>
      </c>
      <c r="B247" s="31" t="s">
        <v>348</v>
      </c>
      <c r="C247" s="32" t="s">
        <v>25</v>
      </c>
      <c r="D247" s="33">
        <v>2</v>
      </c>
      <c r="E247" s="35">
        <v>6190.72</v>
      </c>
      <c r="F247" s="32" t="s">
        <v>27</v>
      </c>
      <c r="G247" s="37">
        <f>7415.29/1.2</f>
        <v>6179.4083333333338</v>
      </c>
      <c r="H247" s="38">
        <f t="shared" si="39"/>
        <v>12358.816666666668</v>
      </c>
      <c r="I247" s="38" t="s">
        <v>28</v>
      </c>
      <c r="J247" s="37">
        <v>6487.33</v>
      </c>
      <c r="K247" s="38">
        <f t="shared" si="31"/>
        <v>12974.66</v>
      </c>
      <c r="L247" s="33" t="s">
        <v>29</v>
      </c>
      <c r="M247" s="37">
        <v>6150.7</v>
      </c>
      <c r="N247" s="38">
        <f t="shared" si="32"/>
        <v>12301.4</v>
      </c>
      <c r="O247" s="39">
        <f t="shared" si="33"/>
        <v>6272.4794444444451</v>
      </c>
      <c r="P247" s="40">
        <f t="shared" si="34"/>
        <v>-1.3034629315024659</v>
      </c>
      <c r="Q247" s="39">
        <f t="shared" si="35"/>
        <v>12381.44</v>
      </c>
      <c r="R247" s="41"/>
      <c r="T247" s="42">
        <f t="shared" si="36"/>
        <v>-1</v>
      </c>
      <c r="U247" s="42">
        <f t="shared" si="37"/>
        <v>3</v>
      </c>
      <c r="V247" s="42">
        <f t="shared" si="38"/>
        <v>-2</v>
      </c>
    </row>
    <row r="248" spans="1:22" s="28" customFormat="1" ht="73.5" customHeight="1" x14ac:dyDescent="0.2">
      <c r="A248" s="30">
        <v>237</v>
      </c>
      <c r="B248" s="31" t="s">
        <v>349</v>
      </c>
      <c r="C248" s="32" t="s">
        <v>25</v>
      </c>
      <c r="D248" s="33">
        <v>4</v>
      </c>
      <c r="E248" s="35">
        <v>17148.68</v>
      </c>
      <c r="F248" s="32" t="s">
        <v>27</v>
      </c>
      <c r="G248" s="37">
        <f>20589.76/1.2</f>
        <v>17158.133333333331</v>
      </c>
      <c r="H248" s="38">
        <f t="shared" si="39"/>
        <v>68632.533333333326</v>
      </c>
      <c r="I248" s="38" t="s">
        <v>28</v>
      </c>
      <c r="J248" s="37">
        <v>17011.2</v>
      </c>
      <c r="K248" s="38">
        <f t="shared" si="31"/>
        <v>68044.800000000003</v>
      </c>
      <c r="L248" s="33" t="s">
        <v>29</v>
      </c>
      <c r="M248" s="37">
        <v>17540.900000000001</v>
      </c>
      <c r="N248" s="38">
        <f t="shared" si="32"/>
        <v>70163.600000000006</v>
      </c>
      <c r="O248" s="39">
        <f t="shared" si="33"/>
        <v>17236.744444444445</v>
      </c>
      <c r="P248" s="40">
        <f t="shared" si="34"/>
        <v>-0.51091112204096589</v>
      </c>
      <c r="Q248" s="39">
        <f t="shared" si="35"/>
        <v>68594.720000000001</v>
      </c>
      <c r="R248" s="41"/>
      <c r="T248" s="42">
        <f t="shared" si="36"/>
        <v>0</v>
      </c>
      <c r="U248" s="42">
        <f t="shared" si="37"/>
        <v>-1</v>
      </c>
      <c r="V248" s="42">
        <f t="shared" si="38"/>
        <v>2</v>
      </c>
    </row>
    <row r="249" spans="1:22" s="28" customFormat="1" ht="73.5" customHeight="1" x14ac:dyDescent="0.2">
      <c r="A249" s="30">
        <v>238</v>
      </c>
      <c r="B249" s="31" t="s">
        <v>350</v>
      </c>
      <c r="C249" s="32" t="s">
        <v>25</v>
      </c>
      <c r="D249" s="33">
        <v>30</v>
      </c>
      <c r="E249" s="35">
        <v>1243.98</v>
      </c>
      <c r="F249" s="32" t="s">
        <v>27</v>
      </c>
      <c r="G249" s="37">
        <f>1554.7/1.2</f>
        <v>1295.5833333333335</v>
      </c>
      <c r="H249" s="38">
        <f t="shared" si="39"/>
        <v>38867.500000000007</v>
      </c>
      <c r="I249" s="38" t="s">
        <v>28</v>
      </c>
      <c r="J249" s="37">
        <v>1315.14</v>
      </c>
      <c r="K249" s="38">
        <f t="shared" si="31"/>
        <v>39454.200000000004</v>
      </c>
      <c r="L249" s="33" t="s">
        <v>29</v>
      </c>
      <c r="M249" s="37">
        <v>1205.4000000000001</v>
      </c>
      <c r="N249" s="38">
        <f t="shared" si="32"/>
        <v>36162</v>
      </c>
      <c r="O249" s="39">
        <f t="shared" si="33"/>
        <v>1272.0411111111111</v>
      </c>
      <c r="P249" s="40">
        <f t="shared" si="34"/>
        <v>-2.2059908965206461</v>
      </c>
      <c r="Q249" s="39">
        <f t="shared" si="35"/>
        <v>37319.4</v>
      </c>
      <c r="R249" s="41"/>
      <c r="T249" s="42">
        <f t="shared" si="36"/>
        <v>2</v>
      </c>
      <c r="U249" s="42">
        <f t="shared" si="37"/>
        <v>3</v>
      </c>
      <c r="V249" s="42">
        <f t="shared" si="38"/>
        <v>-5</v>
      </c>
    </row>
    <row r="250" spans="1:22" s="28" customFormat="1" ht="73.5" customHeight="1" x14ac:dyDescent="0.2">
      <c r="A250" s="30">
        <v>239</v>
      </c>
      <c r="B250" s="31" t="s">
        <v>351</v>
      </c>
      <c r="C250" s="32" t="s">
        <v>25</v>
      </c>
      <c r="D250" s="33">
        <v>28</v>
      </c>
      <c r="E250" s="35">
        <v>582.30999999999995</v>
      </c>
      <c r="F250" s="32" t="s">
        <v>27</v>
      </c>
      <c r="G250" s="37">
        <f>665.84/1.2</f>
        <v>554.86666666666667</v>
      </c>
      <c r="H250" s="38">
        <f t="shared" si="39"/>
        <v>15536.266666666666</v>
      </c>
      <c r="I250" s="38" t="s">
        <v>28</v>
      </c>
      <c r="J250" s="37">
        <v>597.45000000000005</v>
      </c>
      <c r="K250" s="38">
        <f t="shared" si="31"/>
        <v>16728.600000000002</v>
      </c>
      <c r="L250" s="33" t="s">
        <v>29</v>
      </c>
      <c r="M250" s="37">
        <v>611.65</v>
      </c>
      <c r="N250" s="38">
        <f t="shared" si="32"/>
        <v>17126.2</v>
      </c>
      <c r="O250" s="39">
        <f t="shared" si="33"/>
        <v>587.98888888888894</v>
      </c>
      <c r="P250" s="40">
        <f t="shared" si="34"/>
        <v>-0.96581568056843992</v>
      </c>
      <c r="Q250" s="39">
        <f t="shared" si="35"/>
        <v>16304.679999999998</v>
      </c>
      <c r="R250" s="41"/>
      <c r="T250" s="42">
        <f t="shared" si="36"/>
        <v>-6</v>
      </c>
      <c r="U250" s="42">
        <f t="shared" si="37"/>
        <v>2</v>
      </c>
      <c r="V250" s="42">
        <f t="shared" si="38"/>
        <v>4</v>
      </c>
    </row>
    <row r="251" spans="1:22" s="28" customFormat="1" ht="73.5" customHeight="1" x14ac:dyDescent="0.2">
      <c r="A251" s="30">
        <v>240</v>
      </c>
      <c r="B251" s="31" t="s">
        <v>352</v>
      </c>
      <c r="C251" s="32" t="s">
        <v>25</v>
      </c>
      <c r="D251" s="33" t="s">
        <v>353</v>
      </c>
      <c r="E251" s="35">
        <v>6401.45</v>
      </c>
      <c r="F251" s="32" t="s">
        <v>27</v>
      </c>
      <c r="G251" s="37">
        <f>7634.96/1.2</f>
        <v>6362.4666666666672</v>
      </c>
      <c r="H251" s="38">
        <f t="shared" si="39"/>
        <v>101799.46666666667</v>
      </c>
      <c r="I251" s="38" t="s">
        <v>28</v>
      </c>
      <c r="J251" s="37">
        <v>6500.77</v>
      </c>
      <c r="K251" s="38">
        <f t="shared" si="31"/>
        <v>104012.32</v>
      </c>
      <c r="L251" s="33" t="s">
        <v>29</v>
      </c>
      <c r="M251" s="37">
        <v>6412.9</v>
      </c>
      <c r="N251" s="38">
        <f t="shared" si="32"/>
        <v>102606.39999999999</v>
      </c>
      <c r="O251" s="39">
        <f t="shared" si="33"/>
        <v>6425.3788888888885</v>
      </c>
      <c r="P251" s="40">
        <f t="shared" si="34"/>
        <v>-0.37241210678280368</v>
      </c>
      <c r="Q251" s="39">
        <f t="shared" si="35"/>
        <v>102423.2</v>
      </c>
      <c r="R251" s="41"/>
      <c r="T251" s="42">
        <f t="shared" si="36"/>
        <v>-1</v>
      </c>
      <c r="U251" s="42">
        <f t="shared" si="37"/>
        <v>1</v>
      </c>
      <c r="V251" s="42">
        <f t="shared" si="38"/>
        <v>0</v>
      </c>
    </row>
    <row r="252" spans="1:22" s="28" customFormat="1" ht="73.5" customHeight="1" x14ac:dyDescent="0.2">
      <c r="A252" s="30">
        <v>241</v>
      </c>
      <c r="B252" s="31" t="s">
        <v>354</v>
      </c>
      <c r="C252" s="32" t="s">
        <v>25</v>
      </c>
      <c r="D252" s="33">
        <v>9</v>
      </c>
      <c r="E252" s="35">
        <v>6620.5</v>
      </c>
      <c r="F252" s="32" t="s">
        <v>27</v>
      </c>
      <c r="G252" s="37">
        <f>7723.18/1.2</f>
        <v>6435.9833333333336</v>
      </c>
      <c r="H252" s="38">
        <f t="shared" si="39"/>
        <v>57923.850000000006</v>
      </c>
      <c r="I252" s="38" t="s">
        <v>28</v>
      </c>
      <c r="J252" s="37">
        <v>6705.7</v>
      </c>
      <c r="K252" s="38">
        <f t="shared" si="31"/>
        <v>60351.299999999996</v>
      </c>
      <c r="L252" s="33" t="s">
        <v>29</v>
      </c>
      <c r="M252" s="37">
        <v>6944.66</v>
      </c>
      <c r="N252" s="38">
        <f t="shared" si="32"/>
        <v>62501.94</v>
      </c>
      <c r="O252" s="39">
        <f t="shared" si="33"/>
        <v>6695.4477777777784</v>
      </c>
      <c r="P252" s="40">
        <f t="shared" si="34"/>
        <v>-1.1193840989475063</v>
      </c>
      <c r="Q252" s="39">
        <f t="shared" si="35"/>
        <v>59584.5</v>
      </c>
      <c r="R252" s="41"/>
      <c r="T252" s="42">
        <f t="shared" si="36"/>
        <v>-4</v>
      </c>
      <c r="U252" s="42">
        <f t="shared" si="37"/>
        <v>0</v>
      </c>
      <c r="V252" s="42">
        <f t="shared" si="38"/>
        <v>4</v>
      </c>
    </row>
    <row r="253" spans="1:22" s="28" customFormat="1" ht="96.75" customHeight="1" x14ac:dyDescent="0.2">
      <c r="A253" s="30">
        <v>242</v>
      </c>
      <c r="B253" s="31" t="s">
        <v>355</v>
      </c>
      <c r="C253" s="32" t="s">
        <v>25</v>
      </c>
      <c r="D253" s="33" t="s">
        <v>356</v>
      </c>
      <c r="E253" s="35">
        <v>17795.68</v>
      </c>
      <c r="F253" s="32" t="s">
        <v>27</v>
      </c>
      <c r="G253" s="37">
        <v>17031.560000000001</v>
      </c>
      <c r="H253" s="38">
        <f t="shared" si="39"/>
        <v>323599.64</v>
      </c>
      <c r="I253" s="38" t="s">
        <v>28</v>
      </c>
      <c r="J253" s="37">
        <v>17950.8</v>
      </c>
      <c r="K253" s="38">
        <f t="shared" si="31"/>
        <v>341065.2</v>
      </c>
      <c r="L253" s="33" t="s">
        <v>29</v>
      </c>
      <c r="M253" s="37">
        <v>18500.400000000001</v>
      </c>
      <c r="N253" s="38">
        <f t="shared" si="32"/>
        <v>351507.60000000003</v>
      </c>
      <c r="O253" s="39">
        <f t="shared" si="33"/>
        <v>17827.586666666666</v>
      </c>
      <c r="P253" s="40">
        <f t="shared" si="34"/>
        <v>-0.17897356082595195</v>
      </c>
      <c r="Q253" s="39">
        <f t="shared" si="35"/>
        <v>338117.92</v>
      </c>
      <c r="R253" s="41"/>
      <c r="T253" s="42">
        <f t="shared" si="36"/>
        <v>-4</v>
      </c>
      <c r="U253" s="42">
        <f t="shared" si="37"/>
        <v>1</v>
      </c>
      <c r="V253" s="42">
        <f t="shared" si="38"/>
        <v>4</v>
      </c>
    </row>
    <row r="254" spans="1:22" s="28" customFormat="1" ht="73.5" customHeight="1" x14ac:dyDescent="0.2">
      <c r="A254" s="30">
        <v>243</v>
      </c>
      <c r="B254" s="31" t="s">
        <v>357</v>
      </c>
      <c r="C254" s="32" t="s">
        <v>25</v>
      </c>
      <c r="D254" s="33">
        <v>186</v>
      </c>
      <c r="E254" s="62">
        <v>6160.34</v>
      </c>
      <c r="F254" s="32" t="s">
        <v>27</v>
      </c>
      <c r="G254" s="37">
        <f>7116.72/1.2</f>
        <v>5930.6</v>
      </c>
      <c r="H254" s="38">
        <f t="shared" si="39"/>
        <v>1103091.6000000001</v>
      </c>
      <c r="I254" s="38" t="s">
        <v>28</v>
      </c>
      <c r="J254" s="37">
        <v>6254.69</v>
      </c>
      <c r="K254" s="38">
        <f t="shared" si="31"/>
        <v>1163372.3399999999</v>
      </c>
      <c r="L254" s="33" t="s">
        <v>29</v>
      </c>
      <c r="M254" s="37">
        <v>6411.33</v>
      </c>
      <c r="N254" s="38">
        <f t="shared" si="32"/>
        <v>1192507.3799999999</v>
      </c>
      <c r="O254" s="39">
        <f t="shared" si="33"/>
        <v>6198.8733333333339</v>
      </c>
      <c r="P254" s="40">
        <f t="shared" si="34"/>
        <v>-0.62161833709566849</v>
      </c>
      <c r="Q254" s="39">
        <f t="shared" si="35"/>
        <v>1145823.24</v>
      </c>
      <c r="R254" s="64" t="s">
        <v>487</v>
      </c>
      <c r="T254" s="42">
        <f t="shared" si="36"/>
        <v>-4</v>
      </c>
      <c r="U254" s="42">
        <f t="shared" si="37"/>
        <v>1</v>
      </c>
      <c r="V254" s="42">
        <f t="shared" si="38"/>
        <v>3</v>
      </c>
    </row>
    <row r="255" spans="1:22" s="28" customFormat="1" ht="73.5" customHeight="1" x14ac:dyDescent="0.2">
      <c r="A255" s="30">
        <v>244</v>
      </c>
      <c r="B255" s="31" t="s">
        <v>358</v>
      </c>
      <c r="C255" s="32" t="s">
        <v>25</v>
      </c>
      <c r="D255" s="33">
        <v>3</v>
      </c>
      <c r="E255" s="35">
        <v>803.64</v>
      </c>
      <c r="F255" s="32" t="s">
        <v>27</v>
      </c>
      <c r="G255" s="37">
        <f>977.24/1.2</f>
        <v>814.36666666666667</v>
      </c>
      <c r="H255" s="38">
        <f t="shared" si="39"/>
        <v>2443.1</v>
      </c>
      <c r="I255" s="38" t="s">
        <v>28</v>
      </c>
      <c r="J255" s="37">
        <v>847.5</v>
      </c>
      <c r="K255" s="38">
        <f t="shared" si="31"/>
        <v>2542.5</v>
      </c>
      <c r="L255" s="33" t="s">
        <v>29</v>
      </c>
      <c r="M255" s="37">
        <v>802.4</v>
      </c>
      <c r="N255" s="38">
        <f t="shared" si="32"/>
        <v>2407.1999999999998</v>
      </c>
      <c r="O255" s="39">
        <f t="shared" si="33"/>
        <v>821.42222222222233</v>
      </c>
      <c r="P255" s="40">
        <f t="shared" si="34"/>
        <v>-2.1648090033546339</v>
      </c>
      <c r="Q255" s="39">
        <f t="shared" si="35"/>
        <v>2410.92</v>
      </c>
      <c r="R255" s="41"/>
      <c r="T255" s="42">
        <f t="shared" si="36"/>
        <v>-1</v>
      </c>
      <c r="U255" s="42">
        <f t="shared" si="37"/>
        <v>3</v>
      </c>
      <c r="V255" s="42">
        <f t="shared" si="38"/>
        <v>-2</v>
      </c>
    </row>
    <row r="256" spans="1:22" s="28" customFormat="1" ht="73.5" customHeight="1" x14ac:dyDescent="0.2">
      <c r="A256" s="30">
        <v>245</v>
      </c>
      <c r="B256" s="31" t="s">
        <v>359</v>
      </c>
      <c r="C256" s="32" t="s">
        <v>25</v>
      </c>
      <c r="D256" s="33">
        <v>5</v>
      </c>
      <c r="E256" s="35">
        <v>6504.74</v>
      </c>
      <c r="F256" s="32" t="s">
        <v>27</v>
      </c>
      <c r="G256" s="37">
        <f>7779.68/1.2</f>
        <v>6483.0666666666675</v>
      </c>
      <c r="H256" s="38">
        <f t="shared" si="39"/>
        <v>32415.333333333336</v>
      </c>
      <c r="I256" s="38" t="s">
        <v>28</v>
      </c>
      <c r="J256" s="37">
        <v>6402.14</v>
      </c>
      <c r="K256" s="38">
        <f t="shared" si="31"/>
        <v>32010.7</v>
      </c>
      <c r="L256" s="33" t="s">
        <v>29</v>
      </c>
      <c r="M256" s="37">
        <v>6755.82</v>
      </c>
      <c r="N256" s="38">
        <f t="shared" si="32"/>
        <v>33779.1</v>
      </c>
      <c r="O256" s="39">
        <f t="shared" si="33"/>
        <v>6547.0088888888895</v>
      </c>
      <c r="P256" s="40">
        <f t="shared" si="34"/>
        <v>-0.64562137620777094</v>
      </c>
      <c r="Q256" s="39">
        <f t="shared" si="35"/>
        <v>32523.699999999997</v>
      </c>
      <c r="R256" s="41"/>
      <c r="T256" s="42">
        <f t="shared" si="36"/>
        <v>-1</v>
      </c>
      <c r="U256" s="42">
        <f t="shared" si="37"/>
        <v>-2</v>
      </c>
      <c r="V256" s="42">
        <f t="shared" si="38"/>
        <v>3</v>
      </c>
    </row>
    <row r="257" spans="1:22" s="28" customFormat="1" ht="73.5" customHeight="1" x14ac:dyDescent="0.2">
      <c r="A257" s="30">
        <v>246</v>
      </c>
      <c r="B257" s="31" t="s">
        <v>360</v>
      </c>
      <c r="C257" s="32" t="s">
        <v>25</v>
      </c>
      <c r="D257" s="33">
        <v>26</v>
      </c>
      <c r="E257" s="35">
        <v>11227.31</v>
      </c>
      <c r="F257" s="32" t="s">
        <v>27</v>
      </c>
      <c r="G257" s="37">
        <f>13531.04/1.2</f>
        <v>11275.866666666669</v>
      </c>
      <c r="H257" s="38">
        <f t="shared" si="39"/>
        <v>293172.53333333338</v>
      </c>
      <c r="I257" s="38" t="s">
        <v>28</v>
      </c>
      <c r="J257" s="37">
        <v>11489.66</v>
      </c>
      <c r="K257" s="38">
        <f t="shared" si="31"/>
        <v>298731.15999999997</v>
      </c>
      <c r="L257" s="33" t="s">
        <v>29</v>
      </c>
      <c r="M257" s="37">
        <v>11020.45</v>
      </c>
      <c r="N257" s="38">
        <f t="shared" si="32"/>
        <v>286531.7</v>
      </c>
      <c r="O257" s="39">
        <f t="shared" si="33"/>
        <v>11261.992222222223</v>
      </c>
      <c r="P257" s="40">
        <f t="shared" si="34"/>
        <v>-0.3079581439755259</v>
      </c>
      <c r="Q257" s="39">
        <f t="shared" si="35"/>
        <v>291910.06</v>
      </c>
      <c r="R257" s="41"/>
      <c r="T257" s="42">
        <f t="shared" si="36"/>
        <v>0</v>
      </c>
      <c r="U257" s="42">
        <f t="shared" si="37"/>
        <v>2</v>
      </c>
      <c r="V257" s="42">
        <f t="shared" si="38"/>
        <v>-2</v>
      </c>
    </row>
    <row r="258" spans="1:22" s="28" customFormat="1" ht="73.5" customHeight="1" x14ac:dyDescent="0.2">
      <c r="A258" s="30">
        <v>247</v>
      </c>
      <c r="B258" s="31" t="s">
        <v>361</v>
      </c>
      <c r="C258" s="32" t="s">
        <v>25</v>
      </c>
      <c r="D258" s="33">
        <v>20</v>
      </c>
      <c r="E258" s="35">
        <v>13102.47</v>
      </c>
      <c r="F258" s="32" t="s">
        <v>27</v>
      </c>
      <c r="G258" s="37">
        <f>15620.43/1.2</f>
        <v>13017.025000000001</v>
      </c>
      <c r="H258" s="38">
        <f t="shared" si="39"/>
        <v>260340.50000000003</v>
      </c>
      <c r="I258" s="38" t="s">
        <v>28</v>
      </c>
      <c r="J258" s="37">
        <v>12950.42</v>
      </c>
      <c r="K258" s="38">
        <f t="shared" si="31"/>
        <v>259008.4</v>
      </c>
      <c r="L258" s="33" t="s">
        <v>29</v>
      </c>
      <c r="M258" s="37">
        <v>13451.61</v>
      </c>
      <c r="N258" s="38">
        <f t="shared" si="32"/>
        <v>269032.2</v>
      </c>
      <c r="O258" s="39">
        <f t="shared" si="33"/>
        <v>13139.684999999999</v>
      </c>
      <c r="P258" s="40">
        <f t="shared" si="34"/>
        <v>-0.28322596774579267</v>
      </c>
      <c r="Q258" s="39">
        <f t="shared" si="35"/>
        <v>262049.4</v>
      </c>
      <c r="R258" s="41"/>
      <c r="T258" s="42">
        <f t="shared" si="36"/>
        <v>-1</v>
      </c>
      <c r="U258" s="42">
        <f t="shared" si="37"/>
        <v>-1</v>
      </c>
      <c r="V258" s="42">
        <f t="shared" si="38"/>
        <v>2</v>
      </c>
    </row>
    <row r="259" spans="1:22" s="28" customFormat="1" ht="73.5" customHeight="1" x14ac:dyDescent="0.2">
      <c r="A259" s="30">
        <v>248</v>
      </c>
      <c r="B259" s="31" t="s">
        <v>362</v>
      </c>
      <c r="C259" s="32" t="s">
        <v>25</v>
      </c>
      <c r="D259" s="33">
        <v>6</v>
      </c>
      <c r="E259" s="35">
        <v>9723.4</v>
      </c>
      <c r="F259" s="32" t="s">
        <v>27</v>
      </c>
      <c r="G259" s="37">
        <f>11643.9/1.2</f>
        <v>9703.25</v>
      </c>
      <c r="H259" s="38">
        <f t="shared" si="39"/>
        <v>58219.5</v>
      </c>
      <c r="I259" s="38" t="s">
        <v>28</v>
      </c>
      <c r="J259" s="37">
        <v>9670.9</v>
      </c>
      <c r="K259" s="38">
        <f t="shared" si="31"/>
        <v>58025.399999999994</v>
      </c>
      <c r="L259" s="33" t="s">
        <v>29</v>
      </c>
      <c r="M259" s="37">
        <v>9977.4699999999993</v>
      </c>
      <c r="N259" s="38">
        <f t="shared" si="32"/>
        <v>59864.819999999992</v>
      </c>
      <c r="O259" s="39">
        <f t="shared" si="33"/>
        <v>9783.8733333333348</v>
      </c>
      <c r="P259" s="40">
        <f t="shared" si="34"/>
        <v>-0.61809194858751937</v>
      </c>
      <c r="Q259" s="39">
        <f t="shared" si="35"/>
        <v>58340.399999999994</v>
      </c>
      <c r="R259" s="41"/>
      <c r="T259" s="42">
        <f t="shared" si="36"/>
        <v>-1</v>
      </c>
      <c r="U259" s="42">
        <f t="shared" si="37"/>
        <v>-1</v>
      </c>
      <c r="V259" s="42">
        <f t="shared" si="38"/>
        <v>2</v>
      </c>
    </row>
    <row r="260" spans="1:22" s="28" customFormat="1" ht="73.5" customHeight="1" x14ac:dyDescent="0.2">
      <c r="A260" s="30">
        <v>249</v>
      </c>
      <c r="B260" s="31" t="s">
        <v>363</v>
      </c>
      <c r="C260" s="32" t="s">
        <v>25</v>
      </c>
      <c r="D260" s="33">
        <v>7</v>
      </c>
      <c r="E260" s="35">
        <v>37685.879999999997</v>
      </c>
      <c r="F260" s="32" t="s">
        <v>27</v>
      </c>
      <c r="G260" s="37">
        <f>45140.87/1.2</f>
        <v>37617.39166666667</v>
      </c>
      <c r="H260" s="38">
        <f t="shared" ref="H260:H291" si="40">D260*G260</f>
        <v>263321.7416666667</v>
      </c>
      <c r="I260" s="38" t="s">
        <v>28</v>
      </c>
      <c r="J260" s="37">
        <v>36970.31</v>
      </c>
      <c r="K260" s="38">
        <f t="shared" si="31"/>
        <v>258792.16999999998</v>
      </c>
      <c r="L260" s="33" t="s">
        <v>29</v>
      </c>
      <c r="M260" s="37">
        <v>38780.300000000003</v>
      </c>
      <c r="N260" s="38">
        <f t="shared" si="32"/>
        <v>271462.10000000003</v>
      </c>
      <c r="O260" s="39">
        <f t="shared" si="33"/>
        <v>37789.33388888889</v>
      </c>
      <c r="P260" s="40">
        <f t="shared" si="34"/>
        <v>-0.27376478556907102</v>
      </c>
      <c r="Q260" s="39">
        <f t="shared" si="35"/>
        <v>263801.15999999997</v>
      </c>
      <c r="R260" s="41"/>
      <c r="T260" s="42">
        <f t="shared" si="36"/>
        <v>0</v>
      </c>
      <c r="U260" s="42">
        <f t="shared" si="37"/>
        <v>-2</v>
      </c>
      <c r="V260" s="42">
        <f t="shared" si="38"/>
        <v>3</v>
      </c>
    </row>
    <row r="261" spans="1:22" s="28" customFormat="1" ht="73.5" customHeight="1" x14ac:dyDescent="0.2">
      <c r="A261" s="30">
        <v>250</v>
      </c>
      <c r="B261" s="31" t="s">
        <v>364</v>
      </c>
      <c r="C261" s="32" t="s">
        <v>25</v>
      </c>
      <c r="D261" s="33">
        <v>96</v>
      </c>
      <c r="E261" s="35">
        <v>14297.31</v>
      </c>
      <c r="F261" s="32" t="s">
        <v>27</v>
      </c>
      <c r="G261" s="37">
        <f>16365.36/1.2</f>
        <v>13637.800000000001</v>
      </c>
      <c r="H261" s="38">
        <f t="shared" si="40"/>
        <v>1309228.8</v>
      </c>
      <c r="I261" s="38" t="s">
        <v>28</v>
      </c>
      <c r="J261" s="37">
        <v>14945.88</v>
      </c>
      <c r="K261" s="38">
        <f t="shared" si="31"/>
        <v>1434804.48</v>
      </c>
      <c r="L261" s="33" t="s">
        <v>29</v>
      </c>
      <c r="M261" s="37">
        <v>14511.7</v>
      </c>
      <c r="N261" s="38">
        <f t="shared" si="32"/>
        <v>1393123.2000000002</v>
      </c>
      <c r="O261" s="39">
        <f t="shared" si="33"/>
        <v>14365.126666666669</v>
      </c>
      <c r="P261" s="40">
        <f t="shared" si="34"/>
        <v>-0.47209236813785083</v>
      </c>
      <c r="Q261" s="39">
        <f t="shared" si="35"/>
        <v>1372541.76</v>
      </c>
      <c r="R261" s="41"/>
      <c r="T261" s="42">
        <f t="shared" si="36"/>
        <v>-5</v>
      </c>
      <c r="U261" s="42">
        <f t="shared" si="37"/>
        <v>4</v>
      </c>
      <c r="V261" s="42">
        <f t="shared" si="38"/>
        <v>1</v>
      </c>
    </row>
    <row r="262" spans="1:22" s="28" customFormat="1" ht="73.5" customHeight="1" x14ac:dyDescent="0.2">
      <c r="A262" s="30">
        <v>251</v>
      </c>
      <c r="B262" s="31" t="s">
        <v>365</v>
      </c>
      <c r="C262" s="32" t="s">
        <v>25</v>
      </c>
      <c r="D262" s="33">
        <v>20</v>
      </c>
      <c r="E262" s="35">
        <v>10989.9</v>
      </c>
      <c r="F262" s="32" t="s">
        <v>27</v>
      </c>
      <c r="G262" s="37">
        <f>12703.22/1.2</f>
        <v>10586.016666666666</v>
      </c>
      <c r="H262" s="38">
        <f t="shared" si="40"/>
        <v>211720.33333333331</v>
      </c>
      <c r="I262" s="38" t="s">
        <v>28</v>
      </c>
      <c r="J262" s="37">
        <v>11600.4</v>
      </c>
      <c r="K262" s="38">
        <f t="shared" si="31"/>
        <v>232008</v>
      </c>
      <c r="L262" s="33" t="s">
        <v>29</v>
      </c>
      <c r="M262" s="37">
        <v>10945.3</v>
      </c>
      <c r="N262" s="38">
        <f t="shared" si="32"/>
        <v>218906</v>
      </c>
      <c r="O262" s="39">
        <f t="shared" si="33"/>
        <v>11043.905555555553</v>
      </c>
      <c r="P262" s="40">
        <f t="shared" si="34"/>
        <v>-0.48900776345725205</v>
      </c>
      <c r="Q262" s="39">
        <f t="shared" si="35"/>
        <v>219798</v>
      </c>
      <c r="R262" s="41"/>
      <c r="T262" s="42">
        <f t="shared" si="36"/>
        <v>-4</v>
      </c>
      <c r="U262" s="42">
        <f t="shared" si="37"/>
        <v>5</v>
      </c>
      <c r="V262" s="42">
        <f t="shared" si="38"/>
        <v>-1</v>
      </c>
    </row>
    <row r="263" spans="1:22" s="28" customFormat="1" ht="73.5" customHeight="1" x14ac:dyDescent="0.2">
      <c r="A263" s="30">
        <v>252</v>
      </c>
      <c r="B263" s="31" t="s">
        <v>366</v>
      </c>
      <c r="C263" s="32" t="s">
        <v>25</v>
      </c>
      <c r="D263" s="33">
        <v>2</v>
      </c>
      <c r="E263" s="35">
        <v>18180.7</v>
      </c>
      <c r="F263" s="32" t="s">
        <v>27</v>
      </c>
      <c r="G263" s="37">
        <f>20730.05/1.2</f>
        <v>17275.041666666668</v>
      </c>
      <c r="H263" s="38">
        <f t="shared" si="40"/>
        <v>34550.083333333336</v>
      </c>
      <c r="I263" s="38" t="s">
        <v>28</v>
      </c>
      <c r="J263" s="37">
        <v>18056.72</v>
      </c>
      <c r="K263" s="38">
        <f t="shared" si="31"/>
        <v>36113.440000000002</v>
      </c>
      <c r="L263" s="33" t="s">
        <v>29</v>
      </c>
      <c r="M263" s="37">
        <v>19401.5</v>
      </c>
      <c r="N263" s="38">
        <f t="shared" si="32"/>
        <v>38803</v>
      </c>
      <c r="O263" s="39">
        <f t="shared" si="33"/>
        <v>18244.420555555556</v>
      </c>
      <c r="P263" s="40">
        <f t="shared" si="34"/>
        <v>-0.34926050603537817</v>
      </c>
      <c r="Q263" s="39">
        <f t="shared" si="35"/>
        <v>36361.4</v>
      </c>
      <c r="R263" s="41"/>
      <c r="T263" s="42">
        <f t="shared" si="36"/>
        <v>-5</v>
      </c>
      <c r="U263" s="42">
        <f t="shared" si="37"/>
        <v>-1</v>
      </c>
      <c r="V263" s="42">
        <f t="shared" si="38"/>
        <v>6</v>
      </c>
    </row>
    <row r="264" spans="1:22" s="28" customFormat="1" ht="73.5" customHeight="1" x14ac:dyDescent="0.2">
      <c r="A264" s="30">
        <v>253</v>
      </c>
      <c r="B264" s="31" t="s">
        <v>367</v>
      </c>
      <c r="C264" s="32" t="s">
        <v>25</v>
      </c>
      <c r="D264" s="33">
        <v>2</v>
      </c>
      <c r="E264" s="35">
        <v>15497.6</v>
      </c>
      <c r="F264" s="32" t="s">
        <v>27</v>
      </c>
      <c r="G264" s="37">
        <f>19032.94/1.2</f>
        <v>15860.783333333333</v>
      </c>
      <c r="H264" s="38">
        <f t="shared" si="40"/>
        <v>31721.566666666666</v>
      </c>
      <c r="I264" s="38" t="s">
        <v>28</v>
      </c>
      <c r="J264" s="37">
        <v>15002.64</v>
      </c>
      <c r="K264" s="38">
        <f t="shared" si="31"/>
        <v>30005.279999999999</v>
      </c>
      <c r="L264" s="33" t="s">
        <v>29</v>
      </c>
      <c r="M264" s="37">
        <v>16200.7</v>
      </c>
      <c r="N264" s="38">
        <f t="shared" si="32"/>
        <v>32401.4</v>
      </c>
      <c r="O264" s="39">
        <f t="shared" si="33"/>
        <v>15688.041111111112</v>
      </c>
      <c r="P264" s="40">
        <f t="shared" si="34"/>
        <v>-1.2139253700465531</v>
      </c>
      <c r="Q264" s="39">
        <f t="shared" si="35"/>
        <v>30995.200000000001</v>
      </c>
      <c r="R264" s="41"/>
      <c r="T264" s="42">
        <f t="shared" si="36"/>
        <v>1</v>
      </c>
      <c r="U264" s="42">
        <f t="shared" si="37"/>
        <v>-4</v>
      </c>
      <c r="V264" s="42">
        <f t="shared" si="38"/>
        <v>3</v>
      </c>
    </row>
    <row r="265" spans="1:22" s="28" customFormat="1" ht="73.5" customHeight="1" x14ac:dyDescent="0.2">
      <c r="A265" s="30">
        <v>254</v>
      </c>
      <c r="B265" s="31" t="s">
        <v>368</v>
      </c>
      <c r="C265" s="32" t="s">
        <v>25</v>
      </c>
      <c r="D265" s="33">
        <v>16</v>
      </c>
      <c r="E265" s="35">
        <v>16602.099999999999</v>
      </c>
      <c r="F265" s="32" t="s">
        <v>27</v>
      </c>
      <c r="G265" s="37">
        <f>19411.67/1.2</f>
        <v>16176.391666666666</v>
      </c>
      <c r="H265" s="38">
        <f t="shared" si="40"/>
        <v>258822.26666666666</v>
      </c>
      <c r="I265" s="38" t="s">
        <v>28</v>
      </c>
      <c r="J265" s="37">
        <v>17921.59</v>
      </c>
      <c r="K265" s="38">
        <f t="shared" si="31"/>
        <v>286745.44</v>
      </c>
      <c r="L265" s="33" t="s">
        <v>29</v>
      </c>
      <c r="M265" s="37">
        <v>15947.3</v>
      </c>
      <c r="N265" s="38">
        <f t="shared" si="32"/>
        <v>255156.8</v>
      </c>
      <c r="O265" s="39">
        <f t="shared" si="33"/>
        <v>16681.760555555553</v>
      </c>
      <c r="P265" s="40">
        <f t="shared" si="34"/>
        <v>-0.47753086546387635</v>
      </c>
      <c r="Q265" s="39">
        <f t="shared" si="35"/>
        <v>265633.59999999998</v>
      </c>
      <c r="R265" s="41"/>
      <c r="T265" s="42">
        <f t="shared" si="36"/>
        <v>-3</v>
      </c>
      <c r="U265" s="42">
        <f t="shared" si="37"/>
        <v>7</v>
      </c>
      <c r="V265" s="42">
        <f t="shared" si="38"/>
        <v>-4</v>
      </c>
    </row>
    <row r="266" spans="1:22" s="28" customFormat="1" ht="73.5" customHeight="1" x14ac:dyDescent="0.2">
      <c r="A266" s="30">
        <v>255</v>
      </c>
      <c r="B266" s="31" t="s">
        <v>369</v>
      </c>
      <c r="C266" s="32" t="s">
        <v>25</v>
      </c>
      <c r="D266" s="33">
        <v>6</v>
      </c>
      <c r="E266" s="35">
        <v>16354.78</v>
      </c>
      <c r="F266" s="32" t="s">
        <v>27</v>
      </c>
      <c r="G266" s="37">
        <f>19299.98/1.2</f>
        <v>16083.316666666668</v>
      </c>
      <c r="H266" s="38">
        <f t="shared" si="40"/>
        <v>96499.900000000009</v>
      </c>
      <c r="I266" s="38" t="s">
        <v>28</v>
      </c>
      <c r="J266" s="37">
        <v>16400.669999999998</v>
      </c>
      <c r="K266" s="38">
        <f t="shared" si="31"/>
        <v>98404.01999999999</v>
      </c>
      <c r="L266" s="33" t="s">
        <v>29</v>
      </c>
      <c r="M266" s="37">
        <v>17011.88</v>
      </c>
      <c r="N266" s="38">
        <f t="shared" si="32"/>
        <v>102071.28</v>
      </c>
      <c r="O266" s="39">
        <f t="shared" si="33"/>
        <v>16498.622222222224</v>
      </c>
      <c r="P266" s="40">
        <f t="shared" si="34"/>
        <v>-0.87184384419980177</v>
      </c>
      <c r="Q266" s="39">
        <f t="shared" si="35"/>
        <v>98128.680000000008</v>
      </c>
      <c r="R266" s="41"/>
      <c r="T266" s="42">
        <f t="shared" si="36"/>
        <v>-3</v>
      </c>
      <c r="U266" s="42">
        <f t="shared" si="37"/>
        <v>-1</v>
      </c>
      <c r="V266" s="42">
        <f t="shared" si="38"/>
        <v>3</v>
      </c>
    </row>
    <row r="267" spans="1:22" s="28" customFormat="1" ht="73.5" customHeight="1" x14ac:dyDescent="0.2">
      <c r="A267" s="30">
        <v>256</v>
      </c>
      <c r="B267" s="31" t="s">
        <v>370</v>
      </c>
      <c r="C267" s="32" t="s">
        <v>25</v>
      </c>
      <c r="D267" s="33">
        <v>1</v>
      </c>
      <c r="E267" s="35">
        <v>25020.5</v>
      </c>
      <c r="F267" s="32" t="s">
        <v>27</v>
      </c>
      <c r="G267" s="37">
        <f>28803.13/1.2</f>
        <v>24002.608333333334</v>
      </c>
      <c r="H267" s="38">
        <f t="shared" si="40"/>
        <v>24002.608333333334</v>
      </c>
      <c r="I267" s="38" t="s">
        <v>28</v>
      </c>
      <c r="J267" s="37">
        <v>26007.32</v>
      </c>
      <c r="K267" s="38">
        <f t="shared" si="31"/>
        <v>26007.32</v>
      </c>
      <c r="L267" s="33" t="s">
        <v>29</v>
      </c>
      <c r="M267" s="37">
        <v>25452.45</v>
      </c>
      <c r="N267" s="38">
        <f t="shared" si="32"/>
        <v>25452.45</v>
      </c>
      <c r="O267" s="39">
        <f t="shared" si="33"/>
        <v>25154.126111111109</v>
      </c>
      <c r="P267" s="40">
        <f t="shared" si="34"/>
        <v>-0.53122939163480964</v>
      </c>
      <c r="Q267" s="39">
        <f t="shared" si="35"/>
        <v>25020.5</v>
      </c>
      <c r="R267" s="41"/>
      <c r="T267" s="42">
        <f t="shared" si="36"/>
        <v>-5</v>
      </c>
      <c r="U267" s="42">
        <f t="shared" si="37"/>
        <v>3</v>
      </c>
      <c r="V267" s="42">
        <f t="shared" si="38"/>
        <v>1</v>
      </c>
    </row>
    <row r="268" spans="1:22" s="28" customFormat="1" ht="73.5" customHeight="1" x14ac:dyDescent="0.2">
      <c r="A268" s="30">
        <v>257</v>
      </c>
      <c r="B268" s="31" t="s">
        <v>371</v>
      </c>
      <c r="C268" s="32" t="s">
        <v>25</v>
      </c>
      <c r="D268" s="33" t="s">
        <v>372</v>
      </c>
      <c r="E268" s="35">
        <v>10970.42</v>
      </c>
      <c r="F268" s="32" t="s">
        <v>27</v>
      </c>
      <c r="G268" s="37">
        <f>12771.25/1.2</f>
        <v>10642.708333333334</v>
      </c>
      <c r="H268" s="38">
        <f t="shared" si="40"/>
        <v>2586178.125</v>
      </c>
      <c r="I268" s="38" t="s">
        <v>28</v>
      </c>
      <c r="J268" s="37">
        <v>11023.45</v>
      </c>
      <c r="K268" s="38">
        <f t="shared" ref="K268:K331" si="41">D268*J268</f>
        <v>2678698.35</v>
      </c>
      <c r="L268" s="33" t="s">
        <v>29</v>
      </c>
      <c r="M268" s="37">
        <v>11452.6</v>
      </c>
      <c r="N268" s="38">
        <f t="shared" ref="N268:N331" si="42">D268*M268</f>
        <v>2782981.8000000003</v>
      </c>
      <c r="O268" s="39">
        <f t="shared" ref="O268:O331" si="43">AVERAGE(G268,J268,M268)</f>
        <v>11039.58611111111</v>
      </c>
      <c r="P268" s="40">
        <f t="shared" ref="P268:P331" si="44">E268*100/O268-100</f>
        <v>-0.62652811812840525</v>
      </c>
      <c r="Q268" s="39">
        <f t="shared" ref="Q268:Q331" si="45">D268*E268</f>
        <v>2665812.06</v>
      </c>
      <c r="R268" s="41"/>
      <c r="T268" s="42">
        <f t="shared" ref="T268:T331" si="46">ROUND(G268*100/O268-100,0)</f>
        <v>-4</v>
      </c>
      <c r="U268" s="42">
        <f t="shared" ref="U268:U331" si="47">ROUND(J268*100/O268-100,0)</f>
        <v>0</v>
      </c>
      <c r="V268" s="42">
        <f t="shared" ref="V268:V331" si="48">ROUND(M268*100/O268-100,0)</f>
        <v>4</v>
      </c>
    </row>
    <row r="269" spans="1:22" s="28" customFormat="1" ht="73.5" customHeight="1" x14ac:dyDescent="0.2">
      <c r="A269" s="30">
        <v>258</v>
      </c>
      <c r="B269" s="31" t="s">
        <v>373</v>
      </c>
      <c r="C269" s="32" t="s">
        <v>45</v>
      </c>
      <c r="D269" s="33" t="s">
        <v>374</v>
      </c>
      <c r="E269" s="35">
        <v>3441.15</v>
      </c>
      <c r="F269" s="32" t="s">
        <v>375</v>
      </c>
      <c r="G269" s="37">
        <f>3619/1.2</f>
        <v>3015.8333333333335</v>
      </c>
      <c r="H269" s="38">
        <f t="shared" si="40"/>
        <v>15682.333333333334</v>
      </c>
      <c r="I269" s="32" t="s">
        <v>376</v>
      </c>
      <c r="J269" s="37">
        <v>3316.67</v>
      </c>
      <c r="K269" s="38">
        <f t="shared" si="41"/>
        <v>17246.684000000001</v>
      </c>
      <c r="L269" s="32" t="s">
        <v>377</v>
      </c>
      <c r="M269" s="37">
        <f>4800/1.2</f>
        <v>4000</v>
      </c>
      <c r="N269" s="38">
        <f t="shared" si="42"/>
        <v>20800</v>
      </c>
      <c r="O269" s="39">
        <f t="shared" si="43"/>
        <v>3444.1677777777782</v>
      </c>
      <c r="P269" s="40">
        <f t="shared" si="44"/>
        <v>-8.7619941085606001E-2</v>
      </c>
      <c r="Q269" s="39">
        <f t="shared" si="45"/>
        <v>17893.98</v>
      </c>
      <c r="R269" s="57"/>
      <c r="T269" s="42">
        <f t="shared" si="46"/>
        <v>-12</v>
      </c>
      <c r="U269" s="42">
        <f t="shared" si="47"/>
        <v>-4</v>
      </c>
      <c r="V269" s="42">
        <f t="shared" si="48"/>
        <v>16</v>
      </c>
    </row>
    <row r="270" spans="1:22" s="28" customFormat="1" ht="73.5" customHeight="1" x14ac:dyDescent="0.2">
      <c r="A270" s="30">
        <v>259</v>
      </c>
      <c r="B270" s="31" t="s">
        <v>378</v>
      </c>
      <c r="C270" s="32" t="s">
        <v>323</v>
      </c>
      <c r="D270" s="33">
        <v>8.0000000000000002E-3</v>
      </c>
      <c r="E270" s="35">
        <v>411502.5</v>
      </c>
      <c r="F270" s="38" t="s">
        <v>68</v>
      </c>
      <c r="G270" s="37">
        <f>498040.45/1.2</f>
        <v>415033.70833333337</v>
      </c>
      <c r="H270" s="38">
        <f t="shared" si="40"/>
        <v>3320.269666666667</v>
      </c>
      <c r="I270" s="32" t="s">
        <v>67</v>
      </c>
      <c r="J270" s="37">
        <f>503.49/1.2*1000</f>
        <v>419575.00000000006</v>
      </c>
      <c r="K270" s="38">
        <f t="shared" si="41"/>
        <v>3356.6000000000004</v>
      </c>
      <c r="L270" s="32" t="s">
        <v>272</v>
      </c>
      <c r="M270" s="37">
        <v>412432.5</v>
      </c>
      <c r="N270" s="38">
        <f t="shared" si="42"/>
        <v>3299.46</v>
      </c>
      <c r="O270" s="39">
        <f t="shared" si="43"/>
        <v>415680.40277777781</v>
      </c>
      <c r="P270" s="40">
        <f t="shared" si="44"/>
        <v>-1.0050757143851428</v>
      </c>
      <c r="Q270" s="39">
        <f t="shared" si="45"/>
        <v>3292.02</v>
      </c>
      <c r="R270" s="41"/>
      <c r="T270" s="42">
        <f t="shared" si="46"/>
        <v>0</v>
      </c>
      <c r="U270" s="42">
        <f t="shared" si="47"/>
        <v>1</v>
      </c>
      <c r="V270" s="42">
        <f t="shared" si="48"/>
        <v>-1</v>
      </c>
    </row>
    <row r="271" spans="1:22" s="28" customFormat="1" ht="73.5" customHeight="1" x14ac:dyDescent="0.2">
      <c r="A271" s="30">
        <v>260</v>
      </c>
      <c r="B271" s="31" t="s">
        <v>379</v>
      </c>
      <c r="C271" s="32" t="s">
        <v>25</v>
      </c>
      <c r="D271" s="33">
        <v>20</v>
      </c>
      <c r="E271" s="35">
        <v>28.03</v>
      </c>
      <c r="F271" s="32" t="s">
        <v>27</v>
      </c>
      <c r="G271" s="37">
        <f>30.27/1.2</f>
        <v>25.225000000000001</v>
      </c>
      <c r="H271" s="38">
        <f t="shared" si="40"/>
        <v>504.5</v>
      </c>
      <c r="I271" s="38" t="s">
        <v>28</v>
      </c>
      <c r="J271" s="37">
        <v>29.45</v>
      </c>
      <c r="K271" s="38">
        <f t="shared" si="41"/>
        <v>589</v>
      </c>
      <c r="L271" s="33" t="s">
        <v>29</v>
      </c>
      <c r="M271" s="37">
        <v>31.7</v>
      </c>
      <c r="N271" s="38">
        <f t="shared" si="42"/>
        <v>634</v>
      </c>
      <c r="O271" s="39">
        <f t="shared" si="43"/>
        <v>28.791666666666668</v>
      </c>
      <c r="P271" s="40">
        <f t="shared" si="44"/>
        <v>-2.6454413892908804</v>
      </c>
      <c r="Q271" s="39">
        <f t="shared" si="45"/>
        <v>560.6</v>
      </c>
      <c r="R271" s="41"/>
      <c r="T271" s="42">
        <f t="shared" si="46"/>
        <v>-12</v>
      </c>
      <c r="U271" s="42">
        <f t="shared" si="47"/>
        <v>2</v>
      </c>
      <c r="V271" s="42">
        <f t="shared" si="48"/>
        <v>10</v>
      </c>
    </row>
    <row r="272" spans="1:22" s="28" customFormat="1" ht="73.5" customHeight="1" x14ac:dyDescent="0.2">
      <c r="A272" s="30">
        <v>261</v>
      </c>
      <c r="B272" s="31" t="s">
        <v>380</v>
      </c>
      <c r="C272" s="32" t="s">
        <v>381</v>
      </c>
      <c r="D272" s="33">
        <v>2</v>
      </c>
      <c r="E272" s="35">
        <v>41590.199999999997</v>
      </c>
      <c r="F272" s="32" t="s">
        <v>90</v>
      </c>
      <c r="G272" s="37">
        <f>51705.01/1.2</f>
        <v>43087.508333333339</v>
      </c>
      <c r="H272" s="38">
        <f t="shared" si="40"/>
        <v>86175.016666666677</v>
      </c>
      <c r="I272" s="32" t="s">
        <v>46</v>
      </c>
      <c r="J272" s="37">
        <v>41393.25</v>
      </c>
      <c r="K272" s="38">
        <f t="shared" si="41"/>
        <v>82786.5</v>
      </c>
      <c r="L272" s="32" t="s">
        <v>58</v>
      </c>
      <c r="M272" s="37">
        <v>40981.06</v>
      </c>
      <c r="N272" s="38">
        <f t="shared" si="42"/>
        <v>81962.12</v>
      </c>
      <c r="O272" s="39">
        <f t="shared" si="43"/>
        <v>41820.606111111112</v>
      </c>
      <c r="P272" s="40">
        <f t="shared" si="44"/>
        <v>-0.55093919609620912</v>
      </c>
      <c r="Q272" s="39">
        <f t="shared" si="45"/>
        <v>83180.399999999994</v>
      </c>
      <c r="R272" s="41"/>
      <c r="T272" s="42">
        <f t="shared" si="46"/>
        <v>3</v>
      </c>
      <c r="U272" s="42">
        <f t="shared" si="47"/>
        <v>-1</v>
      </c>
      <c r="V272" s="42">
        <f t="shared" si="48"/>
        <v>-2</v>
      </c>
    </row>
    <row r="273" spans="1:22" s="28" customFormat="1" ht="73.5" customHeight="1" x14ac:dyDescent="0.2">
      <c r="A273" s="30">
        <v>262</v>
      </c>
      <c r="B273" s="31" t="s">
        <v>382</v>
      </c>
      <c r="C273" s="32" t="s">
        <v>383</v>
      </c>
      <c r="D273" s="33">
        <v>20</v>
      </c>
      <c r="E273" s="35">
        <v>1778.52</v>
      </c>
      <c r="F273" s="32" t="s">
        <v>27</v>
      </c>
      <c r="G273" s="37">
        <f>2098.33/1.2</f>
        <v>1748.6083333333333</v>
      </c>
      <c r="H273" s="38">
        <f t="shared" si="40"/>
        <v>34972.166666666664</v>
      </c>
      <c r="I273" s="38" t="s">
        <v>28</v>
      </c>
      <c r="J273" s="37">
        <v>1845.6</v>
      </c>
      <c r="K273" s="38">
        <f t="shared" si="41"/>
        <v>36912</v>
      </c>
      <c r="L273" s="33" t="s">
        <v>29</v>
      </c>
      <c r="M273" s="37">
        <v>1795.33</v>
      </c>
      <c r="N273" s="38">
        <f t="shared" si="42"/>
        <v>35906.6</v>
      </c>
      <c r="O273" s="39">
        <f t="shared" si="43"/>
        <v>1796.5127777777777</v>
      </c>
      <c r="P273" s="40">
        <f t="shared" si="44"/>
        <v>-1.0015390928660253</v>
      </c>
      <c r="Q273" s="39">
        <f t="shared" si="45"/>
        <v>35570.400000000001</v>
      </c>
      <c r="R273" s="47" t="s">
        <v>116</v>
      </c>
      <c r="T273" s="42">
        <f t="shared" si="46"/>
        <v>-3</v>
      </c>
      <c r="U273" s="42">
        <f t="shared" si="47"/>
        <v>3</v>
      </c>
      <c r="V273" s="42">
        <f t="shared" si="48"/>
        <v>0</v>
      </c>
    </row>
    <row r="274" spans="1:22" s="28" customFormat="1" ht="73.5" customHeight="1" x14ac:dyDescent="0.2">
      <c r="A274" s="30">
        <v>263</v>
      </c>
      <c r="B274" s="31" t="s">
        <v>384</v>
      </c>
      <c r="C274" s="32" t="s">
        <v>323</v>
      </c>
      <c r="D274" s="33">
        <v>18</v>
      </c>
      <c r="E274" s="35">
        <v>181054.64</v>
      </c>
      <c r="F274" s="38" t="s">
        <v>90</v>
      </c>
      <c r="G274" s="37">
        <v>185520</v>
      </c>
      <c r="H274" s="38">
        <f t="shared" si="40"/>
        <v>3339360</v>
      </c>
      <c r="I274" s="32" t="s">
        <v>385</v>
      </c>
      <c r="J274" s="37">
        <v>179571</v>
      </c>
      <c r="K274" s="38">
        <f t="shared" si="41"/>
        <v>3232278</v>
      </c>
      <c r="L274" s="32" t="s">
        <v>386</v>
      </c>
      <c r="M274" s="37">
        <v>179000</v>
      </c>
      <c r="N274" s="38">
        <f t="shared" si="42"/>
        <v>3222000</v>
      </c>
      <c r="O274" s="39">
        <f t="shared" si="43"/>
        <v>181363.66666666666</v>
      </c>
      <c r="P274" s="40">
        <f t="shared" si="44"/>
        <v>-0.17039061480524254</v>
      </c>
      <c r="Q274" s="39">
        <f t="shared" si="45"/>
        <v>3258983.5200000005</v>
      </c>
      <c r="R274" s="41"/>
      <c r="T274" s="42">
        <f t="shared" si="46"/>
        <v>2</v>
      </c>
      <c r="U274" s="42">
        <f t="shared" si="47"/>
        <v>-1</v>
      </c>
      <c r="V274" s="42">
        <f t="shared" si="48"/>
        <v>-1</v>
      </c>
    </row>
    <row r="275" spans="1:22" s="28" customFormat="1" ht="73.5" customHeight="1" x14ac:dyDescent="0.2">
      <c r="A275" s="30">
        <v>264</v>
      </c>
      <c r="B275" s="31" t="s">
        <v>387</v>
      </c>
      <c r="C275" s="32" t="s">
        <v>25</v>
      </c>
      <c r="D275" s="33">
        <v>48</v>
      </c>
      <c r="E275" s="35">
        <v>902.6</v>
      </c>
      <c r="F275" s="32" t="s">
        <v>56</v>
      </c>
      <c r="G275" s="37">
        <v>921.12</v>
      </c>
      <c r="H275" s="38">
        <f t="shared" si="40"/>
        <v>44213.760000000002</v>
      </c>
      <c r="I275" s="32" t="s">
        <v>57</v>
      </c>
      <c r="J275" s="37">
        <v>899.34</v>
      </c>
      <c r="K275" s="38">
        <f t="shared" si="41"/>
        <v>43168.32</v>
      </c>
      <c r="L275" s="38" t="s">
        <v>68</v>
      </c>
      <c r="M275" s="37">
        <v>925.7</v>
      </c>
      <c r="N275" s="38">
        <f t="shared" si="42"/>
        <v>44433.600000000006</v>
      </c>
      <c r="O275" s="39">
        <f t="shared" si="43"/>
        <v>915.38666666666666</v>
      </c>
      <c r="P275" s="40">
        <f t="shared" si="44"/>
        <v>-1.3968596148804124</v>
      </c>
      <c r="Q275" s="39">
        <f t="shared" si="45"/>
        <v>43324.800000000003</v>
      </c>
      <c r="R275" s="41"/>
      <c r="T275" s="42">
        <f t="shared" si="46"/>
        <v>1</v>
      </c>
      <c r="U275" s="42">
        <f t="shared" si="47"/>
        <v>-2</v>
      </c>
      <c r="V275" s="42">
        <f t="shared" si="48"/>
        <v>1</v>
      </c>
    </row>
    <row r="276" spans="1:22" s="28" customFormat="1" ht="73.5" customHeight="1" x14ac:dyDescent="0.2">
      <c r="A276" s="30">
        <v>265</v>
      </c>
      <c r="B276" s="31" t="s">
        <v>388</v>
      </c>
      <c r="C276" s="32" t="s">
        <v>25</v>
      </c>
      <c r="D276" s="33">
        <v>40</v>
      </c>
      <c r="E276" s="35">
        <v>835.7</v>
      </c>
      <c r="F276" s="32" t="s">
        <v>56</v>
      </c>
      <c r="G276" s="37">
        <v>811.5</v>
      </c>
      <c r="H276" s="38">
        <f t="shared" si="40"/>
        <v>32460</v>
      </c>
      <c r="I276" s="32" t="s">
        <v>57</v>
      </c>
      <c r="J276" s="37">
        <v>889.61</v>
      </c>
      <c r="K276" s="38">
        <f t="shared" si="41"/>
        <v>35584.400000000001</v>
      </c>
      <c r="L276" s="38" t="s">
        <v>68</v>
      </c>
      <c r="M276" s="37">
        <v>825.3</v>
      </c>
      <c r="N276" s="38">
        <f t="shared" si="42"/>
        <v>33012</v>
      </c>
      <c r="O276" s="39">
        <f t="shared" si="43"/>
        <v>842.13666666666666</v>
      </c>
      <c r="P276" s="40">
        <f t="shared" si="44"/>
        <v>-0.76432566368879407</v>
      </c>
      <c r="Q276" s="39">
        <f t="shared" si="45"/>
        <v>33428</v>
      </c>
      <c r="R276" s="41"/>
      <c r="T276" s="42">
        <f t="shared" si="46"/>
        <v>-4</v>
      </c>
      <c r="U276" s="42">
        <f t="shared" si="47"/>
        <v>6</v>
      </c>
      <c r="V276" s="42">
        <f t="shared" si="48"/>
        <v>-2</v>
      </c>
    </row>
    <row r="277" spans="1:22" s="28" customFormat="1" ht="73.5" customHeight="1" x14ac:dyDescent="0.2">
      <c r="A277" s="30">
        <v>266</v>
      </c>
      <c r="B277" s="31" t="s">
        <v>389</v>
      </c>
      <c r="C277" s="32" t="s">
        <v>390</v>
      </c>
      <c r="D277" s="33">
        <v>21</v>
      </c>
      <c r="E277" s="35">
        <v>856.33</v>
      </c>
      <c r="F277" s="32" t="s">
        <v>27</v>
      </c>
      <c r="G277" s="37">
        <f>988.3/1.2</f>
        <v>823.58333333333337</v>
      </c>
      <c r="H277" s="38">
        <f t="shared" si="40"/>
        <v>17295.25</v>
      </c>
      <c r="I277" s="38" t="s">
        <v>28</v>
      </c>
      <c r="J277" s="37">
        <v>897.61</v>
      </c>
      <c r="K277" s="38">
        <f t="shared" si="41"/>
        <v>18849.810000000001</v>
      </c>
      <c r="L277" s="33" t="s">
        <v>29</v>
      </c>
      <c r="M277" s="37">
        <v>854.77</v>
      </c>
      <c r="N277" s="38">
        <f t="shared" si="42"/>
        <v>17950.169999999998</v>
      </c>
      <c r="O277" s="39">
        <f t="shared" si="43"/>
        <v>858.65444444444438</v>
      </c>
      <c r="P277" s="40">
        <f t="shared" si="44"/>
        <v>-0.27070778698971765</v>
      </c>
      <c r="Q277" s="39">
        <f t="shared" si="45"/>
        <v>17982.93</v>
      </c>
      <c r="R277" s="41"/>
      <c r="T277" s="42">
        <f t="shared" si="46"/>
        <v>-4</v>
      </c>
      <c r="U277" s="42">
        <f t="shared" si="47"/>
        <v>5</v>
      </c>
      <c r="V277" s="42">
        <f t="shared" si="48"/>
        <v>0</v>
      </c>
    </row>
    <row r="278" spans="1:22" s="28" customFormat="1" ht="73.5" customHeight="1" x14ac:dyDescent="0.2">
      <c r="A278" s="30">
        <v>267</v>
      </c>
      <c r="B278" s="31" t="s">
        <v>391</v>
      </c>
      <c r="C278" s="32" t="s">
        <v>392</v>
      </c>
      <c r="D278" s="33">
        <v>80</v>
      </c>
      <c r="E278" s="35">
        <v>891.4</v>
      </c>
      <c r="F278" s="32" t="s">
        <v>27</v>
      </c>
      <c r="G278" s="37">
        <f>993.74/1.2</f>
        <v>828.11666666666667</v>
      </c>
      <c r="H278" s="38">
        <f t="shared" si="40"/>
        <v>66249.333333333328</v>
      </c>
      <c r="I278" s="38" t="s">
        <v>28</v>
      </c>
      <c r="J278" s="37">
        <v>910.49</v>
      </c>
      <c r="K278" s="38">
        <f t="shared" si="41"/>
        <v>72839.199999999997</v>
      </c>
      <c r="L278" s="33" t="s">
        <v>29</v>
      </c>
      <c r="M278" s="37">
        <v>941.56</v>
      </c>
      <c r="N278" s="38">
        <f t="shared" si="42"/>
        <v>75324.799999999988</v>
      </c>
      <c r="O278" s="39">
        <f t="shared" si="43"/>
        <v>893.3888888888888</v>
      </c>
      <c r="P278" s="40">
        <f t="shared" si="44"/>
        <v>-0.22262297120825281</v>
      </c>
      <c r="Q278" s="39">
        <f t="shared" si="45"/>
        <v>71312</v>
      </c>
      <c r="R278" s="41"/>
      <c r="T278" s="42">
        <f t="shared" si="46"/>
        <v>-7</v>
      </c>
      <c r="U278" s="42">
        <f t="shared" si="47"/>
        <v>2</v>
      </c>
      <c r="V278" s="42">
        <f t="shared" si="48"/>
        <v>5</v>
      </c>
    </row>
    <row r="279" spans="1:22" s="28" customFormat="1" ht="73.5" customHeight="1" x14ac:dyDescent="0.2">
      <c r="A279" s="30">
        <v>268</v>
      </c>
      <c r="B279" s="31" t="s">
        <v>393</v>
      </c>
      <c r="C279" s="32" t="s">
        <v>25</v>
      </c>
      <c r="D279" s="33">
        <v>44</v>
      </c>
      <c r="E279" s="62">
        <v>85001.4</v>
      </c>
      <c r="F279" s="32" t="s">
        <v>56</v>
      </c>
      <c r="G279" s="37">
        <v>85400.4</v>
      </c>
      <c r="H279" s="38">
        <f t="shared" si="40"/>
        <v>3757617.5999999996</v>
      </c>
      <c r="I279" s="32" t="s">
        <v>57</v>
      </c>
      <c r="J279" s="37">
        <v>83700.61</v>
      </c>
      <c r="K279" s="38">
        <f t="shared" si="41"/>
        <v>3682826.84</v>
      </c>
      <c r="L279" s="32" t="s">
        <v>119</v>
      </c>
      <c r="M279" s="37">
        <v>87712.52</v>
      </c>
      <c r="N279" s="38">
        <f t="shared" si="42"/>
        <v>3859350.8800000004</v>
      </c>
      <c r="O279" s="39">
        <f t="shared" si="43"/>
        <v>85604.510000000009</v>
      </c>
      <c r="P279" s="40">
        <f t="shared" si="44"/>
        <v>-0.70453063746292344</v>
      </c>
      <c r="Q279" s="39">
        <f t="shared" si="45"/>
        <v>3740061.5999999996</v>
      </c>
      <c r="R279" s="64" t="s">
        <v>488</v>
      </c>
      <c r="T279" s="42">
        <f t="shared" si="46"/>
        <v>0</v>
      </c>
      <c r="U279" s="42">
        <f t="shared" si="47"/>
        <v>-2</v>
      </c>
      <c r="V279" s="42">
        <f t="shared" si="48"/>
        <v>2</v>
      </c>
    </row>
    <row r="280" spans="1:22" s="28" customFormat="1" ht="282" customHeight="1" x14ac:dyDescent="0.2">
      <c r="A280" s="30">
        <v>269</v>
      </c>
      <c r="B280" s="74" t="s">
        <v>394</v>
      </c>
      <c r="C280" s="32" t="s">
        <v>65</v>
      </c>
      <c r="D280" s="33">
        <v>9</v>
      </c>
      <c r="E280" s="35">
        <v>13200.5</v>
      </c>
      <c r="F280" s="32" t="s">
        <v>27</v>
      </c>
      <c r="G280" s="37">
        <f>14543.24/1.2</f>
        <v>12119.366666666667</v>
      </c>
      <c r="H280" s="38">
        <f t="shared" si="40"/>
        <v>109074.3</v>
      </c>
      <c r="I280" s="38" t="s">
        <v>28</v>
      </c>
      <c r="J280" s="37">
        <v>13540.62</v>
      </c>
      <c r="K280" s="38">
        <f t="shared" si="41"/>
        <v>121865.58</v>
      </c>
      <c r="L280" s="33" t="s">
        <v>29</v>
      </c>
      <c r="M280" s="37">
        <v>13974.2</v>
      </c>
      <c r="N280" s="38">
        <f t="shared" si="42"/>
        <v>125767.8</v>
      </c>
      <c r="O280" s="39">
        <f t="shared" si="43"/>
        <v>13211.395555555557</v>
      </c>
      <c r="P280" s="40">
        <f t="shared" si="44"/>
        <v>-8.2470890450139223E-2</v>
      </c>
      <c r="Q280" s="39">
        <f t="shared" si="45"/>
        <v>118804.5</v>
      </c>
      <c r="R280" s="41"/>
      <c r="T280" s="42">
        <f t="shared" si="46"/>
        <v>-8</v>
      </c>
      <c r="U280" s="42">
        <f t="shared" si="47"/>
        <v>2</v>
      </c>
      <c r="V280" s="42">
        <f t="shared" si="48"/>
        <v>6</v>
      </c>
    </row>
    <row r="281" spans="1:22" s="28" customFormat="1" ht="287.25" customHeight="1" x14ac:dyDescent="0.2">
      <c r="A281" s="30">
        <v>270</v>
      </c>
      <c r="B281" s="74" t="s">
        <v>395</v>
      </c>
      <c r="C281" s="32" t="s">
        <v>65</v>
      </c>
      <c r="D281" s="33">
        <v>6</v>
      </c>
      <c r="E281" s="35">
        <v>13054.66</v>
      </c>
      <c r="F281" s="32" t="s">
        <v>27</v>
      </c>
      <c r="G281" s="37">
        <f>15425.82/1.2</f>
        <v>12854.85</v>
      </c>
      <c r="H281" s="38">
        <f t="shared" si="40"/>
        <v>77129.100000000006</v>
      </c>
      <c r="I281" s="38" t="s">
        <v>28</v>
      </c>
      <c r="J281" s="37">
        <v>13002.74</v>
      </c>
      <c r="K281" s="38">
        <f t="shared" si="41"/>
        <v>78016.44</v>
      </c>
      <c r="L281" s="33" t="s">
        <v>29</v>
      </c>
      <c r="M281" s="37">
        <v>13566.4</v>
      </c>
      <c r="N281" s="38">
        <f t="shared" si="42"/>
        <v>81398.399999999994</v>
      </c>
      <c r="O281" s="39">
        <f t="shared" si="43"/>
        <v>13141.33</v>
      </c>
      <c r="P281" s="40">
        <f t="shared" si="44"/>
        <v>-0.65952228579602945</v>
      </c>
      <c r="Q281" s="39">
        <f t="shared" si="45"/>
        <v>78327.959999999992</v>
      </c>
      <c r="R281" s="41"/>
      <c r="T281" s="42">
        <f t="shared" si="46"/>
        <v>-2</v>
      </c>
      <c r="U281" s="42">
        <f t="shared" si="47"/>
        <v>-1</v>
      </c>
      <c r="V281" s="42">
        <f t="shared" si="48"/>
        <v>3</v>
      </c>
    </row>
    <row r="282" spans="1:22" s="28" customFormat="1" ht="73.5" customHeight="1" x14ac:dyDescent="0.2">
      <c r="A282" s="30">
        <v>271</v>
      </c>
      <c r="B282" s="31" t="s">
        <v>396</v>
      </c>
      <c r="C282" s="32" t="s">
        <v>25</v>
      </c>
      <c r="D282" s="33">
        <v>1</v>
      </c>
      <c r="E282" s="35">
        <v>16735.5</v>
      </c>
      <c r="F282" s="32" t="s">
        <v>27</v>
      </c>
      <c r="G282" s="37">
        <f>20044.48/1.2</f>
        <v>16703.733333333334</v>
      </c>
      <c r="H282" s="38">
        <f t="shared" si="40"/>
        <v>16703.733333333334</v>
      </c>
      <c r="I282" s="38" t="s">
        <v>28</v>
      </c>
      <c r="J282" s="37">
        <v>16540.53</v>
      </c>
      <c r="K282" s="38">
        <f t="shared" si="41"/>
        <v>16540.53</v>
      </c>
      <c r="L282" s="33" t="s">
        <v>29</v>
      </c>
      <c r="M282" s="37">
        <v>17010</v>
      </c>
      <c r="N282" s="38">
        <f t="shared" si="42"/>
        <v>17010</v>
      </c>
      <c r="O282" s="39">
        <f t="shared" si="43"/>
        <v>16751.421111111111</v>
      </c>
      <c r="P282" s="40">
        <f t="shared" si="44"/>
        <v>-9.5043345907825483E-2</v>
      </c>
      <c r="Q282" s="39">
        <f t="shared" si="45"/>
        <v>16735.5</v>
      </c>
      <c r="R282" s="57"/>
      <c r="T282" s="42">
        <f t="shared" si="46"/>
        <v>0</v>
      </c>
      <c r="U282" s="42">
        <f t="shared" si="47"/>
        <v>-1</v>
      </c>
      <c r="V282" s="42">
        <f t="shared" si="48"/>
        <v>2</v>
      </c>
    </row>
    <row r="283" spans="1:22" s="28" customFormat="1" ht="73.5" customHeight="1" x14ac:dyDescent="0.2">
      <c r="A283" s="30">
        <v>272</v>
      </c>
      <c r="B283" s="31" t="s">
        <v>397</v>
      </c>
      <c r="C283" s="32" t="s">
        <v>25</v>
      </c>
      <c r="D283" s="33">
        <v>1</v>
      </c>
      <c r="E283" s="35">
        <v>2330.77</v>
      </c>
      <c r="F283" s="32" t="s">
        <v>27</v>
      </c>
      <c r="G283" s="37">
        <f>2628.72/1.2</f>
        <v>2190.6</v>
      </c>
      <c r="H283" s="38">
        <f t="shared" si="40"/>
        <v>2190.6</v>
      </c>
      <c r="I283" s="38" t="s">
        <v>28</v>
      </c>
      <c r="J283" s="37">
        <v>2345.6799999999998</v>
      </c>
      <c r="K283" s="38">
        <f t="shared" si="41"/>
        <v>2345.6799999999998</v>
      </c>
      <c r="L283" s="33" t="s">
        <v>29</v>
      </c>
      <c r="M283" s="37">
        <v>2487.1999999999998</v>
      </c>
      <c r="N283" s="38">
        <f t="shared" si="42"/>
        <v>2487.1999999999998</v>
      </c>
      <c r="O283" s="39">
        <f t="shared" si="43"/>
        <v>2341.16</v>
      </c>
      <c r="P283" s="40">
        <f t="shared" si="44"/>
        <v>-0.44379709203984419</v>
      </c>
      <c r="Q283" s="39">
        <f t="shared" si="45"/>
        <v>2330.77</v>
      </c>
      <c r="R283" s="41"/>
      <c r="T283" s="42">
        <f t="shared" si="46"/>
        <v>-6</v>
      </c>
      <c r="U283" s="42">
        <f t="shared" si="47"/>
        <v>0</v>
      </c>
      <c r="V283" s="42">
        <f t="shared" si="48"/>
        <v>6</v>
      </c>
    </row>
    <row r="284" spans="1:22" s="28" customFormat="1" ht="73.5" customHeight="1" x14ac:dyDescent="0.2">
      <c r="A284" s="30">
        <v>273</v>
      </c>
      <c r="B284" s="31" t="s">
        <v>398</v>
      </c>
      <c r="C284" s="32" t="s">
        <v>25</v>
      </c>
      <c r="D284" s="33">
        <v>2</v>
      </c>
      <c r="E284" s="35">
        <v>3600</v>
      </c>
      <c r="F284" s="32" t="s">
        <v>27</v>
      </c>
      <c r="G284" s="37">
        <f>3915.81/1.2</f>
        <v>3263.1750000000002</v>
      </c>
      <c r="H284" s="38">
        <f t="shared" si="40"/>
        <v>6526.35</v>
      </c>
      <c r="I284" s="38" t="s">
        <v>28</v>
      </c>
      <c r="J284" s="37">
        <v>3604.32</v>
      </c>
      <c r="K284" s="38">
        <f t="shared" si="41"/>
        <v>7208.64</v>
      </c>
      <c r="L284" s="33" t="s">
        <v>29</v>
      </c>
      <c r="M284" s="37">
        <v>3954.31</v>
      </c>
      <c r="N284" s="38">
        <f t="shared" si="42"/>
        <v>7908.62</v>
      </c>
      <c r="O284" s="39">
        <f t="shared" si="43"/>
        <v>3607.2683333333334</v>
      </c>
      <c r="P284" s="40">
        <f t="shared" si="44"/>
        <v>-0.20149134086227605</v>
      </c>
      <c r="Q284" s="39">
        <f t="shared" si="45"/>
        <v>7200</v>
      </c>
      <c r="R284" s="41"/>
      <c r="T284" s="42">
        <f t="shared" si="46"/>
        <v>-10</v>
      </c>
      <c r="U284" s="42">
        <f t="shared" si="47"/>
        <v>0</v>
      </c>
      <c r="V284" s="42">
        <f t="shared" si="48"/>
        <v>10</v>
      </c>
    </row>
    <row r="285" spans="1:22" s="28" customFormat="1" ht="73.5" customHeight="1" x14ac:dyDescent="0.2">
      <c r="A285" s="30">
        <v>274</v>
      </c>
      <c r="B285" s="31" t="s">
        <v>399</v>
      </c>
      <c r="C285" s="32" t="s">
        <v>25</v>
      </c>
      <c r="D285" s="33">
        <v>1</v>
      </c>
      <c r="E285" s="35">
        <v>6600.75</v>
      </c>
      <c r="F285" s="32" t="s">
        <v>27</v>
      </c>
      <c r="G285" s="37">
        <f>7630.45/1.2</f>
        <v>6358.708333333333</v>
      </c>
      <c r="H285" s="38">
        <f t="shared" si="40"/>
        <v>6358.708333333333</v>
      </c>
      <c r="I285" s="38" t="s">
        <v>28</v>
      </c>
      <c r="J285" s="37">
        <v>6468.15</v>
      </c>
      <c r="K285" s="38">
        <f t="shared" si="41"/>
        <v>6468.15</v>
      </c>
      <c r="L285" s="33" t="s">
        <v>29</v>
      </c>
      <c r="M285" s="37">
        <v>7020.16</v>
      </c>
      <c r="N285" s="38">
        <f t="shared" si="42"/>
        <v>7020.16</v>
      </c>
      <c r="O285" s="39">
        <f t="shared" si="43"/>
        <v>6615.6727777777778</v>
      </c>
      <c r="P285" s="40">
        <f t="shared" si="44"/>
        <v>-0.22556704781264614</v>
      </c>
      <c r="Q285" s="39">
        <f t="shared" si="45"/>
        <v>6600.75</v>
      </c>
      <c r="R285" s="41"/>
      <c r="T285" s="42">
        <f t="shared" si="46"/>
        <v>-4</v>
      </c>
      <c r="U285" s="42">
        <f t="shared" si="47"/>
        <v>-2</v>
      </c>
      <c r="V285" s="42">
        <f t="shared" si="48"/>
        <v>6</v>
      </c>
    </row>
    <row r="286" spans="1:22" s="28" customFormat="1" ht="73.5" customHeight="1" x14ac:dyDescent="0.2">
      <c r="A286" s="30">
        <v>275</v>
      </c>
      <c r="B286" s="31" t="s">
        <v>400</v>
      </c>
      <c r="C286" s="32" t="s">
        <v>25</v>
      </c>
      <c r="D286" s="33">
        <v>2</v>
      </c>
      <c r="E286" s="35">
        <v>27700.560000000001</v>
      </c>
      <c r="F286" s="32" t="s">
        <v>27</v>
      </c>
      <c r="G286" s="37">
        <f>32738.89/1.2</f>
        <v>27282.408333333333</v>
      </c>
      <c r="H286" s="38">
        <f t="shared" si="40"/>
        <v>54564.816666666666</v>
      </c>
      <c r="I286" s="38" t="s">
        <v>28</v>
      </c>
      <c r="J286" s="37">
        <v>28314.240000000002</v>
      </c>
      <c r="K286" s="38">
        <f t="shared" si="41"/>
        <v>56628.480000000003</v>
      </c>
      <c r="L286" s="33" t="s">
        <v>29</v>
      </c>
      <c r="M286" s="37">
        <v>27597.599999999999</v>
      </c>
      <c r="N286" s="38">
        <f t="shared" si="42"/>
        <v>55195.199999999997</v>
      </c>
      <c r="O286" s="39">
        <f t="shared" si="43"/>
        <v>27731.416111111106</v>
      </c>
      <c r="P286" s="40">
        <f t="shared" si="44"/>
        <v>-0.11126770803004149</v>
      </c>
      <c r="Q286" s="39">
        <f t="shared" si="45"/>
        <v>55401.120000000003</v>
      </c>
      <c r="R286" s="41"/>
      <c r="T286" s="42">
        <f t="shared" si="46"/>
        <v>-2</v>
      </c>
      <c r="U286" s="42">
        <f t="shared" si="47"/>
        <v>2</v>
      </c>
      <c r="V286" s="42">
        <f t="shared" si="48"/>
        <v>0</v>
      </c>
    </row>
    <row r="287" spans="1:22" s="28" customFormat="1" ht="73.5" customHeight="1" x14ac:dyDescent="0.2">
      <c r="A287" s="30">
        <v>276</v>
      </c>
      <c r="B287" s="31" t="s">
        <v>401</v>
      </c>
      <c r="C287" s="32" t="s">
        <v>25</v>
      </c>
      <c r="D287" s="33">
        <v>1</v>
      </c>
      <c r="E287" s="35">
        <v>46300.5</v>
      </c>
      <c r="F287" s="32" t="s">
        <v>27</v>
      </c>
      <c r="G287" s="37">
        <f>54979.55/1.2</f>
        <v>45816.291666666672</v>
      </c>
      <c r="H287" s="38">
        <f t="shared" si="40"/>
        <v>45816.291666666672</v>
      </c>
      <c r="I287" s="38" t="s">
        <v>28</v>
      </c>
      <c r="J287" s="37">
        <v>46315.48</v>
      </c>
      <c r="K287" s="38">
        <f t="shared" si="41"/>
        <v>46315.48</v>
      </c>
      <c r="L287" s="33" t="s">
        <v>29</v>
      </c>
      <c r="M287" s="37">
        <v>46780.3</v>
      </c>
      <c r="N287" s="38">
        <f t="shared" si="42"/>
        <v>46780.3</v>
      </c>
      <c r="O287" s="39">
        <f t="shared" si="43"/>
        <v>46304.023888888885</v>
      </c>
      <c r="P287" s="40">
        <f t="shared" si="44"/>
        <v>-7.6103297141969506E-3</v>
      </c>
      <c r="Q287" s="39">
        <f t="shared" si="45"/>
        <v>46300.5</v>
      </c>
      <c r="R287" s="41"/>
      <c r="T287" s="42">
        <f t="shared" si="46"/>
        <v>-1</v>
      </c>
      <c r="U287" s="42">
        <f t="shared" si="47"/>
        <v>0</v>
      </c>
      <c r="V287" s="42">
        <f t="shared" si="48"/>
        <v>1</v>
      </c>
    </row>
    <row r="288" spans="1:22" s="28" customFormat="1" ht="73.5" customHeight="1" x14ac:dyDescent="0.2">
      <c r="A288" s="30">
        <v>277</v>
      </c>
      <c r="B288" s="31" t="s">
        <v>402</v>
      </c>
      <c r="C288" s="32" t="s">
        <v>147</v>
      </c>
      <c r="D288" s="33">
        <v>2</v>
      </c>
      <c r="E288" s="35">
        <v>42.3</v>
      </c>
      <c r="F288" s="32" t="s">
        <v>27</v>
      </c>
      <c r="G288" s="37">
        <f>50.03/1.2</f>
        <v>41.69166666666667</v>
      </c>
      <c r="H288" s="38">
        <f t="shared" si="40"/>
        <v>83.38333333333334</v>
      </c>
      <c r="I288" s="38" t="s">
        <v>28</v>
      </c>
      <c r="J288" s="37">
        <v>42.01</v>
      </c>
      <c r="K288" s="38">
        <f t="shared" si="41"/>
        <v>84.02</v>
      </c>
      <c r="L288" s="33" t="s">
        <v>29</v>
      </c>
      <c r="M288" s="37">
        <v>44.25</v>
      </c>
      <c r="N288" s="38">
        <f t="shared" si="42"/>
        <v>88.5</v>
      </c>
      <c r="O288" s="39">
        <f t="shared" si="43"/>
        <v>42.650555555555556</v>
      </c>
      <c r="P288" s="40">
        <f t="shared" si="44"/>
        <v>-0.82192494561748219</v>
      </c>
      <c r="Q288" s="39">
        <f t="shared" si="45"/>
        <v>84.6</v>
      </c>
      <c r="R288" s="47" t="s">
        <v>116</v>
      </c>
      <c r="T288" s="42">
        <f t="shared" si="46"/>
        <v>-2</v>
      </c>
      <c r="U288" s="42">
        <f t="shared" si="47"/>
        <v>-2</v>
      </c>
      <c r="V288" s="42">
        <f t="shared" si="48"/>
        <v>4</v>
      </c>
    </row>
    <row r="289" spans="1:22" s="28" customFormat="1" ht="73.5" customHeight="1" x14ac:dyDescent="0.2">
      <c r="A289" s="30">
        <v>278</v>
      </c>
      <c r="B289" s="31" t="s">
        <v>403</v>
      </c>
      <c r="C289" s="32" t="s">
        <v>147</v>
      </c>
      <c r="D289" s="33">
        <v>10</v>
      </c>
      <c r="E289" s="35">
        <v>21.55</v>
      </c>
      <c r="F289" s="32" t="s">
        <v>27</v>
      </c>
      <c r="G289" s="37">
        <f>23.86/1.2</f>
        <v>19.883333333333333</v>
      </c>
      <c r="H289" s="38">
        <f t="shared" si="40"/>
        <v>198.83333333333331</v>
      </c>
      <c r="I289" s="38" t="s">
        <v>28</v>
      </c>
      <c r="J289" s="37">
        <v>23.66</v>
      </c>
      <c r="K289" s="38">
        <f t="shared" si="41"/>
        <v>236.6</v>
      </c>
      <c r="L289" s="33" t="s">
        <v>29</v>
      </c>
      <c r="M289" s="37">
        <v>21.7</v>
      </c>
      <c r="N289" s="38">
        <f t="shared" si="42"/>
        <v>217</v>
      </c>
      <c r="O289" s="39">
        <f t="shared" si="43"/>
        <v>21.747777777777781</v>
      </c>
      <c r="P289" s="40">
        <f t="shared" si="44"/>
        <v>-0.90941603228939982</v>
      </c>
      <c r="Q289" s="39">
        <f t="shared" si="45"/>
        <v>215.5</v>
      </c>
      <c r="R289" s="47" t="s">
        <v>116</v>
      </c>
      <c r="T289" s="42">
        <f t="shared" si="46"/>
        <v>-9</v>
      </c>
      <c r="U289" s="42">
        <f t="shared" si="47"/>
        <v>9</v>
      </c>
      <c r="V289" s="42">
        <f t="shared" si="48"/>
        <v>0</v>
      </c>
    </row>
    <row r="290" spans="1:22" s="28" customFormat="1" ht="73.5" customHeight="1" x14ac:dyDescent="0.2">
      <c r="A290" s="30">
        <v>279</v>
      </c>
      <c r="B290" s="31" t="s">
        <v>404</v>
      </c>
      <c r="C290" s="32" t="s">
        <v>147</v>
      </c>
      <c r="D290" s="33">
        <v>2</v>
      </c>
      <c r="E290" s="35">
        <v>17.5</v>
      </c>
      <c r="F290" s="32" t="s">
        <v>27</v>
      </c>
      <c r="G290" s="37">
        <f>19.58/1.2</f>
        <v>16.316666666666666</v>
      </c>
      <c r="H290" s="38">
        <f t="shared" si="40"/>
        <v>32.633333333333333</v>
      </c>
      <c r="I290" s="38" t="s">
        <v>28</v>
      </c>
      <c r="J290" s="37">
        <v>17.739999999999998</v>
      </c>
      <c r="K290" s="38">
        <f t="shared" si="41"/>
        <v>35.479999999999997</v>
      </c>
      <c r="L290" s="33" t="s">
        <v>29</v>
      </c>
      <c r="M290" s="37">
        <v>19.7</v>
      </c>
      <c r="N290" s="38">
        <f t="shared" si="42"/>
        <v>39.4</v>
      </c>
      <c r="O290" s="39">
        <f t="shared" si="43"/>
        <v>17.918888888888887</v>
      </c>
      <c r="P290" s="40">
        <f t="shared" si="44"/>
        <v>-2.3376945495132304</v>
      </c>
      <c r="Q290" s="39">
        <f t="shared" si="45"/>
        <v>35</v>
      </c>
      <c r="R290" s="47" t="s">
        <v>116</v>
      </c>
      <c r="T290" s="42">
        <f t="shared" si="46"/>
        <v>-9</v>
      </c>
      <c r="U290" s="42">
        <f t="shared" si="47"/>
        <v>-1</v>
      </c>
      <c r="V290" s="42">
        <f t="shared" si="48"/>
        <v>10</v>
      </c>
    </row>
    <row r="291" spans="1:22" s="28" customFormat="1" ht="73.5" customHeight="1" x14ac:dyDescent="0.2">
      <c r="A291" s="30">
        <v>280</v>
      </c>
      <c r="B291" s="31" t="s">
        <v>405</v>
      </c>
      <c r="C291" s="32" t="s">
        <v>147</v>
      </c>
      <c r="D291" s="33">
        <v>10</v>
      </c>
      <c r="E291" s="35">
        <v>48.02</v>
      </c>
      <c r="F291" s="32" t="s">
        <v>27</v>
      </c>
      <c r="G291" s="37">
        <f>55.42/1.2</f>
        <v>46.183333333333337</v>
      </c>
      <c r="H291" s="38">
        <f t="shared" si="40"/>
        <v>461.83333333333337</v>
      </c>
      <c r="I291" s="38" t="s">
        <v>28</v>
      </c>
      <c r="J291" s="37">
        <v>51.47</v>
      </c>
      <c r="K291" s="38">
        <f t="shared" si="41"/>
        <v>514.70000000000005</v>
      </c>
      <c r="L291" s="33" t="s">
        <v>29</v>
      </c>
      <c r="M291" s="37">
        <v>48.63</v>
      </c>
      <c r="N291" s="38">
        <f t="shared" si="42"/>
        <v>486.3</v>
      </c>
      <c r="O291" s="39">
        <f t="shared" si="43"/>
        <v>48.761111111111113</v>
      </c>
      <c r="P291" s="40">
        <f t="shared" si="44"/>
        <v>-1.5198815084880977</v>
      </c>
      <c r="Q291" s="39">
        <f t="shared" si="45"/>
        <v>480.20000000000005</v>
      </c>
      <c r="R291" s="47" t="s">
        <v>116</v>
      </c>
      <c r="T291" s="42">
        <f t="shared" si="46"/>
        <v>-5</v>
      </c>
      <c r="U291" s="42">
        <f t="shared" si="47"/>
        <v>6</v>
      </c>
      <c r="V291" s="42">
        <f t="shared" si="48"/>
        <v>0</v>
      </c>
    </row>
    <row r="292" spans="1:22" s="28" customFormat="1" ht="73.5" customHeight="1" x14ac:dyDescent="0.2">
      <c r="A292" s="30">
        <v>281</v>
      </c>
      <c r="B292" s="31" t="s">
        <v>406</v>
      </c>
      <c r="C292" s="32" t="s">
        <v>25</v>
      </c>
      <c r="D292" s="33">
        <v>4</v>
      </c>
      <c r="E292" s="35">
        <v>869.7</v>
      </c>
      <c r="F292" s="32" t="s">
        <v>27</v>
      </c>
      <c r="G292" s="37">
        <f>998.09/1.2</f>
        <v>831.74166666666667</v>
      </c>
      <c r="H292" s="38">
        <f t="shared" ref="H292:H323" si="49">D292*G292</f>
        <v>3326.9666666666667</v>
      </c>
      <c r="I292" s="38" t="s">
        <v>28</v>
      </c>
      <c r="J292" s="37">
        <v>864.2</v>
      </c>
      <c r="K292" s="38">
        <f t="shared" si="41"/>
        <v>3456.8</v>
      </c>
      <c r="L292" s="33" t="s">
        <v>29</v>
      </c>
      <c r="M292" s="37">
        <v>921.4</v>
      </c>
      <c r="N292" s="38">
        <f t="shared" si="42"/>
        <v>3685.6</v>
      </c>
      <c r="O292" s="39">
        <f t="shared" si="43"/>
        <v>872.44722222222219</v>
      </c>
      <c r="P292" s="40">
        <f t="shared" si="44"/>
        <v>-0.31488692407371843</v>
      </c>
      <c r="Q292" s="39">
        <f t="shared" si="45"/>
        <v>3478.8</v>
      </c>
      <c r="R292" s="48"/>
      <c r="T292" s="42">
        <f t="shared" si="46"/>
        <v>-5</v>
      </c>
      <c r="U292" s="42">
        <f t="shared" si="47"/>
        <v>-1</v>
      </c>
      <c r="V292" s="42">
        <f t="shared" si="48"/>
        <v>6</v>
      </c>
    </row>
    <row r="293" spans="1:22" s="28" customFormat="1" ht="73.5" customHeight="1" x14ac:dyDescent="0.2">
      <c r="A293" s="30">
        <v>282</v>
      </c>
      <c r="B293" s="31" t="s">
        <v>407</v>
      </c>
      <c r="C293" s="32" t="s">
        <v>25</v>
      </c>
      <c r="D293" s="33">
        <v>100</v>
      </c>
      <c r="E293" s="35">
        <v>2075.4</v>
      </c>
      <c r="F293" s="32" t="s">
        <v>56</v>
      </c>
      <c r="G293" s="37">
        <v>2105.69</v>
      </c>
      <c r="H293" s="38">
        <f t="shared" si="49"/>
        <v>210569</v>
      </c>
      <c r="I293" s="32" t="s">
        <v>57</v>
      </c>
      <c r="J293" s="37">
        <v>1929.86</v>
      </c>
      <c r="K293" s="38">
        <f t="shared" si="41"/>
        <v>192986</v>
      </c>
      <c r="L293" s="32" t="s">
        <v>119</v>
      </c>
      <c r="M293" s="37">
        <v>2201.34</v>
      </c>
      <c r="N293" s="38">
        <f t="shared" si="42"/>
        <v>220134</v>
      </c>
      <c r="O293" s="39">
        <f t="shared" si="43"/>
        <v>2078.9633333333336</v>
      </c>
      <c r="P293" s="40">
        <f t="shared" si="44"/>
        <v>-0.17139952764921418</v>
      </c>
      <c r="Q293" s="39">
        <f t="shared" si="45"/>
        <v>207540</v>
      </c>
      <c r="R293" s="48"/>
      <c r="T293" s="42">
        <f t="shared" si="46"/>
        <v>1</v>
      </c>
      <c r="U293" s="42">
        <f t="shared" si="47"/>
        <v>-7</v>
      </c>
      <c r="V293" s="42">
        <f t="shared" si="48"/>
        <v>6</v>
      </c>
    </row>
    <row r="294" spans="1:22" s="28" customFormat="1" ht="73.5" customHeight="1" x14ac:dyDescent="0.2">
      <c r="A294" s="30">
        <v>283</v>
      </c>
      <c r="B294" s="31" t="s">
        <v>408</v>
      </c>
      <c r="C294" s="32" t="s">
        <v>25</v>
      </c>
      <c r="D294" s="33">
        <v>10</v>
      </c>
      <c r="E294" s="35">
        <v>1865.8</v>
      </c>
      <c r="F294" s="32" t="s">
        <v>27</v>
      </c>
      <c r="G294" s="37">
        <f>2139.16/1.2</f>
        <v>1782.6333333333332</v>
      </c>
      <c r="H294" s="38">
        <f t="shared" si="49"/>
        <v>17826.333333333332</v>
      </c>
      <c r="I294" s="38" t="s">
        <v>28</v>
      </c>
      <c r="J294" s="37">
        <v>1874.56</v>
      </c>
      <c r="K294" s="38">
        <f t="shared" si="41"/>
        <v>18745.599999999999</v>
      </c>
      <c r="L294" s="33" t="s">
        <v>29</v>
      </c>
      <c r="M294" s="37">
        <v>1947.3</v>
      </c>
      <c r="N294" s="38">
        <f t="shared" si="42"/>
        <v>19473</v>
      </c>
      <c r="O294" s="39">
        <f t="shared" si="43"/>
        <v>1868.1644444444444</v>
      </c>
      <c r="P294" s="40">
        <f t="shared" si="44"/>
        <v>-0.12656511323056918</v>
      </c>
      <c r="Q294" s="39">
        <f t="shared" si="45"/>
        <v>18658</v>
      </c>
      <c r="R294" s="48"/>
      <c r="T294" s="42">
        <f t="shared" si="46"/>
        <v>-5</v>
      </c>
      <c r="U294" s="42">
        <f t="shared" si="47"/>
        <v>0</v>
      </c>
      <c r="V294" s="42">
        <f t="shared" si="48"/>
        <v>4</v>
      </c>
    </row>
    <row r="295" spans="1:22" s="28" customFormat="1" ht="73.5" customHeight="1" x14ac:dyDescent="0.2">
      <c r="A295" s="30">
        <v>284</v>
      </c>
      <c r="B295" s="31" t="s">
        <v>409</v>
      </c>
      <c r="C295" s="32" t="s">
        <v>25</v>
      </c>
      <c r="D295" s="33">
        <v>2</v>
      </c>
      <c r="E295" s="35">
        <v>31990.5</v>
      </c>
      <c r="F295" s="32" t="s">
        <v>27</v>
      </c>
      <c r="G295" s="37">
        <f>37069.36/1.2</f>
        <v>30891.133333333335</v>
      </c>
      <c r="H295" s="38">
        <f t="shared" si="49"/>
        <v>61782.26666666667</v>
      </c>
      <c r="I295" s="38" t="s">
        <v>28</v>
      </c>
      <c r="J295" s="37">
        <v>32114.720000000001</v>
      </c>
      <c r="K295" s="38">
        <f t="shared" si="41"/>
        <v>64229.440000000002</v>
      </c>
      <c r="L295" s="33" t="s">
        <v>29</v>
      </c>
      <c r="M295" s="37">
        <v>32972.6</v>
      </c>
      <c r="N295" s="38">
        <f t="shared" si="42"/>
        <v>65945.2</v>
      </c>
      <c r="O295" s="39">
        <f t="shared" si="43"/>
        <v>31992.817777777778</v>
      </c>
      <c r="P295" s="40">
        <f t="shared" si="44"/>
        <v>-7.2446815840834233E-3</v>
      </c>
      <c r="Q295" s="39">
        <f t="shared" si="45"/>
        <v>63981</v>
      </c>
      <c r="R295" s="48"/>
      <c r="T295" s="42">
        <f t="shared" si="46"/>
        <v>-3</v>
      </c>
      <c r="U295" s="42">
        <f t="shared" si="47"/>
        <v>0</v>
      </c>
      <c r="V295" s="42">
        <f t="shared" si="48"/>
        <v>3</v>
      </c>
    </row>
    <row r="296" spans="1:22" s="28" customFormat="1" ht="73.5" customHeight="1" x14ac:dyDescent="0.2">
      <c r="A296" s="30">
        <v>285</v>
      </c>
      <c r="B296" s="31" t="s">
        <v>410</v>
      </c>
      <c r="C296" s="32" t="s">
        <v>25</v>
      </c>
      <c r="D296" s="33">
        <v>20</v>
      </c>
      <c r="E296" s="35">
        <v>110.4</v>
      </c>
      <c r="F296" s="32" t="s">
        <v>27</v>
      </c>
      <c r="G296" s="37">
        <f>130.26/1.2</f>
        <v>108.55</v>
      </c>
      <c r="H296" s="38">
        <f t="shared" si="49"/>
        <v>2171</v>
      </c>
      <c r="I296" s="38" t="s">
        <v>28</v>
      </c>
      <c r="J296" s="37">
        <v>110.5</v>
      </c>
      <c r="K296" s="38">
        <f t="shared" si="41"/>
        <v>2210</v>
      </c>
      <c r="L296" s="33" t="s">
        <v>29</v>
      </c>
      <c r="M296" s="37">
        <v>114.8</v>
      </c>
      <c r="N296" s="38">
        <f t="shared" si="42"/>
        <v>2296</v>
      </c>
      <c r="O296" s="39">
        <f t="shared" si="43"/>
        <v>111.28333333333335</v>
      </c>
      <c r="P296" s="40">
        <f t="shared" si="44"/>
        <v>-0.79376965703161773</v>
      </c>
      <c r="Q296" s="39">
        <f t="shared" si="45"/>
        <v>2208</v>
      </c>
      <c r="R296" s="47" t="s">
        <v>116</v>
      </c>
      <c r="T296" s="42">
        <f t="shared" si="46"/>
        <v>-2</v>
      </c>
      <c r="U296" s="42">
        <f t="shared" si="47"/>
        <v>-1</v>
      </c>
      <c r="V296" s="42">
        <f t="shared" si="48"/>
        <v>3</v>
      </c>
    </row>
    <row r="297" spans="1:22" s="28" customFormat="1" ht="73.5" customHeight="1" x14ac:dyDescent="0.2">
      <c r="A297" s="30">
        <v>286</v>
      </c>
      <c r="B297" s="31" t="s">
        <v>411</v>
      </c>
      <c r="C297" s="32" t="s">
        <v>25</v>
      </c>
      <c r="D297" s="33">
        <v>1</v>
      </c>
      <c r="E297" s="35">
        <v>2664.2</v>
      </c>
      <c r="F297" s="32" t="s">
        <v>27</v>
      </c>
      <c r="G297" s="37">
        <f>3124.54/1.2</f>
        <v>2603.7833333333333</v>
      </c>
      <c r="H297" s="38">
        <f t="shared" si="49"/>
        <v>2603.7833333333333</v>
      </c>
      <c r="I297" s="38" t="s">
        <v>28</v>
      </c>
      <c r="J297" s="37">
        <v>2754.12</v>
      </c>
      <c r="K297" s="38">
        <f t="shared" si="41"/>
        <v>2754.12</v>
      </c>
      <c r="L297" s="33" t="s">
        <v>29</v>
      </c>
      <c r="M297" s="37">
        <v>2697.35</v>
      </c>
      <c r="N297" s="38">
        <f t="shared" si="42"/>
        <v>2697.35</v>
      </c>
      <c r="O297" s="39">
        <f t="shared" si="43"/>
        <v>2685.0844444444447</v>
      </c>
      <c r="P297" s="40">
        <f t="shared" si="44"/>
        <v>-0.77779469795281386</v>
      </c>
      <c r="Q297" s="39">
        <f t="shared" si="45"/>
        <v>2664.2</v>
      </c>
      <c r="R297" s="48"/>
      <c r="T297" s="42">
        <f t="shared" si="46"/>
        <v>-3</v>
      </c>
      <c r="U297" s="42">
        <f t="shared" si="47"/>
        <v>3</v>
      </c>
      <c r="V297" s="42">
        <f t="shared" si="48"/>
        <v>0</v>
      </c>
    </row>
    <row r="298" spans="1:22" s="28" customFormat="1" ht="73.5" customHeight="1" x14ac:dyDescent="0.2">
      <c r="A298" s="30">
        <v>287</v>
      </c>
      <c r="B298" s="31" t="s">
        <v>412</v>
      </c>
      <c r="C298" s="32" t="s">
        <v>25</v>
      </c>
      <c r="D298" s="33">
        <v>1250</v>
      </c>
      <c r="E298" s="35">
        <v>1.37</v>
      </c>
      <c r="F298" s="32" t="s">
        <v>27</v>
      </c>
      <c r="G298" s="37">
        <f>1.55/1.2</f>
        <v>1.2916666666666667</v>
      </c>
      <c r="H298" s="38">
        <f t="shared" si="49"/>
        <v>1614.5833333333335</v>
      </c>
      <c r="I298" s="38" t="s">
        <v>28</v>
      </c>
      <c r="J298" s="37">
        <v>1.36</v>
      </c>
      <c r="K298" s="38">
        <f t="shared" si="41"/>
        <v>1700.0000000000002</v>
      </c>
      <c r="L298" s="33" t="s">
        <v>29</v>
      </c>
      <c r="M298" s="37">
        <v>1.51</v>
      </c>
      <c r="N298" s="38">
        <f t="shared" si="42"/>
        <v>1887.5</v>
      </c>
      <c r="O298" s="39">
        <f t="shared" si="43"/>
        <v>1.3872222222222224</v>
      </c>
      <c r="P298" s="40">
        <f t="shared" si="44"/>
        <v>-1.2414897877453086</v>
      </c>
      <c r="Q298" s="39">
        <f t="shared" si="45"/>
        <v>1712.5000000000002</v>
      </c>
      <c r="R298" s="48"/>
      <c r="T298" s="42">
        <f t="shared" si="46"/>
        <v>-7</v>
      </c>
      <c r="U298" s="42">
        <f t="shared" si="47"/>
        <v>-2</v>
      </c>
      <c r="V298" s="42">
        <f t="shared" si="48"/>
        <v>9</v>
      </c>
    </row>
    <row r="299" spans="1:22" s="28" customFormat="1" ht="73.5" customHeight="1" x14ac:dyDescent="0.2">
      <c r="A299" s="30">
        <v>288</v>
      </c>
      <c r="B299" s="31" t="s">
        <v>413</v>
      </c>
      <c r="C299" s="32" t="s">
        <v>25</v>
      </c>
      <c r="D299" s="33">
        <v>80</v>
      </c>
      <c r="E299" s="35">
        <v>1.18</v>
      </c>
      <c r="F299" s="32" t="s">
        <v>39</v>
      </c>
      <c r="G299" s="37">
        <v>1.1399999999999999</v>
      </c>
      <c r="H299" s="38">
        <f t="shared" si="49"/>
        <v>91.199999999999989</v>
      </c>
      <c r="I299" s="32" t="s">
        <v>54</v>
      </c>
      <c r="J299" s="37">
        <v>1.2</v>
      </c>
      <c r="K299" s="38">
        <f t="shared" si="41"/>
        <v>96</v>
      </c>
      <c r="L299" s="38" t="s">
        <v>41</v>
      </c>
      <c r="M299" s="37">
        <v>1.23</v>
      </c>
      <c r="N299" s="38">
        <f t="shared" si="42"/>
        <v>98.4</v>
      </c>
      <c r="O299" s="39">
        <f t="shared" si="43"/>
        <v>1.19</v>
      </c>
      <c r="P299" s="40">
        <f t="shared" si="44"/>
        <v>-0.84033613445377853</v>
      </c>
      <c r="Q299" s="39">
        <f t="shared" si="45"/>
        <v>94.399999999999991</v>
      </c>
      <c r="R299" s="41"/>
      <c r="T299" s="42">
        <f t="shared" si="46"/>
        <v>-4</v>
      </c>
      <c r="U299" s="42">
        <f t="shared" si="47"/>
        <v>1</v>
      </c>
      <c r="V299" s="42">
        <f t="shared" si="48"/>
        <v>3</v>
      </c>
    </row>
    <row r="300" spans="1:22" s="28" customFormat="1" ht="73.5" customHeight="1" x14ac:dyDescent="0.2">
      <c r="A300" s="30">
        <v>289</v>
      </c>
      <c r="B300" s="31" t="s">
        <v>414</v>
      </c>
      <c r="C300" s="32" t="s">
        <v>25</v>
      </c>
      <c r="D300" s="33">
        <v>40</v>
      </c>
      <c r="E300" s="35">
        <v>3.91</v>
      </c>
      <c r="F300" s="32" t="s">
        <v>39</v>
      </c>
      <c r="G300" s="37">
        <v>3.82</v>
      </c>
      <c r="H300" s="38">
        <f t="shared" si="49"/>
        <v>152.79999999999998</v>
      </c>
      <c r="I300" s="32" t="s">
        <v>54</v>
      </c>
      <c r="J300" s="37">
        <v>4.01</v>
      </c>
      <c r="K300" s="38">
        <f t="shared" si="41"/>
        <v>160.39999999999998</v>
      </c>
      <c r="L300" s="38" t="s">
        <v>41</v>
      </c>
      <c r="M300" s="37">
        <v>4.05</v>
      </c>
      <c r="N300" s="38">
        <f t="shared" si="42"/>
        <v>162</v>
      </c>
      <c r="O300" s="39">
        <f t="shared" si="43"/>
        <v>3.9599999999999995</v>
      </c>
      <c r="P300" s="40">
        <f t="shared" si="44"/>
        <v>-1.2626262626262559</v>
      </c>
      <c r="Q300" s="39">
        <f t="shared" si="45"/>
        <v>156.4</v>
      </c>
      <c r="R300" s="41"/>
      <c r="T300" s="42">
        <f t="shared" si="46"/>
        <v>-4</v>
      </c>
      <c r="U300" s="42">
        <f t="shared" si="47"/>
        <v>1</v>
      </c>
      <c r="V300" s="42">
        <f t="shared" si="48"/>
        <v>2</v>
      </c>
    </row>
    <row r="301" spans="1:22" s="28" customFormat="1" ht="73.5" customHeight="1" x14ac:dyDescent="0.2">
      <c r="A301" s="30">
        <v>290</v>
      </c>
      <c r="B301" s="31" t="s">
        <v>415</v>
      </c>
      <c r="C301" s="32" t="s">
        <v>25</v>
      </c>
      <c r="D301" s="33">
        <v>960</v>
      </c>
      <c r="E301" s="35">
        <v>2.4</v>
      </c>
      <c r="F301" s="32" t="s">
        <v>39</v>
      </c>
      <c r="G301" s="37">
        <v>2.36</v>
      </c>
      <c r="H301" s="38">
        <f t="shared" si="49"/>
        <v>2265.6</v>
      </c>
      <c r="I301" s="32" t="s">
        <v>54</v>
      </c>
      <c r="J301" s="37">
        <v>2.42</v>
      </c>
      <c r="K301" s="38">
        <f t="shared" si="41"/>
        <v>2323.1999999999998</v>
      </c>
      <c r="L301" s="38" t="s">
        <v>41</v>
      </c>
      <c r="M301" s="37">
        <v>2.4500000000000002</v>
      </c>
      <c r="N301" s="38">
        <f t="shared" si="42"/>
        <v>2352</v>
      </c>
      <c r="O301" s="39">
        <f t="shared" si="43"/>
        <v>2.4099999999999997</v>
      </c>
      <c r="P301" s="40">
        <f t="shared" si="44"/>
        <v>-0.4149377593360839</v>
      </c>
      <c r="Q301" s="39">
        <f t="shared" si="45"/>
        <v>2304</v>
      </c>
      <c r="R301" s="41"/>
      <c r="T301" s="42">
        <f t="shared" si="46"/>
        <v>-2</v>
      </c>
      <c r="U301" s="42">
        <f t="shared" si="47"/>
        <v>0</v>
      </c>
      <c r="V301" s="42">
        <f t="shared" si="48"/>
        <v>2</v>
      </c>
    </row>
    <row r="302" spans="1:22" s="28" customFormat="1" ht="73.5" customHeight="1" x14ac:dyDescent="0.2">
      <c r="A302" s="30">
        <v>291</v>
      </c>
      <c r="B302" s="31" t="s">
        <v>416</v>
      </c>
      <c r="C302" s="32" t="s">
        <v>25</v>
      </c>
      <c r="D302" s="33">
        <v>1200</v>
      </c>
      <c r="E302" s="35">
        <v>12.6</v>
      </c>
      <c r="F302" s="32" t="s">
        <v>39</v>
      </c>
      <c r="G302" s="37">
        <v>12.21</v>
      </c>
      <c r="H302" s="38">
        <f t="shared" si="49"/>
        <v>14652.000000000002</v>
      </c>
      <c r="I302" s="32" t="s">
        <v>54</v>
      </c>
      <c r="J302" s="37">
        <v>12.8</v>
      </c>
      <c r="K302" s="38">
        <f t="shared" si="41"/>
        <v>15360</v>
      </c>
      <c r="L302" s="38" t="s">
        <v>41</v>
      </c>
      <c r="M302" s="37">
        <v>13.01</v>
      </c>
      <c r="N302" s="38">
        <f t="shared" si="42"/>
        <v>15612</v>
      </c>
      <c r="O302" s="39">
        <f t="shared" si="43"/>
        <v>12.673333333333334</v>
      </c>
      <c r="P302" s="40">
        <f t="shared" si="44"/>
        <v>-0.57864281956865682</v>
      </c>
      <c r="Q302" s="39">
        <f t="shared" si="45"/>
        <v>15120</v>
      </c>
      <c r="R302" s="41"/>
      <c r="T302" s="42">
        <f t="shared" si="46"/>
        <v>-4</v>
      </c>
      <c r="U302" s="42">
        <f t="shared" si="47"/>
        <v>1</v>
      </c>
      <c r="V302" s="42">
        <f t="shared" si="48"/>
        <v>3</v>
      </c>
    </row>
    <row r="303" spans="1:22" s="28" customFormat="1" ht="73.5" customHeight="1" x14ac:dyDescent="0.2">
      <c r="A303" s="30">
        <v>292</v>
      </c>
      <c r="B303" s="31" t="s">
        <v>417</v>
      </c>
      <c r="C303" s="32" t="s">
        <v>25</v>
      </c>
      <c r="D303" s="33">
        <v>80</v>
      </c>
      <c r="E303" s="35">
        <v>1.17</v>
      </c>
      <c r="F303" s="32" t="s">
        <v>39</v>
      </c>
      <c r="G303" s="37">
        <v>1.1100000000000001</v>
      </c>
      <c r="H303" s="38">
        <f t="shared" si="49"/>
        <v>88.800000000000011</v>
      </c>
      <c r="I303" s="32" t="s">
        <v>54</v>
      </c>
      <c r="J303" s="37">
        <v>1.1599999999999999</v>
      </c>
      <c r="K303" s="38">
        <f t="shared" si="41"/>
        <v>92.8</v>
      </c>
      <c r="L303" s="38" t="s">
        <v>41</v>
      </c>
      <c r="M303" s="37">
        <v>1.31</v>
      </c>
      <c r="N303" s="38">
        <f t="shared" si="42"/>
        <v>104.80000000000001</v>
      </c>
      <c r="O303" s="39">
        <f t="shared" si="43"/>
        <v>1.1933333333333334</v>
      </c>
      <c r="P303" s="40">
        <f t="shared" si="44"/>
        <v>-1.955307262569832</v>
      </c>
      <c r="Q303" s="39">
        <f t="shared" si="45"/>
        <v>93.6</v>
      </c>
      <c r="R303" s="41"/>
      <c r="T303" s="42">
        <f t="shared" si="46"/>
        <v>-7</v>
      </c>
      <c r="U303" s="42">
        <f t="shared" si="47"/>
        <v>-3</v>
      </c>
      <c r="V303" s="42">
        <f t="shared" si="48"/>
        <v>10</v>
      </c>
    </row>
    <row r="304" spans="1:22" s="28" customFormat="1" ht="73.5" customHeight="1" x14ac:dyDescent="0.2">
      <c r="A304" s="30">
        <v>293</v>
      </c>
      <c r="B304" s="31" t="s">
        <v>418</v>
      </c>
      <c r="C304" s="32" t="s">
        <v>25</v>
      </c>
      <c r="D304" s="33">
        <v>60</v>
      </c>
      <c r="E304" s="35">
        <v>0.51</v>
      </c>
      <c r="F304" s="32" t="s">
        <v>39</v>
      </c>
      <c r="G304" s="37">
        <v>0.49</v>
      </c>
      <c r="H304" s="38">
        <f t="shared" si="49"/>
        <v>29.4</v>
      </c>
      <c r="I304" s="32" t="s">
        <v>54</v>
      </c>
      <c r="J304" s="37">
        <v>0.51</v>
      </c>
      <c r="K304" s="38">
        <f t="shared" si="41"/>
        <v>30.6</v>
      </c>
      <c r="L304" s="38" t="s">
        <v>41</v>
      </c>
      <c r="M304" s="37">
        <v>0.55000000000000004</v>
      </c>
      <c r="N304" s="38">
        <f t="shared" si="42"/>
        <v>33</v>
      </c>
      <c r="O304" s="39">
        <f t="shared" si="43"/>
        <v>0.51666666666666672</v>
      </c>
      <c r="P304" s="40">
        <f t="shared" si="44"/>
        <v>-1.2903225806451672</v>
      </c>
      <c r="Q304" s="39">
        <f t="shared" si="45"/>
        <v>30.6</v>
      </c>
      <c r="R304" s="41"/>
      <c r="T304" s="42">
        <f t="shared" si="46"/>
        <v>-5</v>
      </c>
      <c r="U304" s="42">
        <f t="shared" si="47"/>
        <v>-1</v>
      </c>
      <c r="V304" s="42">
        <f t="shared" si="48"/>
        <v>6</v>
      </c>
    </row>
    <row r="305" spans="1:22" s="28" customFormat="1" ht="73.5" customHeight="1" x14ac:dyDescent="0.2">
      <c r="A305" s="30">
        <v>294</v>
      </c>
      <c r="B305" s="31" t="s">
        <v>419</v>
      </c>
      <c r="C305" s="32" t="s">
        <v>25</v>
      </c>
      <c r="D305" s="33">
        <v>40</v>
      </c>
      <c r="E305" s="35">
        <v>2.35</v>
      </c>
      <c r="F305" s="32" t="s">
        <v>39</v>
      </c>
      <c r="G305" s="37">
        <v>2.14</v>
      </c>
      <c r="H305" s="38">
        <f t="shared" si="49"/>
        <v>85.600000000000009</v>
      </c>
      <c r="I305" s="32" t="s">
        <v>54</v>
      </c>
      <c r="J305" s="37">
        <v>2.64</v>
      </c>
      <c r="K305" s="38">
        <f t="shared" si="41"/>
        <v>105.60000000000001</v>
      </c>
      <c r="L305" s="38" t="s">
        <v>41</v>
      </c>
      <c r="M305" s="37">
        <v>2.33</v>
      </c>
      <c r="N305" s="38">
        <f t="shared" si="42"/>
        <v>93.2</v>
      </c>
      <c r="O305" s="39">
        <f t="shared" si="43"/>
        <v>2.37</v>
      </c>
      <c r="P305" s="40">
        <f t="shared" si="44"/>
        <v>-0.84388185654009362</v>
      </c>
      <c r="Q305" s="39">
        <f t="shared" si="45"/>
        <v>94</v>
      </c>
      <c r="R305" s="41"/>
      <c r="T305" s="42">
        <f t="shared" si="46"/>
        <v>-10</v>
      </c>
      <c r="U305" s="42">
        <f t="shared" si="47"/>
        <v>11</v>
      </c>
      <c r="V305" s="42">
        <f t="shared" si="48"/>
        <v>-2</v>
      </c>
    </row>
    <row r="306" spans="1:22" s="28" customFormat="1" ht="73.5" customHeight="1" x14ac:dyDescent="0.2">
      <c r="A306" s="30">
        <v>295</v>
      </c>
      <c r="B306" s="31" t="s">
        <v>420</v>
      </c>
      <c r="C306" s="32" t="s">
        <v>25</v>
      </c>
      <c r="D306" s="33" t="s">
        <v>421</v>
      </c>
      <c r="E306" s="35">
        <v>2.71</v>
      </c>
      <c r="F306" s="32" t="s">
        <v>39</v>
      </c>
      <c r="G306" s="37">
        <v>2.68</v>
      </c>
      <c r="H306" s="38">
        <f t="shared" si="49"/>
        <v>6592.8</v>
      </c>
      <c r="I306" s="32" t="s">
        <v>54</v>
      </c>
      <c r="J306" s="37">
        <v>2.72</v>
      </c>
      <c r="K306" s="38">
        <f t="shared" si="41"/>
        <v>6691.2000000000007</v>
      </c>
      <c r="L306" s="38" t="s">
        <v>41</v>
      </c>
      <c r="M306" s="37">
        <v>2.75</v>
      </c>
      <c r="N306" s="38">
        <f t="shared" si="42"/>
        <v>6765</v>
      </c>
      <c r="O306" s="39">
        <f t="shared" si="43"/>
        <v>2.7166666666666668</v>
      </c>
      <c r="P306" s="40">
        <f t="shared" si="44"/>
        <v>-0.24539877300614421</v>
      </c>
      <c r="Q306" s="39">
        <f t="shared" si="45"/>
        <v>6666.6</v>
      </c>
      <c r="R306" s="41"/>
      <c r="T306" s="42">
        <f t="shared" si="46"/>
        <v>-1</v>
      </c>
      <c r="U306" s="42">
        <f t="shared" si="47"/>
        <v>0</v>
      </c>
      <c r="V306" s="42">
        <f t="shared" si="48"/>
        <v>1</v>
      </c>
    </row>
    <row r="307" spans="1:22" s="28" customFormat="1" ht="73.5" customHeight="1" x14ac:dyDescent="0.2">
      <c r="A307" s="30">
        <v>296</v>
      </c>
      <c r="B307" s="31" t="s">
        <v>422</v>
      </c>
      <c r="C307" s="32" t="s">
        <v>25</v>
      </c>
      <c r="D307" s="33">
        <v>480</v>
      </c>
      <c r="E307" s="35">
        <v>5.82</v>
      </c>
      <c r="F307" s="32" t="s">
        <v>39</v>
      </c>
      <c r="G307" s="37">
        <v>5.76</v>
      </c>
      <c r="H307" s="38">
        <f t="shared" si="49"/>
        <v>2764.7999999999997</v>
      </c>
      <c r="I307" s="32" t="s">
        <v>54</v>
      </c>
      <c r="J307" s="37">
        <v>5.87</v>
      </c>
      <c r="K307" s="38">
        <f t="shared" si="41"/>
        <v>2817.6</v>
      </c>
      <c r="L307" s="38" t="s">
        <v>41</v>
      </c>
      <c r="M307" s="37">
        <v>6.02</v>
      </c>
      <c r="N307" s="38">
        <f t="shared" si="42"/>
        <v>2889.6</v>
      </c>
      <c r="O307" s="39">
        <f t="shared" si="43"/>
        <v>5.8833333333333329</v>
      </c>
      <c r="P307" s="40">
        <f t="shared" si="44"/>
        <v>-1.076487252124636</v>
      </c>
      <c r="Q307" s="39">
        <f t="shared" si="45"/>
        <v>2793.6000000000004</v>
      </c>
      <c r="R307" s="41"/>
      <c r="T307" s="42">
        <f t="shared" si="46"/>
        <v>-2</v>
      </c>
      <c r="U307" s="42">
        <f t="shared" si="47"/>
        <v>0</v>
      </c>
      <c r="V307" s="42">
        <f t="shared" si="48"/>
        <v>2</v>
      </c>
    </row>
    <row r="308" spans="1:22" s="28" customFormat="1" ht="73.5" customHeight="1" x14ac:dyDescent="0.2">
      <c r="A308" s="30">
        <v>297</v>
      </c>
      <c r="B308" s="31" t="s">
        <v>423</v>
      </c>
      <c r="C308" s="32" t="s">
        <v>25</v>
      </c>
      <c r="D308" s="33">
        <v>40</v>
      </c>
      <c r="E308" s="35">
        <v>0.39</v>
      </c>
      <c r="F308" s="32" t="s">
        <v>39</v>
      </c>
      <c r="G308" s="37">
        <v>0.34</v>
      </c>
      <c r="H308" s="38">
        <f t="shared" si="49"/>
        <v>13.600000000000001</v>
      </c>
      <c r="I308" s="32" t="s">
        <v>54</v>
      </c>
      <c r="J308" s="37">
        <v>0.44</v>
      </c>
      <c r="K308" s="38">
        <f t="shared" si="41"/>
        <v>17.600000000000001</v>
      </c>
      <c r="L308" s="38" t="s">
        <v>41</v>
      </c>
      <c r="M308" s="37">
        <v>0.42</v>
      </c>
      <c r="N308" s="38">
        <f t="shared" si="42"/>
        <v>16.8</v>
      </c>
      <c r="O308" s="39">
        <f t="shared" si="43"/>
        <v>0.39999999999999997</v>
      </c>
      <c r="P308" s="40">
        <f t="shared" si="44"/>
        <v>-2.4999999999999858</v>
      </c>
      <c r="Q308" s="39">
        <f t="shared" si="45"/>
        <v>15.600000000000001</v>
      </c>
      <c r="R308" s="41"/>
      <c r="T308" s="42">
        <f t="shared" si="46"/>
        <v>-15</v>
      </c>
      <c r="U308" s="42">
        <f t="shared" si="47"/>
        <v>10</v>
      </c>
      <c r="V308" s="42">
        <f t="shared" si="48"/>
        <v>5</v>
      </c>
    </row>
    <row r="309" spans="1:22" s="28" customFormat="1" ht="73.5" customHeight="1" x14ac:dyDescent="0.2">
      <c r="A309" s="30">
        <v>298</v>
      </c>
      <c r="B309" s="31" t="s">
        <v>424</v>
      </c>
      <c r="C309" s="32" t="s">
        <v>25</v>
      </c>
      <c r="D309" s="33">
        <v>30</v>
      </c>
      <c r="E309" s="35">
        <v>1.44</v>
      </c>
      <c r="F309" s="32" t="s">
        <v>39</v>
      </c>
      <c r="G309" s="37">
        <v>1.37</v>
      </c>
      <c r="H309" s="38">
        <f t="shared" si="49"/>
        <v>41.1</v>
      </c>
      <c r="I309" s="32" t="s">
        <v>54</v>
      </c>
      <c r="J309" s="37">
        <v>1.58</v>
      </c>
      <c r="K309" s="38">
        <f t="shared" si="41"/>
        <v>47.400000000000006</v>
      </c>
      <c r="L309" s="38" t="s">
        <v>41</v>
      </c>
      <c r="M309" s="37">
        <v>1.44</v>
      </c>
      <c r="N309" s="38">
        <f t="shared" si="42"/>
        <v>43.199999999999996</v>
      </c>
      <c r="O309" s="39">
        <f t="shared" si="43"/>
        <v>1.4633333333333336</v>
      </c>
      <c r="P309" s="40">
        <f t="shared" si="44"/>
        <v>-1.5945330296127764</v>
      </c>
      <c r="Q309" s="39">
        <f t="shared" si="45"/>
        <v>43.199999999999996</v>
      </c>
      <c r="R309" s="41"/>
      <c r="T309" s="42">
        <f t="shared" si="46"/>
        <v>-6</v>
      </c>
      <c r="U309" s="42">
        <f t="shared" si="47"/>
        <v>8</v>
      </c>
      <c r="V309" s="42">
        <f t="shared" si="48"/>
        <v>-2</v>
      </c>
    </row>
    <row r="310" spans="1:22" s="28" customFormat="1" ht="66.75" customHeight="1" x14ac:dyDescent="0.2">
      <c r="A310" s="30">
        <v>299</v>
      </c>
      <c r="B310" s="31" t="s">
        <v>425</v>
      </c>
      <c r="C310" s="32" t="s">
        <v>25</v>
      </c>
      <c r="D310" s="33">
        <v>200</v>
      </c>
      <c r="E310" s="35">
        <v>39</v>
      </c>
      <c r="F310" s="32" t="s">
        <v>39</v>
      </c>
      <c r="G310" s="37">
        <v>37.82</v>
      </c>
      <c r="H310" s="38">
        <f t="shared" si="49"/>
        <v>7564</v>
      </c>
      <c r="I310" s="32" t="s">
        <v>54</v>
      </c>
      <c r="J310" s="37">
        <v>41.02</v>
      </c>
      <c r="K310" s="38">
        <f t="shared" si="41"/>
        <v>8204</v>
      </c>
      <c r="L310" s="38" t="s">
        <v>41</v>
      </c>
      <c r="M310" s="37">
        <v>38.46</v>
      </c>
      <c r="N310" s="38">
        <f t="shared" si="42"/>
        <v>7692</v>
      </c>
      <c r="O310" s="39">
        <f t="shared" si="43"/>
        <v>39.1</v>
      </c>
      <c r="P310" s="40">
        <f t="shared" si="44"/>
        <v>-0.25575447570332699</v>
      </c>
      <c r="Q310" s="39">
        <f t="shared" si="45"/>
        <v>7800</v>
      </c>
      <c r="R310" s="41"/>
      <c r="T310" s="42">
        <f t="shared" si="46"/>
        <v>-3</v>
      </c>
      <c r="U310" s="42">
        <f t="shared" si="47"/>
        <v>5</v>
      </c>
      <c r="V310" s="42">
        <f t="shared" si="48"/>
        <v>-2</v>
      </c>
    </row>
    <row r="311" spans="1:22" s="28" customFormat="1" ht="73.5" customHeight="1" x14ac:dyDescent="0.2">
      <c r="A311" s="30">
        <v>300</v>
      </c>
      <c r="B311" s="31" t="s">
        <v>426</v>
      </c>
      <c r="C311" s="32" t="s">
        <v>147</v>
      </c>
      <c r="D311" s="33">
        <v>48</v>
      </c>
      <c r="E311" s="35">
        <v>17801.5</v>
      </c>
      <c r="F311" s="32" t="s">
        <v>27</v>
      </c>
      <c r="G311" s="37">
        <f>20996.75/1.2</f>
        <v>17497.291666666668</v>
      </c>
      <c r="H311" s="38">
        <f t="shared" si="49"/>
        <v>839870</v>
      </c>
      <c r="I311" s="38" t="s">
        <v>28</v>
      </c>
      <c r="J311" s="37">
        <v>17891.400000000001</v>
      </c>
      <c r="K311" s="38">
        <f t="shared" si="41"/>
        <v>858787.20000000007</v>
      </c>
      <c r="L311" s="33" t="s">
        <v>29</v>
      </c>
      <c r="M311" s="37">
        <v>18112.77</v>
      </c>
      <c r="N311" s="38">
        <f t="shared" si="42"/>
        <v>869412.96</v>
      </c>
      <c r="O311" s="39">
        <f t="shared" si="43"/>
        <v>17833.820555555558</v>
      </c>
      <c r="P311" s="40">
        <f t="shared" si="44"/>
        <v>-0.18123180871351963</v>
      </c>
      <c r="Q311" s="39">
        <f t="shared" si="45"/>
        <v>854472</v>
      </c>
      <c r="R311" s="41"/>
      <c r="T311" s="42">
        <f t="shared" si="46"/>
        <v>-2</v>
      </c>
      <c r="U311" s="42">
        <f t="shared" si="47"/>
        <v>0</v>
      </c>
      <c r="V311" s="42">
        <f t="shared" si="48"/>
        <v>2</v>
      </c>
    </row>
    <row r="312" spans="1:22" s="28" customFormat="1" ht="73.5" customHeight="1" x14ac:dyDescent="0.2">
      <c r="A312" s="30">
        <v>301</v>
      </c>
      <c r="B312" s="31" t="s">
        <v>427</v>
      </c>
      <c r="C312" s="32" t="s">
        <v>25</v>
      </c>
      <c r="D312" s="33">
        <v>96</v>
      </c>
      <c r="E312" s="35">
        <v>15087.84</v>
      </c>
      <c r="F312" s="32" t="s">
        <v>27</v>
      </c>
      <c r="G312" s="37">
        <v>15023.18</v>
      </c>
      <c r="H312" s="38">
        <f t="shared" si="49"/>
        <v>1442225.28</v>
      </c>
      <c r="I312" s="38" t="s">
        <v>28</v>
      </c>
      <c r="J312" s="37">
        <v>14681.33</v>
      </c>
      <c r="K312" s="38">
        <f t="shared" si="41"/>
        <v>1409407.68</v>
      </c>
      <c r="L312" s="33" t="s">
        <v>29</v>
      </c>
      <c r="M312" s="37">
        <v>15762.2</v>
      </c>
      <c r="N312" s="38">
        <f t="shared" si="42"/>
        <v>1513171.2000000002</v>
      </c>
      <c r="O312" s="39">
        <f t="shared" si="43"/>
        <v>15155.570000000002</v>
      </c>
      <c r="P312" s="40">
        <f t="shared" si="44"/>
        <v>-0.44689840104992129</v>
      </c>
      <c r="Q312" s="39">
        <f t="shared" si="45"/>
        <v>1448432.6400000001</v>
      </c>
      <c r="R312" s="41"/>
      <c r="T312" s="42">
        <f t="shared" si="46"/>
        <v>-1</v>
      </c>
      <c r="U312" s="42">
        <f t="shared" si="47"/>
        <v>-3</v>
      </c>
      <c r="V312" s="42">
        <f t="shared" si="48"/>
        <v>4</v>
      </c>
    </row>
    <row r="313" spans="1:22" s="28" customFormat="1" ht="73.5" customHeight="1" x14ac:dyDescent="0.2">
      <c r="A313" s="30">
        <v>302</v>
      </c>
      <c r="B313" s="31" t="s">
        <v>428</v>
      </c>
      <c r="C313" s="32" t="s">
        <v>25</v>
      </c>
      <c r="D313" s="33">
        <v>48</v>
      </c>
      <c r="E313" s="35">
        <v>24326.9</v>
      </c>
      <c r="F313" s="32" t="s">
        <v>56</v>
      </c>
      <c r="G313" s="37">
        <v>24568.84</v>
      </c>
      <c r="H313" s="38">
        <f t="shared" si="49"/>
        <v>1179304.32</v>
      </c>
      <c r="I313" s="32" t="s">
        <v>57</v>
      </c>
      <c r="J313" s="37">
        <v>25037.67</v>
      </c>
      <c r="K313" s="38">
        <f t="shared" si="41"/>
        <v>1201808.1599999999</v>
      </c>
      <c r="L313" s="32" t="s">
        <v>119</v>
      </c>
      <c r="M313" s="37">
        <v>23991.05</v>
      </c>
      <c r="N313" s="38">
        <f t="shared" si="42"/>
        <v>1151570.3999999999</v>
      </c>
      <c r="O313" s="39">
        <f t="shared" si="43"/>
        <v>24532.52</v>
      </c>
      <c r="P313" s="40">
        <f t="shared" si="44"/>
        <v>-0.83815278658694581</v>
      </c>
      <c r="Q313" s="39">
        <f t="shared" si="45"/>
        <v>1167691.2000000002</v>
      </c>
      <c r="R313" s="41"/>
      <c r="T313" s="42">
        <f t="shared" si="46"/>
        <v>0</v>
      </c>
      <c r="U313" s="42">
        <f t="shared" si="47"/>
        <v>2</v>
      </c>
      <c r="V313" s="42">
        <f t="shared" si="48"/>
        <v>-2</v>
      </c>
    </row>
    <row r="314" spans="1:22" s="28" customFormat="1" ht="73.5" customHeight="1" x14ac:dyDescent="0.2">
      <c r="A314" s="30">
        <v>303</v>
      </c>
      <c r="B314" s="31" t="s">
        <v>429</v>
      </c>
      <c r="C314" s="32" t="s">
        <v>25</v>
      </c>
      <c r="D314" s="33">
        <v>400</v>
      </c>
      <c r="E314" s="35">
        <v>37.4</v>
      </c>
      <c r="F314" s="32" t="s">
        <v>39</v>
      </c>
      <c r="G314" s="37">
        <v>39.6</v>
      </c>
      <c r="H314" s="38">
        <f t="shared" si="49"/>
        <v>15840</v>
      </c>
      <c r="I314" s="32" t="s">
        <v>430</v>
      </c>
      <c r="J314" s="37">
        <f>46.28/1.2</f>
        <v>38.56666666666667</v>
      </c>
      <c r="K314" s="38">
        <f t="shared" si="41"/>
        <v>15426.666666666668</v>
      </c>
      <c r="L314" s="32" t="s">
        <v>431</v>
      </c>
      <c r="M314" s="37">
        <f>42.67/1.2</f>
        <v>35.558333333333337</v>
      </c>
      <c r="N314" s="38">
        <f t="shared" si="42"/>
        <v>14223.333333333336</v>
      </c>
      <c r="O314" s="39">
        <f t="shared" si="43"/>
        <v>37.908333333333339</v>
      </c>
      <c r="P314" s="40">
        <f t="shared" si="44"/>
        <v>-1.3409540558364625</v>
      </c>
      <c r="Q314" s="39">
        <f t="shared" si="45"/>
        <v>14960</v>
      </c>
      <c r="R314" s="41"/>
      <c r="T314" s="42">
        <f t="shared" si="46"/>
        <v>4</v>
      </c>
      <c r="U314" s="42">
        <f t="shared" si="47"/>
        <v>2</v>
      </c>
      <c r="V314" s="42">
        <f t="shared" si="48"/>
        <v>-6</v>
      </c>
    </row>
    <row r="315" spans="1:22" s="28" customFormat="1" ht="73.5" customHeight="1" x14ac:dyDescent="0.2">
      <c r="A315" s="30">
        <v>304</v>
      </c>
      <c r="B315" s="31" t="s">
        <v>432</v>
      </c>
      <c r="C315" s="32" t="s">
        <v>147</v>
      </c>
      <c r="D315" s="33" t="s">
        <v>433</v>
      </c>
      <c r="E315" s="35">
        <v>11.03</v>
      </c>
      <c r="F315" s="32" t="s">
        <v>90</v>
      </c>
      <c r="G315" s="37">
        <f>13.24/1.2</f>
        <v>11.033333333333333</v>
      </c>
      <c r="H315" s="38">
        <f t="shared" si="49"/>
        <v>17653.333333333332</v>
      </c>
      <c r="I315" s="32" t="s">
        <v>46</v>
      </c>
      <c r="J315" s="37">
        <v>10.93</v>
      </c>
      <c r="K315" s="38">
        <f t="shared" si="41"/>
        <v>17488</v>
      </c>
      <c r="L315" s="32" t="s">
        <v>58</v>
      </c>
      <c r="M315" s="37">
        <v>11.89</v>
      </c>
      <c r="N315" s="38">
        <f t="shared" si="42"/>
        <v>19024</v>
      </c>
      <c r="O315" s="39">
        <f t="shared" si="43"/>
        <v>11.284444444444444</v>
      </c>
      <c r="P315" s="40">
        <f t="shared" si="44"/>
        <v>-2.2548247341473058</v>
      </c>
      <c r="Q315" s="39">
        <f t="shared" si="45"/>
        <v>17648</v>
      </c>
      <c r="R315" s="41"/>
      <c r="T315" s="42">
        <f t="shared" si="46"/>
        <v>-2</v>
      </c>
      <c r="U315" s="42">
        <f t="shared" si="47"/>
        <v>-3</v>
      </c>
      <c r="V315" s="42">
        <f t="shared" si="48"/>
        <v>5</v>
      </c>
    </row>
    <row r="316" spans="1:22" s="28" customFormat="1" ht="73.5" customHeight="1" x14ac:dyDescent="0.2">
      <c r="A316" s="30">
        <v>305</v>
      </c>
      <c r="B316" s="31" t="s">
        <v>434</v>
      </c>
      <c r="C316" s="32" t="s">
        <v>25</v>
      </c>
      <c r="D316" s="33">
        <v>30</v>
      </c>
      <c r="E316" s="35">
        <v>1285.6600000000001</v>
      </c>
      <c r="F316" s="32" t="s">
        <v>435</v>
      </c>
      <c r="G316" s="37">
        <v>1300</v>
      </c>
      <c r="H316" s="38">
        <f t="shared" si="49"/>
        <v>39000</v>
      </c>
      <c r="I316" s="32" t="s">
        <v>436</v>
      </c>
      <c r="J316" s="37">
        <v>1300</v>
      </c>
      <c r="K316" s="38">
        <f t="shared" si="41"/>
        <v>39000</v>
      </c>
      <c r="L316" s="32" t="s">
        <v>437</v>
      </c>
      <c r="M316" s="37">
        <v>1260</v>
      </c>
      <c r="N316" s="38">
        <f t="shared" si="42"/>
        <v>37800</v>
      </c>
      <c r="O316" s="39">
        <f t="shared" si="43"/>
        <v>1286.6666666666667</v>
      </c>
      <c r="P316" s="40">
        <f t="shared" si="44"/>
        <v>-7.823834196891255E-2</v>
      </c>
      <c r="Q316" s="39">
        <f t="shared" si="45"/>
        <v>38569.800000000003</v>
      </c>
      <c r="R316" s="41"/>
      <c r="T316" s="42">
        <f t="shared" si="46"/>
        <v>1</v>
      </c>
      <c r="U316" s="42">
        <f t="shared" si="47"/>
        <v>1</v>
      </c>
      <c r="V316" s="42">
        <f t="shared" si="48"/>
        <v>-2</v>
      </c>
    </row>
    <row r="317" spans="1:22" s="28" customFormat="1" ht="73.5" customHeight="1" x14ac:dyDescent="0.2">
      <c r="A317" s="30">
        <v>306</v>
      </c>
      <c r="B317" s="31" t="s">
        <v>438</v>
      </c>
      <c r="C317" s="32" t="s">
        <v>25</v>
      </c>
      <c r="D317" s="33">
        <v>1</v>
      </c>
      <c r="E317" s="35">
        <v>26054.6</v>
      </c>
      <c r="F317" s="32" t="s">
        <v>27</v>
      </c>
      <c r="G317" s="37">
        <f>30302.49/1.2</f>
        <v>25252.075000000001</v>
      </c>
      <c r="H317" s="38">
        <f t="shared" si="49"/>
        <v>25252.075000000001</v>
      </c>
      <c r="I317" s="38" t="s">
        <v>28</v>
      </c>
      <c r="J317" s="37">
        <v>26315.4</v>
      </c>
      <c r="K317" s="38">
        <f t="shared" si="41"/>
        <v>26315.4</v>
      </c>
      <c r="L317" s="33" t="s">
        <v>29</v>
      </c>
      <c r="M317" s="37">
        <v>26678.22</v>
      </c>
      <c r="N317" s="38">
        <f t="shared" si="42"/>
        <v>26678.22</v>
      </c>
      <c r="O317" s="39">
        <f t="shared" si="43"/>
        <v>26081.898333333334</v>
      </c>
      <c r="P317" s="40">
        <f t="shared" si="44"/>
        <v>-0.10466390515159674</v>
      </c>
      <c r="Q317" s="39">
        <f t="shared" si="45"/>
        <v>26054.6</v>
      </c>
      <c r="R317" s="41"/>
      <c r="T317" s="42">
        <f t="shared" si="46"/>
        <v>-3</v>
      </c>
      <c r="U317" s="42">
        <f t="shared" si="47"/>
        <v>1</v>
      </c>
      <c r="V317" s="42">
        <f t="shared" si="48"/>
        <v>2</v>
      </c>
    </row>
    <row r="318" spans="1:22" s="28" customFormat="1" ht="73.5" customHeight="1" x14ac:dyDescent="0.2">
      <c r="A318" s="30">
        <v>307</v>
      </c>
      <c r="B318" s="31" t="s">
        <v>439</v>
      </c>
      <c r="C318" s="32" t="s">
        <v>25</v>
      </c>
      <c r="D318" s="33">
        <v>1</v>
      </c>
      <c r="E318" s="35">
        <v>8930.15</v>
      </c>
      <c r="F318" s="32" t="s">
        <v>56</v>
      </c>
      <c r="G318" s="37">
        <v>9150.2199999999993</v>
      </c>
      <c r="H318" s="38">
        <f t="shared" si="49"/>
        <v>9150.2199999999993</v>
      </c>
      <c r="I318" s="32" t="s">
        <v>57</v>
      </c>
      <c r="J318" s="37">
        <v>8700</v>
      </c>
      <c r="K318" s="38">
        <f t="shared" si="41"/>
        <v>8700</v>
      </c>
      <c r="L318" s="38" t="s">
        <v>67</v>
      </c>
      <c r="M318" s="37">
        <f>10766.52/1.2</f>
        <v>8972.1</v>
      </c>
      <c r="N318" s="38">
        <f t="shared" si="42"/>
        <v>8972.1</v>
      </c>
      <c r="O318" s="39">
        <f t="shared" si="43"/>
        <v>8940.7733333333326</v>
      </c>
      <c r="P318" s="40">
        <f t="shared" si="44"/>
        <v>-0.11881895376686202</v>
      </c>
      <c r="Q318" s="39">
        <f t="shared" si="45"/>
        <v>8930.15</v>
      </c>
      <c r="R318" s="41"/>
      <c r="T318" s="42">
        <f t="shared" si="46"/>
        <v>2</v>
      </c>
      <c r="U318" s="42">
        <f t="shared" si="47"/>
        <v>-3</v>
      </c>
      <c r="V318" s="42">
        <f t="shared" si="48"/>
        <v>0</v>
      </c>
    </row>
    <row r="319" spans="1:22" s="28" customFormat="1" ht="73.5" customHeight="1" x14ac:dyDescent="0.2">
      <c r="A319" s="30">
        <v>308</v>
      </c>
      <c r="B319" s="31" t="s">
        <v>440</v>
      </c>
      <c r="C319" s="32" t="s">
        <v>25</v>
      </c>
      <c r="D319" s="33">
        <v>1</v>
      </c>
      <c r="E319" s="35">
        <v>9080.1200000000008</v>
      </c>
      <c r="F319" s="32" t="s">
        <v>56</v>
      </c>
      <c r="G319" s="37">
        <v>9205.49</v>
      </c>
      <c r="H319" s="38">
        <f t="shared" si="49"/>
        <v>9205.49</v>
      </c>
      <c r="I319" s="32" t="s">
        <v>57</v>
      </c>
      <c r="J319" s="37">
        <v>8900</v>
      </c>
      <c r="K319" s="38">
        <f t="shared" si="41"/>
        <v>8900</v>
      </c>
      <c r="L319" s="38" t="s">
        <v>67</v>
      </c>
      <c r="M319" s="37">
        <f>10969.78/1.2</f>
        <v>9141.4833333333336</v>
      </c>
      <c r="N319" s="38">
        <f t="shared" si="42"/>
        <v>9141.4833333333336</v>
      </c>
      <c r="O319" s="39">
        <f t="shared" si="43"/>
        <v>9082.3244444444445</v>
      </c>
      <c r="P319" s="40">
        <f t="shared" si="44"/>
        <v>-2.427180902782311E-2</v>
      </c>
      <c r="Q319" s="39">
        <f t="shared" si="45"/>
        <v>9080.1200000000008</v>
      </c>
      <c r="R319" s="41"/>
      <c r="T319" s="42">
        <f t="shared" si="46"/>
        <v>1</v>
      </c>
      <c r="U319" s="42">
        <f t="shared" si="47"/>
        <v>-2</v>
      </c>
      <c r="V319" s="42">
        <f t="shared" si="48"/>
        <v>1</v>
      </c>
    </row>
    <row r="320" spans="1:22" s="28" customFormat="1" ht="73.5" customHeight="1" x14ac:dyDescent="0.2">
      <c r="A320" s="30">
        <v>309</v>
      </c>
      <c r="B320" s="31" t="s">
        <v>441</v>
      </c>
      <c r="C320" s="32" t="s">
        <v>25</v>
      </c>
      <c r="D320" s="33">
        <v>2</v>
      </c>
      <c r="E320" s="35">
        <v>33102.400000000001</v>
      </c>
      <c r="F320" s="32" t="s">
        <v>56</v>
      </c>
      <c r="G320" s="37">
        <v>33450</v>
      </c>
      <c r="H320" s="38">
        <f t="shared" si="49"/>
        <v>66900</v>
      </c>
      <c r="I320" s="32" t="s">
        <v>57</v>
      </c>
      <c r="J320" s="37">
        <v>32000</v>
      </c>
      <c r="K320" s="38">
        <f t="shared" si="41"/>
        <v>64000</v>
      </c>
      <c r="L320" s="38" t="s">
        <v>67</v>
      </c>
      <c r="M320" s="37">
        <f>40734.72/1.2</f>
        <v>33945.600000000006</v>
      </c>
      <c r="N320" s="38">
        <f t="shared" si="42"/>
        <v>67891.200000000012</v>
      </c>
      <c r="O320" s="39">
        <f t="shared" si="43"/>
        <v>33131.866666666669</v>
      </c>
      <c r="P320" s="40">
        <f t="shared" si="44"/>
        <v>-8.8937538482596779E-2</v>
      </c>
      <c r="Q320" s="39">
        <f t="shared" si="45"/>
        <v>66204.800000000003</v>
      </c>
      <c r="R320" s="41"/>
      <c r="T320" s="42">
        <f t="shared" si="46"/>
        <v>1</v>
      </c>
      <c r="U320" s="42">
        <f t="shared" si="47"/>
        <v>-3</v>
      </c>
      <c r="V320" s="42">
        <f t="shared" si="48"/>
        <v>2</v>
      </c>
    </row>
    <row r="321" spans="1:22" s="28" customFormat="1" ht="73.5" customHeight="1" x14ac:dyDescent="0.2">
      <c r="A321" s="30">
        <v>310</v>
      </c>
      <c r="B321" s="31" t="s">
        <v>442</v>
      </c>
      <c r="C321" s="32" t="s">
        <v>25</v>
      </c>
      <c r="D321" s="33">
        <v>2</v>
      </c>
      <c r="E321" s="35">
        <v>69148.5</v>
      </c>
      <c r="F321" s="32" t="s">
        <v>56</v>
      </c>
      <c r="G321" s="37">
        <v>69725.600000000006</v>
      </c>
      <c r="H321" s="38">
        <f t="shared" si="49"/>
        <v>139451.20000000001</v>
      </c>
      <c r="I321" s="32" t="s">
        <v>57</v>
      </c>
      <c r="J321" s="37">
        <v>68000</v>
      </c>
      <c r="K321" s="38">
        <f t="shared" si="41"/>
        <v>136000</v>
      </c>
      <c r="L321" s="38" t="s">
        <v>67</v>
      </c>
      <c r="M321" s="37">
        <f>84060.86/1.2</f>
        <v>70050.716666666674</v>
      </c>
      <c r="N321" s="38">
        <f t="shared" si="42"/>
        <v>140101.43333333335</v>
      </c>
      <c r="O321" s="39">
        <f t="shared" si="43"/>
        <v>69258.772222222222</v>
      </c>
      <c r="P321" s="40">
        <f t="shared" si="44"/>
        <v>-0.15921769717257916</v>
      </c>
      <c r="Q321" s="39">
        <f t="shared" si="45"/>
        <v>138297</v>
      </c>
      <c r="R321" s="41"/>
      <c r="T321" s="42">
        <f t="shared" si="46"/>
        <v>1</v>
      </c>
      <c r="U321" s="42">
        <f t="shared" si="47"/>
        <v>-2</v>
      </c>
      <c r="V321" s="42">
        <f t="shared" si="48"/>
        <v>1</v>
      </c>
    </row>
    <row r="322" spans="1:22" s="28" customFormat="1" ht="73.5" customHeight="1" x14ac:dyDescent="0.2">
      <c r="A322" s="30">
        <v>311</v>
      </c>
      <c r="B322" s="31" t="s">
        <v>443</v>
      </c>
      <c r="C322" s="32" t="s">
        <v>45</v>
      </c>
      <c r="D322" s="33">
        <v>125.8</v>
      </c>
      <c r="E322" s="35">
        <v>395.2</v>
      </c>
      <c r="F322" s="32" t="s">
        <v>39</v>
      </c>
      <c r="G322" s="37">
        <v>388.09</v>
      </c>
      <c r="H322" s="38">
        <f t="shared" si="49"/>
        <v>48821.721999999994</v>
      </c>
      <c r="I322" s="32" t="s">
        <v>54</v>
      </c>
      <c r="J322" s="37">
        <v>410.77</v>
      </c>
      <c r="K322" s="38">
        <f t="shared" si="41"/>
        <v>51674.865999999995</v>
      </c>
      <c r="L322" s="38" t="s">
        <v>67</v>
      </c>
      <c r="M322" s="37">
        <f>488.26/1.2</f>
        <v>406.88333333333333</v>
      </c>
      <c r="N322" s="38">
        <f t="shared" si="42"/>
        <v>51185.923333333332</v>
      </c>
      <c r="O322" s="39">
        <f t="shared" si="43"/>
        <v>401.91444444444443</v>
      </c>
      <c r="P322" s="40">
        <f t="shared" si="44"/>
        <v>-1.6706153603724374</v>
      </c>
      <c r="Q322" s="39">
        <f t="shared" si="45"/>
        <v>49716.159999999996</v>
      </c>
      <c r="R322" s="41"/>
      <c r="T322" s="42">
        <f t="shared" si="46"/>
        <v>-3</v>
      </c>
      <c r="U322" s="42">
        <f t="shared" si="47"/>
        <v>2</v>
      </c>
      <c r="V322" s="42">
        <f t="shared" si="48"/>
        <v>1</v>
      </c>
    </row>
    <row r="323" spans="1:22" s="28" customFormat="1" ht="73.5" customHeight="1" x14ac:dyDescent="0.2">
      <c r="A323" s="30">
        <v>312</v>
      </c>
      <c r="B323" s="31" t="s">
        <v>444</v>
      </c>
      <c r="C323" s="32" t="s">
        <v>45</v>
      </c>
      <c r="D323" s="33" t="s">
        <v>445</v>
      </c>
      <c r="E323" s="35">
        <v>385.4</v>
      </c>
      <c r="F323" s="32" t="s">
        <v>39</v>
      </c>
      <c r="G323" s="37">
        <v>395.81</v>
      </c>
      <c r="H323" s="38">
        <f t="shared" si="49"/>
        <v>28498.32</v>
      </c>
      <c r="I323" s="32" t="s">
        <v>54</v>
      </c>
      <c r="J323" s="37">
        <v>403.69</v>
      </c>
      <c r="K323" s="38">
        <f t="shared" si="41"/>
        <v>29065.68</v>
      </c>
      <c r="L323" s="38" t="s">
        <v>67</v>
      </c>
      <c r="M323" s="37">
        <f>465/1.2</f>
        <v>387.5</v>
      </c>
      <c r="N323" s="38">
        <f t="shared" si="42"/>
        <v>27900</v>
      </c>
      <c r="O323" s="39">
        <f t="shared" si="43"/>
        <v>395.66666666666669</v>
      </c>
      <c r="P323" s="40">
        <f t="shared" si="44"/>
        <v>-2.594776748104465</v>
      </c>
      <c r="Q323" s="39">
        <f t="shared" si="45"/>
        <v>27748.799999999999</v>
      </c>
      <c r="R323" s="41"/>
      <c r="T323" s="42">
        <f t="shared" si="46"/>
        <v>0</v>
      </c>
      <c r="U323" s="42">
        <f t="shared" si="47"/>
        <v>2</v>
      </c>
      <c r="V323" s="42">
        <f t="shared" si="48"/>
        <v>-2</v>
      </c>
    </row>
    <row r="324" spans="1:22" s="28" customFormat="1" ht="73.5" customHeight="1" x14ac:dyDescent="0.2">
      <c r="A324" s="30">
        <v>313</v>
      </c>
      <c r="B324" s="31" t="s">
        <v>446</v>
      </c>
      <c r="C324" s="32" t="s">
        <v>45</v>
      </c>
      <c r="D324" s="33">
        <v>24</v>
      </c>
      <c r="E324" s="35">
        <v>383</v>
      </c>
      <c r="F324" s="32" t="s">
        <v>39</v>
      </c>
      <c r="G324" s="37">
        <v>395.81</v>
      </c>
      <c r="H324" s="38">
        <f t="shared" ref="H324:H331" si="50">D324*G324</f>
        <v>9499.44</v>
      </c>
      <c r="I324" s="32" t="s">
        <v>54</v>
      </c>
      <c r="J324" s="37">
        <v>403.69</v>
      </c>
      <c r="K324" s="38">
        <f t="shared" si="41"/>
        <v>9688.56</v>
      </c>
      <c r="L324" s="38" t="s">
        <v>67</v>
      </c>
      <c r="M324" s="37">
        <f>460.44/1.2</f>
        <v>383.7</v>
      </c>
      <c r="N324" s="38">
        <f t="shared" si="42"/>
        <v>9208.7999999999993</v>
      </c>
      <c r="O324" s="39">
        <f t="shared" si="43"/>
        <v>394.40000000000003</v>
      </c>
      <c r="P324" s="40">
        <f t="shared" si="44"/>
        <v>-2.8904665314401683</v>
      </c>
      <c r="Q324" s="39">
        <f t="shared" si="45"/>
        <v>9192</v>
      </c>
      <c r="R324" s="41"/>
      <c r="T324" s="42">
        <f t="shared" si="46"/>
        <v>0</v>
      </c>
      <c r="U324" s="42">
        <f t="shared" si="47"/>
        <v>2</v>
      </c>
      <c r="V324" s="42">
        <f t="shared" si="48"/>
        <v>-3</v>
      </c>
    </row>
    <row r="325" spans="1:22" s="28" customFormat="1" ht="73.5" customHeight="1" x14ac:dyDescent="0.2">
      <c r="A325" s="30">
        <v>314</v>
      </c>
      <c r="B325" s="31" t="s">
        <v>447</v>
      </c>
      <c r="C325" s="32" t="s">
        <v>25</v>
      </c>
      <c r="D325" s="33">
        <v>4</v>
      </c>
      <c r="E325" s="35">
        <v>1175.2</v>
      </c>
      <c r="F325" s="32" t="s">
        <v>27</v>
      </c>
      <c r="G325" s="37">
        <f>1338.34/1.2</f>
        <v>1115.2833333333333</v>
      </c>
      <c r="H325" s="38">
        <f t="shared" si="50"/>
        <v>4461.1333333333332</v>
      </c>
      <c r="I325" s="38" t="s">
        <v>28</v>
      </c>
      <c r="J325" s="37">
        <v>1170.6400000000001</v>
      </c>
      <c r="K325" s="38">
        <f t="shared" si="41"/>
        <v>4682.5600000000004</v>
      </c>
      <c r="L325" s="33" t="s">
        <v>29</v>
      </c>
      <c r="M325" s="37">
        <v>1246.5</v>
      </c>
      <c r="N325" s="38">
        <f t="shared" si="42"/>
        <v>4986</v>
      </c>
      <c r="O325" s="39">
        <f t="shared" si="43"/>
        <v>1177.4744444444443</v>
      </c>
      <c r="P325" s="40">
        <f t="shared" si="44"/>
        <v>-0.19316295611982071</v>
      </c>
      <c r="Q325" s="39">
        <f t="shared" si="45"/>
        <v>4700.8</v>
      </c>
      <c r="R325" s="41"/>
      <c r="T325" s="42">
        <f t="shared" si="46"/>
        <v>-5</v>
      </c>
      <c r="U325" s="42">
        <f t="shared" si="47"/>
        <v>-1</v>
      </c>
      <c r="V325" s="42">
        <f t="shared" si="48"/>
        <v>6</v>
      </c>
    </row>
    <row r="326" spans="1:22" s="28" customFormat="1" ht="73.5" customHeight="1" x14ac:dyDescent="0.2">
      <c r="A326" s="30">
        <v>315</v>
      </c>
      <c r="B326" s="31" t="s">
        <v>448</v>
      </c>
      <c r="C326" s="32" t="s">
        <v>25</v>
      </c>
      <c r="D326" s="32">
        <v>71</v>
      </c>
      <c r="E326" s="35">
        <v>1974.45</v>
      </c>
      <c r="F326" s="32" t="s">
        <v>27</v>
      </c>
      <c r="G326" s="37">
        <f>2332.39/1.2</f>
        <v>1943.6583333333333</v>
      </c>
      <c r="H326" s="38">
        <f t="shared" si="50"/>
        <v>137999.74166666667</v>
      </c>
      <c r="I326" s="38" t="s">
        <v>28</v>
      </c>
      <c r="J326" s="37">
        <v>2010.42</v>
      </c>
      <c r="K326" s="38">
        <f t="shared" si="41"/>
        <v>142739.82</v>
      </c>
      <c r="L326" s="33" t="s">
        <v>29</v>
      </c>
      <c r="M326" s="37">
        <v>1972.2</v>
      </c>
      <c r="N326" s="38">
        <f t="shared" si="42"/>
        <v>140026.20000000001</v>
      </c>
      <c r="O326" s="39">
        <f t="shared" si="43"/>
        <v>1975.4261111111111</v>
      </c>
      <c r="P326" s="40">
        <f t="shared" si="44"/>
        <v>-4.9412686489304747E-2</v>
      </c>
      <c r="Q326" s="39">
        <f t="shared" si="45"/>
        <v>140185.95000000001</v>
      </c>
      <c r="R326" s="41"/>
      <c r="T326" s="42">
        <f t="shared" si="46"/>
        <v>-2</v>
      </c>
      <c r="U326" s="42">
        <f t="shared" si="47"/>
        <v>2</v>
      </c>
      <c r="V326" s="42">
        <f t="shared" si="48"/>
        <v>0</v>
      </c>
    </row>
    <row r="327" spans="1:22" s="28" customFormat="1" ht="73.5" customHeight="1" x14ac:dyDescent="0.2">
      <c r="A327" s="30">
        <v>316</v>
      </c>
      <c r="B327" s="31" t="s">
        <v>449</v>
      </c>
      <c r="C327" s="32" t="s">
        <v>25</v>
      </c>
      <c r="D327" s="33">
        <v>34</v>
      </c>
      <c r="E327" s="35">
        <v>2651.1</v>
      </c>
      <c r="F327" s="32" t="s">
        <v>27</v>
      </c>
      <c r="G327" s="37">
        <f>2925.52/1.2</f>
        <v>2437.9333333333334</v>
      </c>
      <c r="H327" s="38">
        <f t="shared" si="50"/>
        <v>82889.733333333337</v>
      </c>
      <c r="I327" s="38" t="s">
        <v>28</v>
      </c>
      <c r="J327" s="37">
        <v>2845.3</v>
      </c>
      <c r="K327" s="38">
        <f t="shared" si="41"/>
        <v>96740.200000000012</v>
      </c>
      <c r="L327" s="33" t="s">
        <v>29</v>
      </c>
      <c r="M327" s="37">
        <v>2680.49</v>
      </c>
      <c r="N327" s="38">
        <f t="shared" si="42"/>
        <v>91136.659999999989</v>
      </c>
      <c r="O327" s="39">
        <f t="shared" si="43"/>
        <v>2654.5744444444445</v>
      </c>
      <c r="P327" s="40">
        <f t="shared" si="44"/>
        <v>-0.13088517640618136</v>
      </c>
      <c r="Q327" s="39">
        <f t="shared" si="45"/>
        <v>90137.4</v>
      </c>
      <c r="R327" s="41"/>
      <c r="T327" s="42">
        <f t="shared" si="46"/>
        <v>-8</v>
      </c>
      <c r="U327" s="42">
        <f t="shared" si="47"/>
        <v>7</v>
      </c>
      <c r="V327" s="42">
        <f t="shared" si="48"/>
        <v>1</v>
      </c>
    </row>
    <row r="328" spans="1:22" s="28" customFormat="1" ht="73.5" customHeight="1" x14ac:dyDescent="0.2">
      <c r="A328" s="30">
        <v>317</v>
      </c>
      <c r="B328" s="31" t="s">
        <v>450</v>
      </c>
      <c r="C328" s="32" t="s">
        <v>25</v>
      </c>
      <c r="D328" s="33" t="s">
        <v>451</v>
      </c>
      <c r="E328" s="35">
        <v>3640.5</v>
      </c>
      <c r="F328" s="32" t="s">
        <v>27</v>
      </c>
      <c r="G328" s="37">
        <f>4199.67/1.2</f>
        <v>3499.7250000000004</v>
      </c>
      <c r="H328" s="38">
        <f t="shared" si="50"/>
        <v>34997.25</v>
      </c>
      <c r="I328" s="38" t="s">
        <v>28</v>
      </c>
      <c r="J328" s="37">
        <v>3754.2</v>
      </c>
      <c r="K328" s="38">
        <f t="shared" si="41"/>
        <v>37542</v>
      </c>
      <c r="L328" s="33" t="s">
        <v>29</v>
      </c>
      <c r="M328" s="37">
        <v>3674.62</v>
      </c>
      <c r="N328" s="38">
        <f t="shared" si="42"/>
        <v>36746.199999999997</v>
      </c>
      <c r="O328" s="39">
        <f t="shared" si="43"/>
        <v>3642.8483333333334</v>
      </c>
      <c r="P328" s="40">
        <f t="shared" si="44"/>
        <v>-6.4464208181419735E-2</v>
      </c>
      <c r="Q328" s="39">
        <f t="shared" si="45"/>
        <v>36405</v>
      </c>
      <c r="R328" s="41"/>
      <c r="T328" s="42">
        <f t="shared" si="46"/>
        <v>-4</v>
      </c>
      <c r="U328" s="42">
        <f t="shared" si="47"/>
        <v>3</v>
      </c>
      <c r="V328" s="42">
        <f t="shared" si="48"/>
        <v>1</v>
      </c>
    </row>
    <row r="329" spans="1:22" s="28" customFormat="1" ht="73.5" customHeight="1" x14ac:dyDescent="0.2">
      <c r="A329" s="30">
        <v>318</v>
      </c>
      <c r="B329" s="31" t="s">
        <v>452</v>
      </c>
      <c r="C329" s="32" t="s">
        <v>25</v>
      </c>
      <c r="D329" s="33">
        <v>266</v>
      </c>
      <c r="E329" s="35">
        <v>591.6</v>
      </c>
      <c r="F329" s="32" t="s">
        <v>56</v>
      </c>
      <c r="G329" s="37">
        <v>589.70000000000005</v>
      </c>
      <c r="H329" s="38">
        <f t="shared" si="50"/>
        <v>156860.20000000001</v>
      </c>
      <c r="I329" s="32" t="s">
        <v>57</v>
      </c>
      <c r="J329" s="37">
        <v>578.64</v>
      </c>
      <c r="K329" s="38">
        <f t="shared" si="41"/>
        <v>153918.24</v>
      </c>
      <c r="L329" s="38" t="s">
        <v>68</v>
      </c>
      <c r="M329" s="37">
        <v>610.24</v>
      </c>
      <c r="N329" s="38">
        <f t="shared" si="42"/>
        <v>162323.84</v>
      </c>
      <c r="O329" s="39">
        <f t="shared" si="43"/>
        <v>592.86</v>
      </c>
      <c r="P329" s="40">
        <f t="shared" si="44"/>
        <v>-0.21252909624531924</v>
      </c>
      <c r="Q329" s="39">
        <f t="shared" si="45"/>
        <v>157365.6</v>
      </c>
      <c r="R329" s="41"/>
      <c r="T329" s="42">
        <f t="shared" si="46"/>
        <v>-1</v>
      </c>
      <c r="U329" s="42">
        <f t="shared" si="47"/>
        <v>-2</v>
      </c>
      <c r="V329" s="42">
        <f t="shared" si="48"/>
        <v>3</v>
      </c>
    </row>
    <row r="330" spans="1:22" s="28" customFormat="1" ht="73.5" customHeight="1" x14ac:dyDescent="0.2">
      <c r="A330" s="30">
        <v>319</v>
      </c>
      <c r="B330" s="31" t="s">
        <v>453</v>
      </c>
      <c r="C330" s="32" t="s">
        <v>25</v>
      </c>
      <c r="D330" s="33">
        <v>654</v>
      </c>
      <c r="E330" s="62">
        <v>595.79999999999995</v>
      </c>
      <c r="F330" s="32" t="s">
        <v>56</v>
      </c>
      <c r="G330" s="37">
        <v>630.12</v>
      </c>
      <c r="H330" s="38">
        <f t="shared" si="50"/>
        <v>412098.48</v>
      </c>
      <c r="I330" s="32" t="s">
        <v>57</v>
      </c>
      <c r="J330" s="37">
        <v>562.09</v>
      </c>
      <c r="K330" s="38">
        <f t="shared" si="41"/>
        <v>367606.86000000004</v>
      </c>
      <c r="L330" s="38" t="s">
        <v>68</v>
      </c>
      <c r="M330" s="37">
        <v>599.4</v>
      </c>
      <c r="N330" s="38">
        <f t="shared" si="42"/>
        <v>392007.6</v>
      </c>
      <c r="O330" s="39">
        <f t="shared" si="43"/>
        <v>597.20333333333338</v>
      </c>
      <c r="P330" s="40">
        <f t="shared" si="44"/>
        <v>-0.23498417624372792</v>
      </c>
      <c r="Q330" s="39">
        <f t="shared" si="45"/>
        <v>389653.19999999995</v>
      </c>
      <c r="R330" s="64" t="s">
        <v>478</v>
      </c>
      <c r="T330" s="42">
        <f t="shared" si="46"/>
        <v>6</v>
      </c>
      <c r="U330" s="42">
        <f t="shared" si="47"/>
        <v>-6</v>
      </c>
      <c r="V330" s="42">
        <f t="shared" si="48"/>
        <v>0</v>
      </c>
    </row>
    <row r="331" spans="1:22" s="28" customFormat="1" ht="73.5" customHeight="1" x14ac:dyDescent="0.2">
      <c r="A331" s="30">
        <v>320</v>
      </c>
      <c r="B331" s="31" t="s">
        <v>454</v>
      </c>
      <c r="C331" s="32" t="s">
        <v>25</v>
      </c>
      <c r="D331" s="33">
        <v>20</v>
      </c>
      <c r="E331" s="35">
        <v>2045.3</v>
      </c>
      <c r="F331" s="32" t="s">
        <v>27</v>
      </c>
      <c r="G331" s="37">
        <f>2395.66/1.2</f>
        <v>1996.3833333333332</v>
      </c>
      <c r="H331" s="38">
        <f t="shared" si="50"/>
        <v>39927.666666666664</v>
      </c>
      <c r="I331" s="38" t="s">
        <v>28</v>
      </c>
      <c r="J331" s="37">
        <v>2100.3000000000002</v>
      </c>
      <c r="K331" s="38">
        <f t="shared" si="41"/>
        <v>42006</v>
      </c>
      <c r="L331" s="33" t="s">
        <v>29</v>
      </c>
      <c r="M331" s="37">
        <v>2050.88</v>
      </c>
      <c r="N331" s="38">
        <f t="shared" si="42"/>
        <v>41017.600000000006</v>
      </c>
      <c r="O331" s="39">
        <f t="shared" si="43"/>
        <v>2049.1877777777777</v>
      </c>
      <c r="P331" s="40">
        <f t="shared" si="44"/>
        <v>-0.18972286580753916</v>
      </c>
      <c r="Q331" s="39">
        <f t="shared" si="45"/>
        <v>40906</v>
      </c>
      <c r="R331" s="41"/>
      <c r="T331" s="42">
        <f t="shared" si="46"/>
        <v>-3</v>
      </c>
      <c r="U331" s="42">
        <f t="shared" si="47"/>
        <v>2</v>
      </c>
      <c r="V331" s="42">
        <f t="shared" si="48"/>
        <v>0</v>
      </c>
    </row>
    <row r="332" spans="1:22" s="28" customFormat="1" ht="32.25" customHeight="1" x14ac:dyDescent="0.2">
      <c r="A332" s="30"/>
      <c r="B332" s="178" t="s">
        <v>455</v>
      </c>
      <c r="C332" s="178"/>
      <c r="D332" s="178"/>
      <c r="E332" s="178"/>
      <c r="F332" s="178"/>
      <c r="G332" s="178"/>
      <c r="H332" s="178"/>
      <c r="I332" s="178"/>
      <c r="J332" s="178"/>
      <c r="K332" s="178"/>
      <c r="L332" s="178"/>
      <c r="M332" s="178"/>
      <c r="N332" s="178"/>
      <c r="O332" s="178"/>
      <c r="P332" s="178"/>
      <c r="Q332" s="178"/>
      <c r="R332" s="178"/>
      <c r="T332" s="42"/>
      <c r="U332" s="42"/>
      <c r="V332" s="42"/>
    </row>
    <row r="333" spans="1:22" s="28" customFormat="1" ht="73.5" customHeight="1" x14ac:dyDescent="0.2">
      <c r="A333" s="30">
        <v>321</v>
      </c>
      <c r="B333" s="31" t="s">
        <v>456</v>
      </c>
      <c r="C333" s="32" t="s">
        <v>25</v>
      </c>
      <c r="D333" s="33">
        <v>8</v>
      </c>
      <c r="E333" s="35">
        <v>87042.7</v>
      </c>
      <c r="F333" s="32" t="s">
        <v>56</v>
      </c>
      <c r="G333" s="37">
        <v>85925.72</v>
      </c>
      <c r="H333" s="38">
        <f>D333*G333</f>
        <v>687405.76</v>
      </c>
      <c r="I333" s="32" t="s">
        <v>57</v>
      </c>
      <c r="J333" s="37">
        <v>88479.67</v>
      </c>
      <c r="K333" s="38">
        <f>D333*J333</f>
        <v>707837.36</v>
      </c>
      <c r="L333" s="32" t="s">
        <v>457</v>
      </c>
      <c r="M333" s="37">
        <f>87011.83</f>
        <v>87011.83</v>
      </c>
      <c r="N333" s="38">
        <f>D333*M333</f>
        <v>696094.64</v>
      </c>
      <c r="O333" s="39">
        <f>AVERAGE(G333,J333,M333)</f>
        <v>87139.073333333348</v>
      </c>
      <c r="P333" s="40">
        <f>E333*100/O333-100</f>
        <v>-0.11059715193974284</v>
      </c>
      <c r="Q333" s="39">
        <f>D333*E333</f>
        <v>696341.6</v>
      </c>
      <c r="R333" s="31"/>
      <c r="T333" s="42">
        <f>ROUND(G333*100/O333-100,0)</f>
        <v>-1</v>
      </c>
      <c r="U333" s="42">
        <f>ROUND(J333*100/O333-100,0)</f>
        <v>2</v>
      </c>
      <c r="V333" s="42">
        <f>ROUND(M333*100/O333-100,0)</f>
        <v>0</v>
      </c>
    </row>
    <row r="334" spans="1:22" s="28" customFormat="1" ht="25.5" customHeight="1" x14ac:dyDescent="0.2">
      <c r="A334" s="189" t="s">
        <v>458</v>
      </c>
      <c r="B334" s="189"/>
      <c r="C334" s="189"/>
      <c r="D334" s="189"/>
      <c r="E334" s="189"/>
      <c r="F334" s="189"/>
      <c r="G334" s="189"/>
      <c r="H334" s="189"/>
      <c r="I334" s="189"/>
      <c r="J334" s="189"/>
      <c r="K334" s="189"/>
      <c r="L334" s="189"/>
      <c r="M334" s="189"/>
      <c r="N334" s="189"/>
      <c r="O334" s="39">
        <f>SUM(O11:O333)</f>
        <v>6362739.1378863286</v>
      </c>
      <c r="P334" s="40"/>
      <c r="Q334" s="39">
        <f>SUM(Q11:Q333)</f>
        <v>44776742.847400025</v>
      </c>
      <c r="R334" s="31"/>
    </row>
    <row r="335" spans="1:22" s="10" customFormat="1" ht="33" customHeight="1" x14ac:dyDescent="0.25">
      <c r="A335" s="58"/>
      <c r="B335" s="190"/>
      <c r="C335" s="190"/>
      <c r="D335" s="190"/>
      <c r="E335" s="190"/>
      <c r="F335" s="190"/>
      <c r="G335" s="190"/>
      <c r="H335" s="190"/>
      <c r="I335" s="59"/>
      <c r="J335" s="60"/>
      <c r="K335" s="58"/>
      <c r="L335" s="58"/>
      <c r="M335" s="60"/>
      <c r="N335" s="58"/>
      <c r="O335" s="58"/>
      <c r="P335" s="58"/>
      <c r="Q335" s="58"/>
      <c r="R335" s="58"/>
    </row>
    <row r="336" spans="1:22" ht="15.75" x14ac:dyDescent="0.25">
      <c r="I336" s="59"/>
    </row>
    <row r="337" spans="2:16" ht="15.75" x14ac:dyDescent="0.25">
      <c r="I337" s="59"/>
    </row>
    <row r="339" spans="2:16" ht="124.5" customHeight="1" x14ac:dyDescent="0.25">
      <c r="B339" s="191" t="s">
        <v>459</v>
      </c>
      <c r="C339" s="191"/>
      <c r="D339" s="191"/>
      <c r="E339" s="191"/>
      <c r="F339" s="191"/>
      <c r="G339" s="191"/>
      <c r="H339" s="191"/>
      <c r="I339" s="191"/>
      <c r="J339" s="191"/>
      <c r="K339" s="191"/>
      <c r="L339" s="191"/>
      <c r="M339" s="191"/>
      <c r="N339" s="191"/>
      <c r="O339" s="191"/>
      <c r="P339" s="191"/>
    </row>
    <row r="341" spans="2:16" ht="32.25" customHeight="1" x14ac:dyDescent="0.25">
      <c r="B341" s="191" t="s">
        <v>460</v>
      </c>
      <c r="C341" s="191"/>
      <c r="D341" s="191"/>
      <c r="E341" s="191"/>
      <c r="F341" s="191"/>
      <c r="G341" s="191"/>
      <c r="H341" s="191"/>
      <c r="I341" s="191"/>
      <c r="J341" s="191"/>
      <c r="K341" s="191"/>
      <c r="L341" s="191"/>
      <c r="M341" s="191"/>
      <c r="N341" s="191"/>
      <c r="O341" s="191"/>
      <c r="P341" s="191"/>
    </row>
    <row r="349" spans="2:16" x14ac:dyDescent="0.2">
      <c r="F349" s="36"/>
      <c r="G349" s="37"/>
    </row>
  </sheetData>
  <autoFilter ref="A10:R334"/>
  <mergeCells count="23">
    <mergeCell ref="B339:P339"/>
    <mergeCell ref="B341:P341"/>
    <mergeCell ref="T7:V8"/>
    <mergeCell ref="A11:R11"/>
    <mergeCell ref="B332:R332"/>
    <mergeCell ref="A334:N334"/>
    <mergeCell ref="B335:H335"/>
    <mergeCell ref="O1:R1"/>
    <mergeCell ref="O2:R2"/>
    <mergeCell ref="A3:O3"/>
    <mergeCell ref="A5:P5"/>
    <mergeCell ref="A7:A9"/>
    <mergeCell ref="B7:B9"/>
    <mergeCell ref="C7:C9"/>
    <mergeCell ref="D7:D9"/>
    <mergeCell ref="E7:E9"/>
    <mergeCell ref="F7:H8"/>
    <mergeCell ref="I7:K8"/>
    <mergeCell ref="L7:N8"/>
    <mergeCell ref="O7:O9"/>
    <mergeCell ref="P7:P9"/>
    <mergeCell ref="Q7:Q9"/>
    <mergeCell ref="R7:R9"/>
  </mergeCells>
  <conditionalFormatting sqref="P333">
    <cfRule type="cellIs" dxfId="14" priority="2" operator="greaterThan">
      <formula>0</formula>
    </cfRule>
  </conditionalFormatting>
  <conditionalFormatting sqref="T11:V333">
    <cfRule type="expression" dxfId="13" priority="3">
      <formula>AND(T11&lt;-20,T11&lt;0)</formula>
    </cfRule>
    <cfRule type="expression" dxfId="12" priority="4">
      <formula>AND(T11&gt;20,T11&gt;0)</formula>
    </cfRule>
  </conditionalFormatting>
  <conditionalFormatting sqref="P12:P331">
    <cfRule type="cellIs" dxfId="11" priority="5" operator="greaterThan">
      <formula>0</formula>
    </cfRule>
  </conditionalFormatting>
  <pageMargins left="0.25" right="0.25" top="0.75" bottom="0.75" header="0.511811023622047" footer="0.511811023622047"/>
  <pageSetup paperSize="9" scale="35"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49"/>
  <sheetViews>
    <sheetView topLeftCell="A7" zoomScale="65" zoomScaleNormal="65" workbookViewId="0">
      <pane ySplit="4" topLeftCell="A53" activePane="bottomLeft" state="frozen"/>
      <selection activeCell="A7" sqref="A7"/>
      <selection pane="bottomLeft" activeCell="D60" activeCellId="1" sqref="J50:J51 D60"/>
    </sheetView>
  </sheetViews>
  <sheetFormatPr defaultColWidth="9.140625" defaultRowHeight="14.25" outlineLevelCol="1" x14ac:dyDescent="0.2"/>
  <cols>
    <col min="1" max="1" width="6.7109375" style="1" customWidth="1"/>
    <col min="2" max="2" width="39.7109375" style="2" customWidth="1"/>
    <col min="3" max="3" width="14.28515625" style="2" customWidth="1"/>
    <col min="4" max="4" width="15.140625" style="2" customWidth="1"/>
    <col min="5" max="5" width="16" style="1" customWidth="1"/>
    <col min="6" max="6" width="21" style="1" customWidth="1"/>
    <col min="7" max="7" width="17.5703125" style="4" customWidth="1"/>
    <col min="8" max="8" width="17.42578125" style="1" customWidth="1"/>
    <col min="9" max="9" width="19.85546875" style="1" customWidth="1"/>
    <col min="10" max="10" width="16.28515625" style="4" customWidth="1"/>
    <col min="11" max="11" width="17.85546875" style="1" customWidth="1"/>
    <col min="12" max="12" width="20.140625" style="1" customWidth="1"/>
    <col min="13" max="13" width="17.28515625" style="4" customWidth="1"/>
    <col min="14" max="14" width="19.7109375" style="1" customWidth="1"/>
    <col min="15" max="15" width="23.42578125" style="1" customWidth="1"/>
    <col min="16" max="16" width="21.42578125" style="1" customWidth="1"/>
    <col min="17" max="17" width="21.85546875" style="1" customWidth="1"/>
    <col min="18" max="18" width="26" style="1" customWidth="1"/>
    <col min="19" max="19" width="9.140625" style="1"/>
    <col min="20" max="22" width="13" style="1" customWidth="1" outlineLevel="1"/>
    <col min="23" max="16384" width="9.140625" style="1"/>
  </cols>
  <sheetData>
    <row r="1" spans="1:35" x14ac:dyDescent="0.2">
      <c r="O1" s="179" t="s">
        <v>0</v>
      </c>
      <c r="P1" s="179"/>
      <c r="Q1" s="179"/>
      <c r="R1" s="179"/>
    </row>
    <row r="2" spans="1:35" ht="32.25" customHeight="1" x14ac:dyDescent="0.2">
      <c r="O2" s="180" t="s">
        <v>1</v>
      </c>
      <c r="P2" s="180"/>
      <c r="Q2" s="180"/>
      <c r="R2" s="180"/>
    </row>
    <row r="3" spans="1:35" ht="25.5" customHeight="1" x14ac:dyDescent="0.2">
      <c r="A3" s="181" t="s">
        <v>2</v>
      </c>
      <c r="B3" s="181"/>
      <c r="C3" s="181"/>
      <c r="D3" s="181"/>
      <c r="E3" s="181"/>
      <c r="F3" s="181"/>
      <c r="G3" s="181"/>
      <c r="H3" s="181"/>
      <c r="I3" s="181"/>
      <c r="J3" s="181"/>
      <c r="K3" s="181"/>
      <c r="L3" s="181"/>
      <c r="M3" s="181"/>
      <c r="N3" s="181"/>
      <c r="O3" s="181"/>
      <c r="P3" s="5"/>
      <c r="Q3" s="5"/>
    </row>
    <row r="4" spans="1:35" ht="17.25" customHeight="1" x14ac:dyDescent="0.2">
      <c r="A4" s="6"/>
      <c r="B4" s="7"/>
      <c r="C4" s="7"/>
      <c r="D4" s="7"/>
      <c r="E4" s="6"/>
      <c r="F4" s="6"/>
      <c r="G4" s="9"/>
      <c r="H4" s="6"/>
      <c r="I4" s="6"/>
      <c r="J4" s="9"/>
      <c r="K4" s="6"/>
      <c r="L4" s="6"/>
      <c r="M4" s="9"/>
      <c r="N4" s="6"/>
    </row>
    <row r="5" spans="1:35" s="10" customFormat="1" ht="28.5" customHeight="1" x14ac:dyDescent="0.2">
      <c r="A5" s="182" t="s">
        <v>3</v>
      </c>
      <c r="B5" s="182"/>
      <c r="C5" s="182"/>
      <c r="D5" s="182"/>
      <c r="E5" s="182"/>
      <c r="F5" s="182"/>
      <c r="G5" s="182"/>
      <c r="H5" s="182"/>
      <c r="I5" s="182"/>
      <c r="J5" s="182"/>
      <c r="K5" s="182"/>
      <c r="L5" s="182"/>
      <c r="M5" s="182"/>
      <c r="N5" s="182"/>
      <c r="O5" s="182"/>
      <c r="P5" s="182"/>
    </row>
    <row r="6" spans="1:35" s="10" customFormat="1" x14ac:dyDescent="0.2">
      <c r="B6" s="11"/>
      <c r="C6" s="11"/>
      <c r="D6" s="11"/>
      <c r="G6" s="13"/>
      <c r="J6" s="13"/>
      <c r="M6" s="13"/>
    </row>
    <row r="7" spans="1:35" s="10" customFormat="1" ht="27" customHeight="1" x14ac:dyDescent="0.2">
      <c r="A7" s="183" t="s">
        <v>4</v>
      </c>
      <c r="B7" s="184" t="s">
        <v>5</v>
      </c>
      <c r="C7" s="185" t="s">
        <v>6</v>
      </c>
      <c r="D7" s="185" t="s">
        <v>7</v>
      </c>
      <c r="E7" s="187" t="s">
        <v>9</v>
      </c>
      <c r="F7" s="188" t="s">
        <v>10</v>
      </c>
      <c r="G7" s="188"/>
      <c r="H7" s="188"/>
      <c r="I7" s="188" t="s">
        <v>11</v>
      </c>
      <c r="J7" s="188"/>
      <c r="K7" s="188"/>
      <c r="L7" s="192" t="s">
        <v>12</v>
      </c>
      <c r="M7" s="192"/>
      <c r="N7" s="192"/>
      <c r="O7" s="193" t="s">
        <v>13</v>
      </c>
      <c r="P7" s="194" t="s">
        <v>14</v>
      </c>
      <c r="Q7" s="193" t="s">
        <v>15</v>
      </c>
      <c r="R7" s="185" t="s">
        <v>16</v>
      </c>
      <c r="T7" s="175" t="s">
        <v>17</v>
      </c>
      <c r="U7" s="175"/>
      <c r="V7" s="175"/>
    </row>
    <row r="8" spans="1:35" s="10" customFormat="1" ht="30.75" customHeight="1" x14ac:dyDescent="0.2">
      <c r="A8" s="183"/>
      <c r="B8" s="183"/>
      <c r="C8" s="183"/>
      <c r="D8" s="183"/>
      <c r="E8" s="187"/>
      <c r="F8" s="188"/>
      <c r="G8" s="188"/>
      <c r="H8" s="188"/>
      <c r="I8" s="188"/>
      <c r="J8" s="188"/>
      <c r="K8" s="188"/>
      <c r="L8" s="192"/>
      <c r="M8" s="192"/>
      <c r="N8" s="192"/>
      <c r="O8" s="193"/>
      <c r="P8" s="194"/>
      <c r="Q8" s="193"/>
      <c r="R8" s="185"/>
      <c r="T8" s="175"/>
      <c r="U8" s="175"/>
      <c r="V8" s="175"/>
    </row>
    <row r="9" spans="1:35" s="18" customFormat="1" ht="132.75" customHeight="1" x14ac:dyDescent="0.2">
      <c r="A9" s="183"/>
      <c r="B9" s="183"/>
      <c r="C9" s="185"/>
      <c r="D9" s="185"/>
      <c r="E9" s="187"/>
      <c r="F9" s="14" t="s">
        <v>18</v>
      </c>
      <c r="G9" s="15" t="s">
        <v>19</v>
      </c>
      <c r="H9" s="16" t="s">
        <v>20</v>
      </c>
      <c r="I9" s="14" t="s">
        <v>18</v>
      </c>
      <c r="J9" s="15" t="s">
        <v>19</v>
      </c>
      <c r="K9" s="16" t="s">
        <v>20</v>
      </c>
      <c r="L9" s="14" t="s">
        <v>18</v>
      </c>
      <c r="M9" s="15" t="s">
        <v>21</v>
      </c>
      <c r="N9" s="16" t="s">
        <v>22</v>
      </c>
      <c r="O9" s="193"/>
      <c r="P9" s="194"/>
      <c r="Q9" s="193"/>
      <c r="R9" s="185"/>
      <c r="S9" s="10"/>
      <c r="T9" s="17" t="s">
        <v>10</v>
      </c>
      <c r="U9" s="17" t="s">
        <v>11</v>
      </c>
      <c r="V9" s="17" t="s">
        <v>12</v>
      </c>
      <c r="W9" s="10"/>
      <c r="X9" s="10"/>
      <c r="Y9" s="10"/>
      <c r="Z9" s="10"/>
      <c r="AA9" s="10"/>
      <c r="AB9" s="10"/>
      <c r="AC9" s="10"/>
      <c r="AD9" s="10"/>
      <c r="AE9" s="10"/>
      <c r="AF9" s="10"/>
      <c r="AG9" s="10"/>
      <c r="AH9" s="10"/>
      <c r="AI9" s="10"/>
    </row>
    <row r="10" spans="1:35" s="26" customFormat="1" ht="14.25" customHeight="1" x14ac:dyDescent="0.25">
      <c r="A10" s="19">
        <v>1</v>
      </c>
      <c r="B10" s="20">
        <v>2</v>
      </c>
      <c r="C10" s="21">
        <v>3</v>
      </c>
      <c r="D10" s="21">
        <v>4</v>
      </c>
      <c r="E10" s="21"/>
      <c r="F10" s="23">
        <v>5</v>
      </c>
      <c r="G10" s="24">
        <v>6</v>
      </c>
      <c r="H10" s="20">
        <v>7</v>
      </c>
      <c r="I10" s="23">
        <v>8</v>
      </c>
      <c r="J10" s="25">
        <v>9</v>
      </c>
      <c r="K10" s="20">
        <v>10</v>
      </c>
      <c r="L10" s="23">
        <v>11</v>
      </c>
      <c r="M10" s="25">
        <v>12</v>
      </c>
      <c r="N10" s="20">
        <v>12</v>
      </c>
      <c r="O10" s="23">
        <v>15</v>
      </c>
      <c r="P10" s="23">
        <v>16</v>
      </c>
      <c r="Q10" s="23">
        <v>17</v>
      </c>
      <c r="R10" s="23">
        <v>18</v>
      </c>
      <c r="T10" s="27"/>
      <c r="U10" s="27"/>
      <c r="V10" s="27"/>
    </row>
    <row r="11" spans="1:35" s="28" customFormat="1" ht="35.25" customHeight="1" x14ac:dyDescent="0.2">
      <c r="A11" s="176" t="s">
        <v>23</v>
      </c>
      <c r="B11" s="176"/>
      <c r="C11" s="176"/>
      <c r="D11" s="176"/>
      <c r="E11" s="176"/>
      <c r="F11" s="176"/>
      <c r="G11" s="176"/>
      <c r="H11" s="176"/>
      <c r="I11" s="176"/>
      <c r="J11" s="176"/>
      <c r="K11" s="176"/>
      <c r="L11" s="176"/>
      <c r="M11" s="176"/>
      <c r="N11" s="176"/>
      <c r="O11" s="176"/>
      <c r="P11" s="176"/>
      <c r="Q11" s="176"/>
      <c r="R11" s="176"/>
      <c r="T11" s="29"/>
      <c r="U11" s="29"/>
      <c r="V11" s="29"/>
    </row>
    <row r="12" spans="1:35" s="28" customFormat="1" ht="73.5" customHeight="1" x14ac:dyDescent="0.2">
      <c r="A12" s="30">
        <v>1</v>
      </c>
      <c r="B12" s="31" t="s">
        <v>24</v>
      </c>
      <c r="C12" s="32" t="s">
        <v>25</v>
      </c>
      <c r="D12" s="33">
        <v>12</v>
      </c>
      <c r="E12" s="35">
        <v>211.5</v>
      </c>
      <c r="F12" s="32" t="s">
        <v>27</v>
      </c>
      <c r="G12" s="37">
        <f>241.6/1.2</f>
        <v>201.33333333333334</v>
      </c>
      <c r="H12" s="38">
        <f t="shared" ref="H12:H43" si="0">D12*G12</f>
        <v>2416</v>
      </c>
      <c r="I12" s="38" t="s">
        <v>28</v>
      </c>
      <c r="J12" s="37">
        <f>264.54/1.2</f>
        <v>220.45000000000002</v>
      </c>
      <c r="K12" s="38">
        <f t="shared" ref="K12:K75" si="1">D12*J12</f>
        <v>2645.4</v>
      </c>
      <c r="L12" s="32" t="s">
        <v>29</v>
      </c>
      <c r="M12" s="37">
        <v>214.67</v>
      </c>
      <c r="N12" s="38">
        <f t="shared" ref="N12:N75" si="2">D12*M12</f>
        <v>2576.04</v>
      </c>
      <c r="O12" s="39">
        <f t="shared" ref="O12:O75" si="3">AVERAGE(G12,J12,M12)</f>
        <v>212.15111111111113</v>
      </c>
      <c r="P12" s="40">
        <f t="shared" ref="P12:P75" si="4">E12*100/O12-100</f>
        <v>-0.30690912138099691</v>
      </c>
      <c r="Q12" s="39">
        <f t="shared" ref="Q12:Q75" si="5">D12*E12</f>
        <v>2538</v>
      </c>
      <c r="R12" s="41"/>
      <c r="T12" s="42">
        <f t="shared" ref="T12:T75" si="6">ROUND(G12*100/O12-100,0)</f>
        <v>-5</v>
      </c>
      <c r="U12" s="42">
        <f t="shared" ref="U12:U75" si="7">ROUND(J12*100/O12-100,0)</f>
        <v>4</v>
      </c>
      <c r="V12" s="42">
        <f t="shared" ref="V12:V75" si="8">ROUND(M12*100/O12-100,0)</f>
        <v>1</v>
      </c>
    </row>
    <row r="13" spans="1:35" s="28" customFormat="1" ht="73.5" customHeight="1" x14ac:dyDescent="0.2">
      <c r="A13" s="30">
        <v>2</v>
      </c>
      <c r="B13" s="31" t="s">
        <v>30</v>
      </c>
      <c r="C13" s="32" t="s">
        <v>25</v>
      </c>
      <c r="D13" s="33">
        <v>1</v>
      </c>
      <c r="E13" s="35">
        <v>77750.45</v>
      </c>
      <c r="F13" s="32" t="s">
        <v>31</v>
      </c>
      <c r="G13" s="37">
        <f>89307.79/1.2</f>
        <v>74423.158333333326</v>
      </c>
      <c r="H13" s="38">
        <f t="shared" si="0"/>
        <v>74423.158333333326</v>
      </c>
      <c r="I13" s="32" t="s">
        <v>32</v>
      </c>
      <c r="J13" s="37">
        <f>107832.34/1.2</f>
        <v>89860.28333333334</v>
      </c>
      <c r="K13" s="38">
        <f t="shared" si="1"/>
        <v>89860.28333333334</v>
      </c>
      <c r="L13" s="32" t="s">
        <v>33</v>
      </c>
      <c r="M13" s="37">
        <f>82801.69/1.2</f>
        <v>69001.40833333334</v>
      </c>
      <c r="N13" s="38">
        <f t="shared" si="2"/>
        <v>69001.40833333334</v>
      </c>
      <c r="O13" s="39">
        <f t="shared" si="3"/>
        <v>77761.616666666654</v>
      </c>
      <c r="P13" s="40">
        <f t="shared" si="4"/>
        <v>-1.4360126686312924E-2</v>
      </c>
      <c r="Q13" s="39">
        <f t="shared" si="5"/>
        <v>77750.45</v>
      </c>
      <c r="R13" s="41"/>
      <c r="T13" s="42">
        <f t="shared" si="6"/>
        <v>-4</v>
      </c>
      <c r="U13" s="42">
        <f t="shared" si="7"/>
        <v>16</v>
      </c>
      <c r="V13" s="42">
        <f t="shared" si="8"/>
        <v>-11</v>
      </c>
    </row>
    <row r="14" spans="1:35" s="28" customFormat="1" ht="73.5" customHeight="1" x14ac:dyDescent="0.2">
      <c r="A14" s="30">
        <v>3</v>
      </c>
      <c r="B14" s="31" t="s">
        <v>34</v>
      </c>
      <c r="C14" s="32" t="s">
        <v>25</v>
      </c>
      <c r="D14" s="33">
        <v>1</v>
      </c>
      <c r="E14" s="35">
        <v>84551</v>
      </c>
      <c r="F14" s="32" t="s">
        <v>31</v>
      </c>
      <c r="G14" s="37">
        <f>99534.53/1.2</f>
        <v>82945.441666666666</v>
      </c>
      <c r="H14" s="38">
        <f t="shared" si="0"/>
        <v>82945.441666666666</v>
      </c>
      <c r="I14" s="32" t="s">
        <v>32</v>
      </c>
      <c r="J14" s="37">
        <f>115890.88/1.2</f>
        <v>96575.733333333337</v>
      </c>
      <c r="K14" s="38">
        <f t="shared" si="1"/>
        <v>96575.733333333337</v>
      </c>
      <c r="L14" s="32" t="s">
        <v>33</v>
      </c>
      <c r="M14" s="37">
        <f>88990.14/1.2</f>
        <v>74158.45</v>
      </c>
      <c r="N14" s="38">
        <f t="shared" si="2"/>
        <v>74158.45</v>
      </c>
      <c r="O14" s="39">
        <f t="shared" si="3"/>
        <v>84559.875</v>
      </c>
      <c r="P14" s="40">
        <f t="shared" si="4"/>
        <v>-1.0495521664381613E-2</v>
      </c>
      <c r="Q14" s="39">
        <f t="shared" si="5"/>
        <v>84551</v>
      </c>
      <c r="R14" s="41"/>
      <c r="T14" s="42">
        <f t="shared" si="6"/>
        <v>-2</v>
      </c>
      <c r="U14" s="42">
        <f t="shared" si="7"/>
        <v>14</v>
      </c>
      <c r="V14" s="42">
        <f t="shared" si="8"/>
        <v>-12</v>
      </c>
    </row>
    <row r="15" spans="1:35" s="28" customFormat="1" ht="73.5" customHeight="1" x14ac:dyDescent="0.2">
      <c r="A15" s="30">
        <v>4</v>
      </c>
      <c r="B15" s="31" t="s">
        <v>35</v>
      </c>
      <c r="C15" s="32" t="s">
        <v>25</v>
      </c>
      <c r="D15" s="33">
        <v>1</v>
      </c>
      <c r="E15" s="35">
        <v>155.25</v>
      </c>
      <c r="F15" s="32" t="s">
        <v>27</v>
      </c>
      <c r="G15" s="37">
        <f>177.86/1.2</f>
        <v>148.2166666666667</v>
      </c>
      <c r="H15" s="38">
        <f t="shared" si="0"/>
        <v>148.2166666666667</v>
      </c>
      <c r="I15" s="38" t="s">
        <v>28</v>
      </c>
      <c r="J15" s="37">
        <v>165.48</v>
      </c>
      <c r="K15" s="38">
        <f t="shared" si="1"/>
        <v>165.48</v>
      </c>
      <c r="L15" s="32" t="s">
        <v>29</v>
      </c>
      <c r="M15" s="37">
        <v>159.71</v>
      </c>
      <c r="N15" s="38">
        <f t="shared" si="2"/>
        <v>159.71</v>
      </c>
      <c r="O15" s="39">
        <f t="shared" si="3"/>
        <v>157.80222222222224</v>
      </c>
      <c r="P15" s="40">
        <f t="shared" si="4"/>
        <v>-1.6173550576671403</v>
      </c>
      <c r="Q15" s="39">
        <f t="shared" si="5"/>
        <v>155.25</v>
      </c>
      <c r="R15" s="41"/>
      <c r="T15" s="42">
        <f t="shared" si="6"/>
        <v>-6</v>
      </c>
      <c r="U15" s="42">
        <f t="shared" si="7"/>
        <v>5</v>
      </c>
      <c r="V15" s="42">
        <f t="shared" si="8"/>
        <v>1</v>
      </c>
    </row>
    <row r="16" spans="1:35" s="28" customFormat="1" ht="73.5" customHeight="1" x14ac:dyDescent="0.2">
      <c r="A16" s="30">
        <v>5</v>
      </c>
      <c r="B16" s="31" t="s">
        <v>36</v>
      </c>
      <c r="C16" s="32" t="s">
        <v>25</v>
      </c>
      <c r="D16" s="33">
        <v>2</v>
      </c>
      <c r="E16" s="35">
        <v>1088.6500000000001</v>
      </c>
      <c r="F16" s="32" t="s">
        <v>27</v>
      </c>
      <c r="G16" s="37">
        <f>1302.94/1.2</f>
        <v>1085.7833333333335</v>
      </c>
      <c r="H16" s="38">
        <f t="shared" si="0"/>
        <v>2171.5666666666671</v>
      </c>
      <c r="I16" s="38" t="s">
        <v>28</v>
      </c>
      <c r="J16" s="37">
        <v>1070.69</v>
      </c>
      <c r="K16" s="38">
        <f t="shared" si="1"/>
        <v>2141.38</v>
      </c>
      <c r="L16" s="32" t="s">
        <v>29</v>
      </c>
      <c r="M16" s="37">
        <v>1115.47</v>
      </c>
      <c r="N16" s="38">
        <f t="shared" si="2"/>
        <v>2230.94</v>
      </c>
      <c r="O16" s="39">
        <f t="shared" si="3"/>
        <v>1090.6477777777779</v>
      </c>
      <c r="P16" s="40">
        <f t="shared" si="4"/>
        <v>-0.18317350646863417</v>
      </c>
      <c r="Q16" s="39">
        <f t="shared" si="5"/>
        <v>2177.3000000000002</v>
      </c>
      <c r="R16" s="41"/>
      <c r="T16" s="42">
        <f t="shared" si="6"/>
        <v>0</v>
      </c>
      <c r="U16" s="42">
        <f t="shared" si="7"/>
        <v>-2</v>
      </c>
      <c r="V16" s="42">
        <f t="shared" si="8"/>
        <v>2</v>
      </c>
    </row>
    <row r="17" spans="1:22" s="28" customFormat="1" ht="73.5" customHeight="1" x14ac:dyDescent="0.2">
      <c r="A17" s="30">
        <v>6</v>
      </c>
      <c r="B17" s="31" t="s">
        <v>37</v>
      </c>
      <c r="C17" s="32" t="s">
        <v>25</v>
      </c>
      <c r="D17" s="33">
        <v>12</v>
      </c>
      <c r="E17" s="35">
        <v>810.4</v>
      </c>
      <c r="F17" s="32" t="s">
        <v>27</v>
      </c>
      <c r="G17" s="37">
        <f>957.31/1.2</f>
        <v>797.75833333333333</v>
      </c>
      <c r="H17" s="38">
        <f t="shared" si="0"/>
        <v>9573.1</v>
      </c>
      <c r="I17" s="38" t="s">
        <v>28</v>
      </c>
      <c r="J17" s="37">
        <v>850.7</v>
      </c>
      <c r="K17" s="38">
        <f t="shared" si="1"/>
        <v>10208.400000000001</v>
      </c>
      <c r="L17" s="32" t="s">
        <v>29</v>
      </c>
      <c r="M17" s="37">
        <v>786.42</v>
      </c>
      <c r="N17" s="38">
        <f t="shared" si="2"/>
        <v>9437.0399999999991</v>
      </c>
      <c r="O17" s="39">
        <f t="shared" si="3"/>
        <v>811.62611111111119</v>
      </c>
      <c r="P17" s="40">
        <f t="shared" si="4"/>
        <v>-0.15106846543325503</v>
      </c>
      <c r="Q17" s="39">
        <f t="shared" si="5"/>
        <v>9724.7999999999993</v>
      </c>
      <c r="R17" s="41"/>
      <c r="T17" s="42">
        <f t="shared" si="6"/>
        <v>-2</v>
      </c>
      <c r="U17" s="42">
        <f t="shared" si="7"/>
        <v>5</v>
      </c>
      <c r="V17" s="42">
        <f t="shared" si="8"/>
        <v>-3</v>
      </c>
    </row>
    <row r="18" spans="1:22" s="28" customFormat="1" ht="73.5" customHeight="1" x14ac:dyDescent="0.2">
      <c r="A18" s="30">
        <v>7</v>
      </c>
      <c r="B18" s="31" t="s">
        <v>38</v>
      </c>
      <c r="C18" s="32" t="s">
        <v>25</v>
      </c>
      <c r="D18" s="33">
        <v>4</v>
      </c>
      <c r="E18" s="35">
        <v>4105.6000000000004</v>
      </c>
      <c r="F18" s="32" t="s">
        <v>39</v>
      </c>
      <c r="G18" s="37">
        <v>3911.74</v>
      </c>
      <c r="H18" s="38">
        <f t="shared" si="0"/>
        <v>15646.96</v>
      </c>
      <c r="I18" s="32" t="s">
        <v>40</v>
      </c>
      <c r="J18" s="37">
        <f>5150/1.2</f>
        <v>4291.666666666667</v>
      </c>
      <c r="K18" s="38">
        <f t="shared" si="1"/>
        <v>17166.666666666668</v>
      </c>
      <c r="L18" s="38" t="s">
        <v>41</v>
      </c>
      <c r="M18" s="37">
        <f>4944.77/1.2</f>
        <v>4120.6416666666673</v>
      </c>
      <c r="N18" s="38">
        <f t="shared" si="2"/>
        <v>16482.566666666669</v>
      </c>
      <c r="O18" s="39">
        <f t="shared" si="3"/>
        <v>4108.0161111111111</v>
      </c>
      <c r="P18" s="40">
        <f t="shared" si="4"/>
        <v>-5.8814548087468665E-2</v>
      </c>
      <c r="Q18" s="39">
        <f t="shared" si="5"/>
        <v>16422.400000000001</v>
      </c>
      <c r="R18" s="41"/>
      <c r="T18" s="42">
        <f t="shared" si="6"/>
        <v>-5</v>
      </c>
      <c r="U18" s="42">
        <f t="shared" si="7"/>
        <v>4</v>
      </c>
      <c r="V18" s="42">
        <f t="shared" si="8"/>
        <v>0</v>
      </c>
    </row>
    <row r="19" spans="1:22" s="28" customFormat="1" ht="73.5" customHeight="1" x14ac:dyDescent="0.2">
      <c r="A19" s="30">
        <v>8</v>
      </c>
      <c r="B19" s="31" t="s">
        <v>42</v>
      </c>
      <c r="C19" s="32" t="s">
        <v>25</v>
      </c>
      <c r="D19" s="33" t="s">
        <v>43</v>
      </c>
      <c r="E19" s="35">
        <v>5173.66</v>
      </c>
      <c r="F19" s="32" t="s">
        <v>27</v>
      </c>
      <c r="G19" s="37">
        <f>6183.86/1.2</f>
        <v>5153.2166666666662</v>
      </c>
      <c r="H19" s="38">
        <f t="shared" si="0"/>
        <v>288580.1333333333</v>
      </c>
      <c r="I19" s="38" t="s">
        <v>28</v>
      </c>
      <c r="J19" s="37">
        <v>5129.75</v>
      </c>
      <c r="K19" s="38">
        <f t="shared" si="1"/>
        <v>287266</v>
      </c>
      <c r="L19" s="32" t="s">
        <v>29</v>
      </c>
      <c r="M19" s="37">
        <v>5251.46</v>
      </c>
      <c r="N19" s="38">
        <f t="shared" si="2"/>
        <v>294081.76</v>
      </c>
      <c r="O19" s="39">
        <f t="shared" si="3"/>
        <v>5178.1422222222218</v>
      </c>
      <c r="P19" s="40">
        <f t="shared" si="4"/>
        <v>-8.6560430939613298E-2</v>
      </c>
      <c r="Q19" s="39">
        <f t="shared" si="5"/>
        <v>289724.95999999996</v>
      </c>
      <c r="R19" s="41"/>
      <c r="T19" s="42">
        <f t="shared" si="6"/>
        <v>0</v>
      </c>
      <c r="U19" s="42">
        <f t="shared" si="7"/>
        <v>-1</v>
      </c>
      <c r="V19" s="42">
        <f t="shared" si="8"/>
        <v>1</v>
      </c>
    </row>
    <row r="20" spans="1:22" s="28" customFormat="1" ht="73.5" customHeight="1" x14ac:dyDescent="0.2">
      <c r="A20" s="30">
        <v>9</v>
      </c>
      <c r="B20" s="31" t="s">
        <v>44</v>
      </c>
      <c r="C20" s="32" t="s">
        <v>45</v>
      </c>
      <c r="D20" s="33">
        <v>24.9</v>
      </c>
      <c r="E20" s="35">
        <v>2000</v>
      </c>
      <c r="F20" s="32" t="s">
        <v>39</v>
      </c>
      <c r="G20" s="37">
        <f>123.52*1000/65</f>
        <v>1900.3076923076924</v>
      </c>
      <c r="H20" s="38">
        <f t="shared" si="0"/>
        <v>47317.661538461536</v>
      </c>
      <c r="I20" s="32" t="s">
        <v>46</v>
      </c>
      <c r="J20" s="37">
        <v>2005.78</v>
      </c>
      <c r="K20" s="38">
        <f t="shared" si="1"/>
        <v>49943.921999999999</v>
      </c>
      <c r="L20" s="38" t="s">
        <v>41</v>
      </c>
      <c r="M20" s="37">
        <f>2520.94/1.2</f>
        <v>2100.7833333333333</v>
      </c>
      <c r="N20" s="38">
        <f t="shared" si="2"/>
        <v>52309.504999999997</v>
      </c>
      <c r="O20" s="39">
        <f t="shared" si="3"/>
        <v>2002.2903418803417</v>
      </c>
      <c r="P20" s="40">
        <f t="shared" si="4"/>
        <v>-0.11438610237668456</v>
      </c>
      <c r="Q20" s="39">
        <f t="shared" si="5"/>
        <v>49800</v>
      </c>
      <c r="R20" s="41"/>
      <c r="T20" s="42">
        <f t="shared" si="6"/>
        <v>-5</v>
      </c>
      <c r="U20" s="42">
        <f t="shared" si="7"/>
        <v>0</v>
      </c>
      <c r="V20" s="42">
        <f t="shared" si="8"/>
        <v>5</v>
      </c>
    </row>
    <row r="21" spans="1:22" s="28" customFormat="1" ht="73.5" customHeight="1" x14ac:dyDescent="0.2">
      <c r="A21" s="30">
        <v>10</v>
      </c>
      <c r="B21" s="31" t="s">
        <v>47</v>
      </c>
      <c r="C21" s="32" t="s">
        <v>25</v>
      </c>
      <c r="D21" s="33">
        <v>1</v>
      </c>
      <c r="E21" s="35">
        <v>227.1</v>
      </c>
      <c r="F21" s="32" t="s">
        <v>27</v>
      </c>
      <c r="G21" s="37">
        <f>272.44/1.2</f>
        <v>227.03333333333333</v>
      </c>
      <c r="H21" s="38">
        <f t="shared" si="0"/>
        <v>227.03333333333333</v>
      </c>
      <c r="I21" s="38" t="s">
        <v>28</v>
      </c>
      <c r="J21" s="37">
        <v>219.78</v>
      </c>
      <c r="K21" s="38">
        <f t="shared" si="1"/>
        <v>219.78</v>
      </c>
      <c r="L21" s="32" t="s">
        <v>29</v>
      </c>
      <c r="M21" s="37">
        <v>235.12</v>
      </c>
      <c r="N21" s="38">
        <f t="shared" si="2"/>
        <v>235.12</v>
      </c>
      <c r="O21" s="39">
        <f t="shared" si="3"/>
        <v>227.31111111111113</v>
      </c>
      <c r="P21" s="40">
        <f t="shared" si="4"/>
        <v>-9.2873203636727908E-2</v>
      </c>
      <c r="Q21" s="39">
        <f t="shared" si="5"/>
        <v>227.1</v>
      </c>
      <c r="R21" s="41"/>
      <c r="T21" s="42">
        <f t="shared" si="6"/>
        <v>0</v>
      </c>
      <c r="U21" s="42">
        <f t="shared" si="7"/>
        <v>-3</v>
      </c>
      <c r="V21" s="42">
        <f t="shared" si="8"/>
        <v>3</v>
      </c>
    </row>
    <row r="22" spans="1:22" s="28" customFormat="1" ht="73.5" customHeight="1" x14ac:dyDescent="0.2">
      <c r="A22" s="30">
        <v>11</v>
      </c>
      <c r="B22" s="31" t="s">
        <v>48</v>
      </c>
      <c r="C22" s="32" t="s">
        <v>25</v>
      </c>
      <c r="D22" s="33">
        <v>1</v>
      </c>
      <c r="E22" s="35">
        <v>261.5</v>
      </c>
      <c r="F22" s="32" t="s">
        <v>27</v>
      </c>
      <c r="G22" s="37">
        <f>311.2/1.2</f>
        <v>259.33333333333331</v>
      </c>
      <c r="H22" s="38">
        <f t="shared" si="0"/>
        <v>259.33333333333331</v>
      </c>
      <c r="I22" s="38" t="s">
        <v>28</v>
      </c>
      <c r="J22" s="37">
        <v>255.13</v>
      </c>
      <c r="K22" s="38">
        <f t="shared" si="1"/>
        <v>255.13</v>
      </c>
      <c r="L22" s="32" t="s">
        <v>29</v>
      </c>
      <c r="M22" s="37">
        <v>272.39999999999998</v>
      </c>
      <c r="N22" s="38">
        <f t="shared" si="2"/>
        <v>272.39999999999998</v>
      </c>
      <c r="O22" s="39">
        <f t="shared" si="3"/>
        <v>262.28777777777776</v>
      </c>
      <c r="P22" s="40">
        <f t="shared" si="4"/>
        <v>-0.30034864165314445</v>
      </c>
      <c r="Q22" s="39">
        <f t="shared" si="5"/>
        <v>261.5</v>
      </c>
      <c r="R22" s="41"/>
      <c r="T22" s="42">
        <f t="shared" si="6"/>
        <v>-1</v>
      </c>
      <c r="U22" s="42">
        <f t="shared" si="7"/>
        <v>-3</v>
      </c>
      <c r="V22" s="42">
        <f t="shared" si="8"/>
        <v>4</v>
      </c>
    </row>
    <row r="23" spans="1:22" s="28" customFormat="1" ht="73.5" customHeight="1" x14ac:dyDescent="0.2">
      <c r="A23" s="30">
        <v>12</v>
      </c>
      <c r="B23" s="31" t="s">
        <v>49</v>
      </c>
      <c r="C23" s="32" t="s">
        <v>25</v>
      </c>
      <c r="D23" s="33">
        <v>61</v>
      </c>
      <c r="E23" s="35">
        <v>501.3</v>
      </c>
      <c r="F23" s="32" t="s">
        <v>27</v>
      </c>
      <c r="G23" s="37">
        <f>588.83/1.2</f>
        <v>490.69166666666672</v>
      </c>
      <c r="H23" s="38">
        <f t="shared" si="0"/>
        <v>29932.191666666669</v>
      </c>
      <c r="I23" s="38" t="s">
        <v>28</v>
      </c>
      <c r="J23" s="37">
        <v>536.87</v>
      </c>
      <c r="K23" s="38">
        <f t="shared" si="1"/>
        <v>32749.07</v>
      </c>
      <c r="L23" s="32" t="s">
        <v>29</v>
      </c>
      <c r="M23" s="37">
        <v>480.65</v>
      </c>
      <c r="N23" s="38">
        <f t="shared" si="2"/>
        <v>29319.649999999998</v>
      </c>
      <c r="O23" s="39">
        <f t="shared" si="3"/>
        <v>502.73722222222221</v>
      </c>
      <c r="P23" s="40">
        <f t="shared" si="4"/>
        <v>-0.28587941347754509</v>
      </c>
      <c r="Q23" s="39">
        <f t="shared" si="5"/>
        <v>30579.3</v>
      </c>
      <c r="R23" s="41"/>
      <c r="T23" s="42">
        <f t="shared" si="6"/>
        <v>-2</v>
      </c>
      <c r="U23" s="42">
        <f t="shared" si="7"/>
        <v>7</v>
      </c>
      <c r="V23" s="42">
        <f t="shared" si="8"/>
        <v>-4</v>
      </c>
    </row>
    <row r="24" spans="1:22" s="28" customFormat="1" ht="73.5" customHeight="1" x14ac:dyDescent="0.2">
      <c r="A24" s="30">
        <v>13</v>
      </c>
      <c r="B24" s="31" t="s">
        <v>50</v>
      </c>
      <c r="C24" s="32" t="s">
        <v>25</v>
      </c>
      <c r="D24" s="33">
        <v>107</v>
      </c>
      <c r="E24" s="35">
        <v>487.5</v>
      </c>
      <c r="F24" s="32" t="s">
        <v>27</v>
      </c>
      <c r="G24" s="37">
        <f>569.51/1.2</f>
        <v>474.5916666666667</v>
      </c>
      <c r="H24" s="38">
        <f t="shared" si="0"/>
        <v>50781.308333333334</v>
      </c>
      <c r="I24" s="38" t="s">
        <v>28</v>
      </c>
      <c r="J24" s="37">
        <f>640.09/1.2</f>
        <v>533.40833333333342</v>
      </c>
      <c r="K24" s="38">
        <f t="shared" si="1"/>
        <v>57074.691666666673</v>
      </c>
      <c r="L24" s="32" t="s">
        <v>29</v>
      </c>
      <c r="M24" s="37">
        <v>460.72</v>
      </c>
      <c r="N24" s="38">
        <f t="shared" si="2"/>
        <v>49297.04</v>
      </c>
      <c r="O24" s="39">
        <f t="shared" si="3"/>
        <v>489.57333333333344</v>
      </c>
      <c r="P24" s="40">
        <f t="shared" si="4"/>
        <v>-0.42349801187430103</v>
      </c>
      <c r="Q24" s="39">
        <f t="shared" si="5"/>
        <v>52162.5</v>
      </c>
      <c r="R24" s="41"/>
      <c r="T24" s="42">
        <f t="shared" si="6"/>
        <v>-3</v>
      </c>
      <c r="U24" s="42">
        <f t="shared" si="7"/>
        <v>9</v>
      </c>
      <c r="V24" s="42">
        <f t="shared" si="8"/>
        <v>-6</v>
      </c>
    </row>
    <row r="25" spans="1:22" s="28" customFormat="1" ht="73.5" customHeight="1" x14ac:dyDescent="0.2">
      <c r="A25" s="30">
        <v>14</v>
      </c>
      <c r="B25" s="31" t="s">
        <v>51</v>
      </c>
      <c r="C25" s="32" t="s">
        <v>25</v>
      </c>
      <c r="D25" s="33">
        <v>2</v>
      </c>
      <c r="E25" s="35">
        <v>1920.6</v>
      </c>
      <c r="F25" s="32" t="s">
        <v>27</v>
      </c>
      <c r="G25" s="37">
        <f>2205.97/1.2</f>
        <v>1838.3083333333332</v>
      </c>
      <c r="H25" s="38">
        <f t="shared" si="0"/>
        <v>3676.6166666666663</v>
      </c>
      <c r="I25" s="38" t="s">
        <v>28</v>
      </c>
      <c r="J25" s="37">
        <v>1945.34</v>
      </c>
      <c r="K25" s="38">
        <f t="shared" si="1"/>
        <v>3890.68</v>
      </c>
      <c r="L25" s="32" t="s">
        <v>29</v>
      </c>
      <c r="M25" s="37">
        <v>1990.71</v>
      </c>
      <c r="N25" s="38">
        <f t="shared" si="2"/>
        <v>3981.42</v>
      </c>
      <c r="O25" s="39">
        <f t="shared" si="3"/>
        <v>1924.7861111111113</v>
      </c>
      <c r="P25" s="40">
        <f t="shared" si="4"/>
        <v>-0.21748448240280993</v>
      </c>
      <c r="Q25" s="39">
        <f t="shared" si="5"/>
        <v>3841.2</v>
      </c>
      <c r="R25" s="41"/>
      <c r="T25" s="42">
        <f t="shared" si="6"/>
        <v>-4</v>
      </c>
      <c r="U25" s="42">
        <f t="shared" si="7"/>
        <v>1</v>
      </c>
      <c r="V25" s="42">
        <f t="shared" si="8"/>
        <v>3</v>
      </c>
    </row>
    <row r="26" spans="1:22" s="28" customFormat="1" ht="73.5" customHeight="1" x14ac:dyDescent="0.2">
      <c r="A26" s="30">
        <v>15</v>
      </c>
      <c r="B26" s="31" t="s">
        <v>52</v>
      </c>
      <c r="C26" s="32" t="s">
        <v>53</v>
      </c>
      <c r="D26" s="33">
        <v>240</v>
      </c>
      <c r="E26" s="35">
        <v>331.49</v>
      </c>
      <c r="F26" s="32" t="s">
        <v>54</v>
      </c>
      <c r="G26" s="37">
        <v>323.02</v>
      </c>
      <c r="H26" s="38">
        <f t="shared" si="0"/>
        <v>77524.799999999988</v>
      </c>
      <c r="I26" s="32" t="s">
        <v>46</v>
      </c>
      <c r="J26" s="37">
        <v>355.87</v>
      </c>
      <c r="K26" s="38">
        <f t="shared" si="1"/>
        <v>85408.8</v>
      </c>
      <c r="L26" s="38" t="s">
        <v>41</v>
      </c>
      <c r="M26" s="37">
        <v>317.56</v>
      </c>
      <c r="N26" s="38">
        <f t="shared" si="2"/>
        <v>76214.399999999994</v>
      </c>
      <c r="O26" s="39">
        <f t="shared" si="3"/>
        <v>332.15000000000003</v>
      </c>
      <c r="P26" s="40">
        <f t="shared" si="4"/>
        <v>-0.19870540418486371</v>
      </c>
      <c r="Q26" s="39">
        <f t="shared" si="5"/>
        <v>79557.600000000006</v>
      </c>
      <c r="R26" s="41"/>
      <c r="T26" s="42">
        <f t="shared" si="6"/>
        <v>-3</v>
      </c>
      <c r="U26" s="42">
        <f t="shared" si="7"/>
        <v>7</v>
      </c>
      <c r="V26" s="42">
        <f t="shared" si="8"/>
        <v>-4</v>
      </c>
    </row>
    <row r="27" spans="1:22" s="28" customFormat="1" ht="73.5" customHeight="1" x14ac:dyDescent="0.2">
      <c r="A27" s="30">
        <v>16</v>
      </c>
      <c r="B27" s="31" t="s">
        <v>55</v>
      </c>
      <c r="C27" s="32" t="s">
        <v>25</v>
      </c>
      <c r="D27" s="33">
        <v>2</v>
      </c>
      <c r="E27" s="35">
        <v>19052</v>
      </c>
      <c r="F27" s="32" t="s">
        <v>56</v>
      </c>
      <c r="G27" s="37">
        <v>19820.740000000002</v>
      </c>
      <c r="H27" s="38">
        <f t="shared" si="0"/>
        <v>39641.480000000003</v>
      </c>
      <c r="I27" s="32" t="s">
        <v>57</v>
      </c>
      <c r="J27" s="37">
        <v>19276.63</v>
      </c>
      <c r="K27" s="38">
        <f t="shared" si="1"/>
        <v>38553.26</v>
      </c>
      <c r="L27" s="32" t="s">
        <v>58</v>
      </c>
      <c r="M27" s="37">
        <v>18175.310000000001</v>
      </c>
      <c r="N27" s="38">
        <f t="shared" si="2"/>
        <v>36350.620000000003</v>
      </c>
      <c r="O27" s="39">
        <f t="shared" si="3"/>
        <v>19090.893333333337</v>
      </c>
      <c r="P27" s="40">
        <f t="shared" si="4"/>
        <v>-0.2037271522827524</v>
      </c>
      <c r="Q27" s="39">
        <f t="shared" si="5"/>
        <v>38104</v>
      </c>
      <c r="R27" s="41"/>
      <c r="T27" s="42">
        <f t="shared" si="6"/>
        <v>4</v>
      </c>
      <c r="U27" s="42">
        <f t="shared" si="7"/>
        <v>1</v>
      </c>
      <c r="V27" s="42">
        <f t="shared" si="8"/>
        <v>-5</v>
      </c>
    </row>
    <row r="28" spans="1:22" s="28" customFormat="1" ht="73.5" customHeight="1" x14ac:dyDescent="0.2">
      <c r="A28" s="30">
        <v>17</v>
      </c>
      <c r="B28" s="31" t="s">
        <v>59</v>
      </c>
      <c r="C28" s="32" t="s">
        <v>25</v>
      </c>
      <c r="D28" s="33">
        <v>84</v>
      </c>
      <c r="E28" s="35">
        <v>29.9</v>
      </c>
      <c r="F28" s="32" t="s">
        <v>39</v>
      </c>
      <c r="G28" s="37">
        <v>27.94</v>
      </c>
      <c r="H28" s="38">
        <f t="shared" si="0"/>
        <v>2346.96</v>
      </c>
      <c r="I28" s="32" t="s">
        <v>54</v>
      </c>
      <c r="J28" s="37">
        <v>29.88</v>
      </c>
      <c r="K28" s="38">
        <f t="shared" si="1"/>
        <v>2509.92</v>
      </c>
      <c r="L28" s="38" t="s">
        <v>41</v>
      </c>
      <c r="M28" s="37">
        <v>32.450000000000003</v>
      </c>
      <c r="N28" s="38">
        <f t="shared" si="2"/>
        <v>2725.8</v>
      </c>
      <c r="O28" s="39">
        <f t="shared" si="3"/>
        <v>30.090000000000003</v>
      </c>
      <c r="P28" s="40">
        <f t="shared" si="4"/>
        <v>-0.63143901628448873</v>
      </c>
      <c r="Q28" s="39">
        <f t="shared" si="5"/>
        <v>2511.6</v>
      </c>
      <c r="R28" s="41"/>
      <c r="T28" s="42">
        <f t="shared" si="6"/>
        <v>-7</v>
      </c>
      <c r="U28" s="42">
        <f t="shared" si="7"/>
        <v>-1</v>
      </c>
      <c r="V28" s="42">
        <f t="shared" si="8"/>
        <v>8</v>
      </c>
    </row>
    <row r="29" spans="1:22" s="28" customFormat="1" ht="73.5" customHeight="1" x14ac:dyDescent="0.2">
      <c r="A29" s="30">
        <v>18</v>
      </c>
      <c r="B29" s="31" t="s">
        <v>60</v>
      </c>
      <c r="C29" s="32" t="s">
        <v>25</v>
      </c>
      <c r="D29" s="33">
        <v>4</v>
      </c>
      <c r="E29" s="35">
        <v>477.5</v>
      </c>
      <c r="F29" s="32" t="s">
        <v>27</v>
      </c>
      <c r="G29" s="37">
        <f>557.23/1.2</f>
        <v>464.35833333333335</v>
      </c>
      <c r="H29" s="38">
        <f t="shared" si="0"/>
        <v>1857.4333333333334</v>
      </c>
      <c r="I29" s="38" t="s">
        <v>28</v>
      </c>
      <c r="J29" s="37">
        <v>515.64</v>
      </c>
      <c r="K29" s="38">
        <f t="shared" si="1"/>
        <v>2062.56</v>
      </c>
      <c r="L29" s="32" t="s">
        <v>29</v>
      </c>
      <c r="M29" s="37">
        <v>458.56</v>
      </c>
      <c r="N29" s="38">
        <f t="shared" si="2"/>
        <v>1834.24</v>
      </c>
      <c r="O29" s="39">
        <f t="shared" si="3"/>
        <v>479.51944444444445</v>
      </c>
      <c r="P29" s="40">
        <f t="shared" si="4"/>
        <v>-0.42113921924148201</v>
      </c>
      <c r="Q29" s="39">
        <f t="shared" si="5"/>
        <v>1910</v>
      </c>
      <c r="R29" s="41"/>
      <c r="T29" s="42">
        <f t="shared" si="6"/>
        <v>-3</v>
      </c>
      <c r="U29" s="42">
        <f t="shared" si="7"/>
        <v>8</v>
      </c>
      <c r="V29" s="42">
        <f t="shared" si="8"/>
        <v>-4</v>
      </c>
    </row>
    <row r="30" spans="1:22" s="28" customFormat="1" ht="73.5" customHeight="1" x14ac:dyDescent="0.2">
      <c r="A30" s="30">
        <v>19</v>
      </c>
      <c r="B30" s="31" t="s">
        <v>61</v>
      </c>
      <c r="C30" s="32" t="s">
        <v>45</v>
      </c>
      <c r="D30" s="33">
        <v>80</v>
      </c>
      <c r="E30" s="35">
        <v>473.4</v>
      </c>
      <c r="F30" s="32" t="s">
        <v>62</v>
      </c>
      <c r="G30" s="37">
        <v>475</v>
      </c>
      <c r="H30" s="38">
        <f t="shared" si="0"/>
        <v>38000</v>
      </c>
      <c r="I30" s="32" t="s">
        <v>46</v>
      </c>
      <c r="J30" s="37">
        <v>462.4</v>
      </c>
      <c r="K30" s="38">
        <f t="shared" si="1"/>
        <v>36992</v>
      </c>
      <c r="L30" s="32" t="s">
        <v>58</v>
      </c>
      <c r="M30" s="37">
        <v>496.84</v>
      </c>
      <c r="N30" s="38">
        <f t="shared" si="2"/>
        <v>39747.199999999997</v>
      </c>
      <c r="O30" s="39">
        <f t="shared" si="3"/>
        <v>478.08</v>
      </c>
      <c r="P30" s="40">
        <f t="shared" si="4"/>
        <v>-0.97891566265059282</v>
      </c>
      <c r="Q30" s="39">
        <f t="shared" si="5"/>
        <v>37872</v>
      </c>
      <c r="R30" s="41"/>
      <c r="T30" s="42">
        <f t="shared" si="6"/>
        <v>-1</v>
      </c>
      <c r="U30" s="42">
        <f t="shared" si="7"/>
        <v>-3</v>
      </c>
      <c r="V30" s="42">
        <f t="shared" si="8"/>
        <v>4</v>
      </c>
    </row>
    <row r="31" spans="1:22" s="28" customFormat="1" ht="73.5" customHeight="1" x14ac:dyDescent="0.2">
      <c r="A31" s="30">
        <v>20</v>
      </c>
      <c r="B31" s="31" t="s">
        <v>63</v>
      </c>
      <c r="C31" s="32" t="s">
        <v>25</v>
      </c>
      <c r="D31" s="33">
        <v>6</v>
      </c>
      <c r="E31" s="35">
        <v>3952.3</v>
      </c>
      <c r="F31" s="32" t="s">
        <v>27</v>
      </c>
      <c r="G31" s="37">
        <f>4569.53/1.2</f>
        <v>3807.9416666666666</v>
      </c>
      <c r="H31" s="38">
        <f t="shared" si="0"/>
        <v>22847.65</v>
      </c>
      <c r="I31" s="38" t="s">
        <v>28</v>
      </c>
      <c r="J31" s="37">
        <f>4747.69/1.2</f>
        <v>3956.4083333333333</v>
      </c>
      <c r="K31" s="38">
        <f t="shared" si="1"/>
        <v>23738.45</v>
      </c>
      <c r="L31" s="32" t="s">
        <v>29</v>
      </c>
      <c r="M31" s="37">
        <v>4100.7</v>
      </c>
      <c r="N31" s="38">
        <f t="shared" si="2"/>
        <v>24604.199999999997</v>
      </c>
      <c r="O31" s="39">
        <f t="shared" si="3"/>
        <v>3955.0166666666664</v>
      </c>
      <c r="P31" s="40">
        <f t="shared" si="4"/>
        <v>-6.8689133210554587E-2</v>
      </c>
      <c r="Q31" s="39">
        <f t="shared" si="5"/>
        <v>23713.800000000003</v>
      </c>
      <c r="R31" s="41"/>
      <c r="T31" s="42">
        <f t="shared" si="6"/>
        <v>-4</v>
      </c>
      <c r="U31" s="42">
        <f t="shared" si="7"/>
        <v>0</v>
      </c>
      <c r="V31" s="42">
        <f t="shared" si="8"/>
        <v>4</v>
      </c>
    </row>
    <row r="32" spans="1:22" s="28" customFormat="1" ht="73.5" customHeight="1" x14ac:dyDescent="0.2">
      <c r="A32" s="30">
        <v>21</v>
      </c>
      <c r="B32" s="31" t="s">
        <v>64</v>
      </c>
      <c r="C32" s="32" t="s">
        <v>65</v>
      </c>
      <c r="D32" s="33">
        <v>13</v>
      </c>
      <c r="E32" s="35">
        <v>4260.1499999999996</v>
      </c>
      <c r="F32" s="32" t="s">
        <v>66</v>
      </c>
      <c r="G32" s="37">
        <f>5072/1.2</f>
        <v>4226.666666666667</v>
      </c>
      <c r="H32" s="38">
        <f t="shared" si="0"/>
        <v>54946.666666666672</v>
      </c>
      <c r="I32" s="38" t="s">
        <v>67</v>
      </c>
      <c r="J32" s="37">
        <f>4988.64/1.2</f>
        <v>4157.2000000000007</v>
      </c>
      <c r="K32" s="38">
        <f t="shared" si="1"/>
        <v>54043.600000000006</v>
      </c>
      <c r="L32" s="38" t="s">
        <v>68</v>
      </c>
      <c r="M32" s="37">
        <v>4402.7</v>
      </c>
      <c r="N32" s="38">
        <f t="shared" si="2"/>
        <v>57235.1</v>
      </c>
      <c r="O32" s="39">
        <f t="shared" si="3"/>
        <v>4262.1888888888898</v>
      </c>
      <c r="P32" s="40">
        <f t="shared" si="4"/>
        <v>-4.7836661913450484E-2</v>
      </c>
      <c r="Q32" s="39">
        <f t="shared" si="5"/>
        <v>55381.95</v>
      </c>
      <c r="R32" s="44"/>
      <c r="T32" s="42">
        <f t="shared" si="6"/>
        <v>-1</v>
      </c>
      <c r="U32" s="42">
        <f t="shared" si="7"/>
        <v>-2</v>
      </c>
      <c r="V32" s="42">
        <f t="shared" si="8"/>
        <v>3</v>
      </c>
    </row>
    <row r="33" spans="1:22" s="28" customFormat="1" ht="73.5" customHeight="1" x14ac:dyDescent="0.2">
      <c r="A33" s="30">
        <v>22</v>
      </c>
      <c r="B33" s="31" t="s">
        <v>69</v>
      </c>
      <c r="C33" s="32" t="s">
        <v>65</v>
      </c>
      <c r="D33" s="33">
        <v>13</v>
      </c>
      <c r="E33" s="75">
        <v>17877.2</v>
      </c>
      <c r="F33" s="76" t="s">
        <v>66</v>
      </c>
      <c r="G33" s="77">
        <f>22081.39/1.2</f>
        <v>18401.158333333333</v>
      </c>
      <c r="H33" s="38">
        <f t="shared" si="0"/>
        <v>239215.05833333332</v>
      </c>
      <c r="I33" s="78" t="s">
        <v>67</v>
      </c>
      <c r="J33" s="77">
        <f>21966.86/1.2</f>
        <v>18305.716666666667</v>
      </c>
      <c r="K33" s="38">
        <f t="shared" si="1"/>
        <v>237974.31666666668</v>
      </c>
      <c r="L33" s="79" t="s">
        <v>489</v>
      </c>
      <c r="M33" s="80">
        <f>20310/1.2</f>
        <v>16925</v>
      </c>
      <c r="N33" s="38">
        <f t="shared" si="2"/>
        <v>220025</v>
      </c>
      <c r="O33" s="39">
        <f t="shared" si="3"/>
        <v>17877.291666666668</v>
      </c>
      <c r="P33" s="40">
        <f t="shared" si="4"/>
        <v>-5.127547750305439E-4</v>
      </c>
      <c r="Q33" s="39">
        <f t="shared" si="5"/>
        <v>232403.6</v>
      </c>
      <c r="R33" s="63" t="s">
        <v>490</v>
      </c>
      <c r="T33" s="42">
        <f t="shared" si="6"/>
        <v>3</v>
      </c>
      <c r="U33" s="42">
        <f t="shared" si="7"/>
        <v>2</v>
      </c>
      <c r="V33" s="42">
        <f t="shared" si="8"/>
        <v>-5</v>
      </c>
    </row>
    <row r="34" spans="1:22" s="28" customFormat="1" ht="73.5" customHeight="1" x14ac:dyDescent="0.2">
      <c r="A34" s="30">
        <v>23</v>
      </c>
      <c r="B34" s="31" t="s">
        <v>70</v>
      </c>
      <c r="C34" s="32" t="s">
        <v>25</v>
      </c>
      <c r="D34" s="33">
        <v>400</v>
      </c>
      <c r="E34" s="35">
        <v>36.700000000000003</v>
      </c>
      <c r="F34" s="32" t="s">
        <v>39</v>
      </c>
      <c r="G34" s="37">
        <v>36.68</v>
      </c>
      <c r="H34" s="38">
        <f t="shared" si="0"/>
        <v>14672</v>
      </c>
      <c r="I34" s="32" t="s">
        <v>54</v>
      </c>
      <c r="J34" s="37">
        <v>34.28</v>
      </c>
      <c r="K34" s="38">
        <f t="shared" si="1"/>
        <v>13712</v>
      </c>
      <c r="L34" s="38" t="s">
        <v>41</v>
      </c>
      <c r="M34" s="37">
        <v>39.9</v>
      </c>
      <c r="N34" s="38">
        <f t="shared" si="2"/>
        <v>15960</v>
      </c>
      <c r="O34" s="39">
        <f t="shared" si="3"/>
        <v>36.95333333333334</v>
      </c>
      <c r="P34" s="40">
        <f t="shared" si="4"/>
        <v>-0.68554934151181612</v>
      </c>
      <c r="Q34" s="39">
        <f t="shared" si="5"/>
        <v>14680.000000000002</v>
      </c>
      <c r="R34" s="46"/>
      <c r="T34" s="42">
        <f t="shared" si="6"/>
        <v>-1</v>
      </c>
      <c r="U34" s="42">
        <f t="shared" si="7"/>
        <v>-7</v>
      </c>
      <c r="V34" s="42">
        <f t="shared" si="8"/>
        <v>8</v>
      </c>
    </row>
    <row r="35" spans="1:22" s="28" customFormat="1" ht="73.5" customHeight="1" x14ac:dyDescent="0.2">
      <c r="A35" s="30">
        <v>24</v>
      </c>
      <c r="B35" s="31" t="s">
        <v>71</v>
      </c>
      <c r="C35" s="32" t="s">
        <v>25</v>
      </c>
      <c r="D35" s="33">
        <v>600</v>
      </c>
      <c r="E35" s="35">
        <v>49.8</v>
      </c>
      <c r="F35" s="32" t="s">
        <v>39</v>
      </c>
      <c r="G35" s="37">
        <v>49.53</v>
      </c>
      <c r="H35" s="38">
        <f t="shared" si="0"/>
        <v>29718</v>
      </c>
      <c r="I35" s="32" t="s">
        <v>54</v>
      </c>
      <c r="J35" s="37">
        <v>54.48</v>
      </c>
      <c r="K35" s="38">
        <f t="shared" si="1"/>
        <v>32687.999999999996</v>
      </c>
      <c r="L35" s="38" t="s">
        <v>41</v>
      </c>
      <c r="M35" s="37">
        <v>45.78</v>
      </c>
      <c r="N35" s="38">
        <f t="shared" si="2"/>
        <v>27468</v>
      </c>
      <c r="O35" s="39">
        <f t="shared" si="3"/>
        <v>49.93</v>
      </c>
      <c r="P35" s="40">
        <f t="shared" si="4"/>
        <v>-0.26036451031444585</v>
      </c>
      <c r="Q35" s="39">
        <f t="shared" si="5"/>
        <v>29880</v>
      </c>
      <c r="R35" s="41"/>
      <c r="T35" s="42">
        <f t="shared" si="6"/>
        <v>-1</v>
      </c>
      <c r="U35" s="42">
        <f t="shared" si="7"/>
        <v>9</v>
      </c>
      <c r="V35" s="42">
        <f t="shared" si="8"/>
        <v>-8</v>
      </c>
    </row>
    <row r="36" spans="1:22" s="28" customFormat="1" ht="73.5" customHeight="1" x14ac:dyDescent="0.2">
      <c r="A36" s="30">
        <v>25</v>
      </c>
      <c r="B36" s="31" t="s">
        <v>72</v>
      </c>
      <c r="C36" s="32" t="s">
        <v>25</v>
      </c>
      <c r="D36" s="33">
        <v>80</v>
      </c>
      <c r="E36" s="35">
        <v>116.1</v>
      </c>
      <c r="F36" s="32" t="s">
        <v>39</v>
      </c>
      <c r="G36" s="37">
        <v>111.18</v>
      </c>
      <c r="H36" s="38">
        <f t="shared" si="0"/>
        <v>8894.4000000000015</v>
      </c>
      <c r="I36" s="32" t="s">
        <v>54</v>
      </c>
      <c r="J36" s="37">
        <v>115.97</v>
      </c>
      <c r="K36" s="38">
        <f t="shared" si="1"/>
        <v>9277.6</v>
      </c>
      <c r="L36" s="38" t="s">
        <v>41</v>
      </c>
      <c r="M36" s="37">
        <v>125.69</v>
      </c>
      <c r="N36" s="38">
        <f t="shared" si="2"/>
        <v>10055.200000000001</v>
      </c>
      <c r="O36" s="39">
        <f t="shared" si="3"/>
        <v>117.61333333333334</v>
      </c>
      <c r="P36" s="40">
        <f t="shared" si="4"/>
        <v>-1.2867021879605574</v>
      </c>
      <c r="Q36" s="39">
        <f t="shared" si="5"/>
        <v>9288</v>
      </c>
      <c r="R36" s="41"/>
      <c r="T36" s="42">
        <f t="shared" si="6"/>
        <v>-5</v>
      </c>
      <c r="U36" s="42">
        <f t="shared" si="7"/>
        <v>-1</v>
      </c>
      <c r="V36" s="42">
        <f t="shared" si="8"/>
        <v>7</v>
      </c>
    </row>
    <row r="37" spans="1:22" s="28" customFormat="1" ht="73.5" customHeight="1" x14ac:dyDescent="0.2">
      <c r="A37" s="30">
        <v>26</v>
      </c>
      <c r="B37" s="31" t="s">
        <v>73</v>
      </c>
      <c r="C37" s="32" t="s">
        <v>25</v>
      </c>
      <c r="D37" s="33">
        <v>40</v>
      </c>
      <c r="E37" s="35">
        <v>19</v>
      </c>
      <c r="F37" s="32" t="s">
        <v>39</v>
      </c>
      <c r="G37" s="37">
        <v>18.239999999999998</v>
      </c>
      <c r="H37" s="38">
        <f t="shared" si="0"/>
        <v>729.59999999999991</v>
      </c>
      <c r="I37" s="32" t="s">
        <v>54</v>
      </c>
      <c r="J37" s="37">
        <v>17.48</v>
      </c>
      <c r="K37" s="38">
        <f t="shared" si="1"/>
        <v>699.2</v>
      </c>
      <c r="L37" s="38" t="s">
        <v>41</v>
      </c>
      <c r="M37" s="37">
        <v>21.47</v>
      </c>
      <c r="N37" s="38">
        <f t="shared" si="2"/>
        <v>858.8</v>
      </c>
      <c r="O37" s="39">
        <f t="shared" si="3"/>
        <v>19.063333333333333</v>
      </c>
      <c r="P37" s="40">
        <f t="shared" si="4"/>
        <v>-0.33222591362125797</v>
      </c>
      <c r="Q37" s="39">
        <f t="shared" si="5"/>
        <v>760</v>
      </c>
      <c r="R37" s="41"/>
      <c r="T37" s="42">
        <f t="shared" si="6"/>
        <v>-4</v>
      </c>
      <c r="U37" s="42">
        <f t="shared" si="7"/>
        <v>-8</v>
      </c>
      <c r="V37" s="42">
        <f t="shared" si="8"/>
        <v>13</v>
      </c>
    </row>
    <row r="38" spans="1:22" s="28" customFormat="1" ht="73.5" customHeight="1" x14ac:dyDescent="0.2">
      <c r="A38" s="30">
        <v>27</v>
      </c>
      <c r="B38" s="31" t="s">
        <v>74</v>
      </c>
      <c r="C38" s="32" t="s">
        <v>25</v>
      </c>
      <c r="D38" s="33">
        <v>20</v>
      </c>
      <c r="E38" s="35">
        <v>27.3</v>
      </c>
      <c r="F38" s="32" t="s">
        <v>39</v>
      </c>
      <c r="G38" s="37">
        <v>26.95</v>
      </c>
      <c r="H38" s="38">
        <f t="shared" si="0"/>
        <v>539</v>
      </c>
      <c r="I38" s="32" t="s">
        <v>54</v>
      </c>
      <c r="J38" s="37">
        <v>24.38</v>
      </c>
      <c r="K38" s="38">
        <f t="shared" si="1"/>
        <v>487.59999999999997</v>
      </c>
      <c r="L38" s="38" t="s">
        <v>41</v>
      </c>
      <c r="M38" s="37">
        <v>31.4</v>
      </c>
      <c r="N38" s="38">
        <f t="shared" si="2"/>
        <v>628</v>
      </c>
      <c r="O38" s="39">
        <f t="shared" si="3"/>
        <v>27.576666666666664</v>
      </c>
      <c r="P38" s="40">
        <f t="shared" si="4"/>
        <v>-1.0032636286715757</v>
      </c>
      <c r="Q38" s="39">
        <f t="shared" si="5"/>
        <v>546</v>
      </c>
      <c r="R38" s="41"/>
      <c r="T38" s="42">
        <f t="shared" si="6"/>
        <v>-2</v>
      </c>
      <c r="U38" s="42">
        <f t="shared" si="7"/>
        <v>-12</v>
      </c>
      <c r="V38" s="42">
        <f t="shared" si="8"/>
        <v>14</v>
      </c>
    </row>
    <row r="39" spans="1:22" s="28" customFormat="1" ht="73.5" customHeight="1" x14ac:dyDescent="0.2">
      <c r="A39" s="30">
        <v>28</v>
      </c>
      <c r="B39" s="31" t="s">
        <v>75</v>
      </c>
      <c r="C39" s="32" t="s">
        <v>25</v>
      </c>
      <c r="D39" s="33">
        <v>240</v>
      </c>
      <c r="E39" s="35">
        <v>34.299999999999997</v>
      </c>
      <c r="F39" s="32" t="s">
        <v>39</v>
      </c>
      <c r="G39" s="37">
        <v>33.17</v>
      </c>
      <c r="H39" s="38">
        <f t="shared" si="0"/>
        <v>7960.8</v>
      </c>
      <c r="I39" s="32" t="s">
        <v>54</v>
      </c>
      <c r="J39" s="37">
        <v>32.17</v>
      </c>
      <c r="K39" s="38">
        <f t="shared" si="1"/>
        <v>7720.8</v>
      </c>
      <c r="L39" s="38" t="s">
        <v>41</v>
      </c>
      <c r="M39" s="37">
        <v>38.74</v>
      </c>
      <c r="N39" s="38">
        <f t="shared" si="2"/>
        <v>9297.6</v>
      </c>
      <c r="O39" s="39">
        <f t="shared" si="3"/>
        <v>34.693333333333335</v>
      </c>
      <c r="P39" s="40">
        <f t="shared" si="4"/>
        <v>-1.1337432744043241</v>
      </c>
      <c r="Q39" s="39">
        <f t="shared" si="5"/>
        <v>8232</v>
      </c>
      <c r="R39" s="41"/>
      <c r="T39" s="42">
        <f t="shared" si="6"/>
        <v>-4</v>
      </c>
      <c r="U39" s="42">
        <f t="shared" si="7"/>
        <v>-7</v>
      </c>
      <c r="V39" s="42">
        <f t="shared" si="8"/>
        <v>12</v>
      </c>
    </row>
    <row r="40" spans="1:22" s="28" customFormat="1" ht="73.5" customHeight="1" x14ac:dyDescent="0.2">
      <c r="A40" s="30">
        <v>29</v>
      </c>
      <c r="B40" s="31" t="s">
        <v>76</v>
      </c>
      <c r="C40" s="32" t="s">
        <v>25</v>
      </c>
      <c r="D40" s="33">
        <v>264</v>
      </c>
      <c r="E40" s="35">
        <v>52</v>
      </c>
      <c r="F40" s="32" t="s">
        <v>39</v>
      </c>
      <c r="G40" s="37">
        <v>49.76</v>
      </c>
      <c r="H40" s="38">
        <f t="shared" si="0"/>
        <v>13136.64</v>
      </c>
      <c r="I40" s="32" t="s">
        <v>54</v>
      </c>
      <c r="J40" s="37">
        <v>51.47</v>
      </c>
      <c r="K40" s="38">
        <f t="shared" si="1"/>
        <v>13588.08</v>
      </c>
      <c r="L40" s="38" t="s">
        <v>41</v>
      </c>
      <c r="M40" s="37">
        <v>55.16</v>
      </c>
      <c r="N40" s="38">
        <f t="shared" si="2"/>
        <v>14562.24</v>
      </c>
      <c r="O40" s="39">
        <f t="shared" si="3"/>
        <v>52.129999999999995</v>
      </c>
      <c r="P40" s="40">
        <f t="shared" si="4"/>
        <v>-0.24937655860348684</v>
      </c>
      <c r="Q40" s="39">
        <f t="shared" si="5"/>
        <v>13728</v>
      </c>
      <c r="R40" s="41"/>
      <c r="T40" s="42">
        <f t="shared" si="6"/>
        <v>-5</v>
      </c>
      <c r="U40" s="42">
        <f t="shared" si="7"/>
        <v>-1</v>
      </c>
      <c r="V40" s="42">
        <f t="shared" si="8"/>
        <v>6</v>
      </c>
    </row>
    <row r="41" spans="1:22" s="28" customFormat="1" ht="73.5" customHeight="1" x14ac:dyDescent="0.2">
      <c r="A41" s="30">
        <v>30</v>
      </c>
      <c r="B41" s="31" t="s">
        <v>77</v>
      </c>
      <c r="C41" s="32" t="s">
        <v>25</v>
      </c>
      <c r="D41" s="33">
        <v>1200</v>
      </c>
      <c r="E41" s="35">
        <v>98.2</v>
      </c>
      <c r="F41" s="32" t="s">
        <v>39</v>
      </c>
      <c r="G41" s="37">
        <v>97.92</v>
      </c>
      <c r="H41" s="38">
        <f t="shared" si="0"/>
        <v>117504</v>
      </c>
      <c r="I41" s="32" t="s">
        <v>54</v>
      </c>
      <c r="J41" s="37">
        <v>92.97</v>
      </c>
      <c r="K41" s="38">
        <f t="shared" si="1"/>
        <v>111564</v>
      </c>
      <c r="L41" s="38" t="s">
        <v>41</v>
      </c>
      <c r="M41" s="37">
        <v>105.36</v>
      </c>
      <c r="N41" s="38">
        <f t="shared" si="2"/>
        <v>126432</v>
      </c>
      <c r="O41" s="39">
        <f t="shared" si="3"/>
        <v>98.75</v>
      </c>
      <c r="P41" s="40">
        <f t="shared" si="4"/>
        <v>-0.55696202531645156</v>
      </c>
      <c r="Q41" s="39">
        <f t="shared" si="5"/>
        <v>117840</v>
      </c>
      <c r="R41" s="41"/>
      <c r="T41" s="42">
        <f t="shared" si="6"/>
        <v>-1</v>
      </c>
      <c r="U41" s="42">
        <f t="shared" si="7"/>
        <v>-6</v>
      </c>
      <c r="V41" s="42">
        <f t="shared" si="8"/>
        <v>7</v>
      </c>
    </row>
    <row r="42" spans="1:22" s="28" customFormat="1" ht="73.5" customHeight="1" x14ac:dyDescent="0.2">
      <c r="A42" s="30">
        <v>31</v>
      </c>
      <c r="B42" s="31" t="s">
        <v>78</v>
      </c>
      <c r="C42" s="32" t="s">
        <v>25</v>
      </c>
      <c r="D42" s="33">
        <v>40</v>
      </c>
      <c r="E42" s="35">
        <v>5.4</v>
      </c>
      <c r="F42" s="32" t="s">
        <v>39</v>
      </c>
      <c r="G42" s="37">
        <v>5.38</v>
      </c>
      <c r="H42" s="38">
        <f t="shared" si="0"/>
        <v>215.2</v>
      </c>
      <c r="I42" s="32" t="s">
        <v>54</v>
      </c>
      <c r="J42" s="37">
        <v>5.45</v>
      </c>
      <c r="K42" s="38">
        <f t="shared" si="1"/>
        <v>218</v>
      </c>
      <c r="L42" s="38" t="s">
        <v>41</v>
      </c>
      <c r="M42" s="37">
        <v>5.5</v>
      </c>
      <c r="N42" s="38">
        <f t="shared" si="2"/>
        <v>220</v>
      </c>
      <c r="O42" s="39">
        <f t="shared" si="3"/>
        <v>5.4433333333333325</v>
      </c>
      <c r="P42" s="40">
        <f t="shared" si="4"/>
        <v>-0.79608083282300868</v>
      </c>
      <c r="Q42" s="39">
        <f t="shared" si="5"/>
        <v>216</v>
      </c>
      <c r="R42" s="41"/>
      <c r="T42" s="42">
        <f t="shared" si="6"/>
        <v>-1</v>
      </c>
      <c r="U42" s="42">
        <f t="shared" si="7"/>
        <v>0</v>
      </c>
      <c r="V42" s="42">
        <f t="shared" si="8"/>
        <v>1</v>
      </c>
    </row>
    <row r="43" spans="1:22" s="28" customFormat="1" ht="73.5" customHeight="1" x14ac:dyDescent="0.2">
      <c r="A43" s="30">
        <v>32</v>
      </c>
      <c r="B43" s="31" t="s">
        <v>79</v>
      </c>
      <c r="C43" s="32" t="s">
        <v>25</v>
      </c>
      <c r="D43" s="33">
        <v>30</v>
      </c>
      <c r="E43" s="35">
        <v>11.82</v>
      </c>
      <c r="F43" s="32" t="s">
        <v>39</v>
      </c>
      <c r="G43" s="37">
        <v>11.56</v>
      </c>
      <c r="H43" s="38">
        <f t="shared" si="0"/>
        <v>346.8</v>
      </c>
      <c r="I43" s="32" t="s">
        <v>54</v>
      </c>
      <c r="J43" s="37">
        <v>11.47</v>
      </c>
      <c r="K43" s="38">
        <f t="shared" si="1"/>
        <v>344.1</v>
      </c>
      <c r="L43" s="38" t="s">
        <v>41</v>
      </c>
      <c r="M43" s="37">
        <v>12.68</v>
      </c>
      <c r="N43" s="38">
        <f t="shared" si="2"/>
        <v>380.4</v>
      </c>
      <c r="O43" s="39">
        <f t="shared" si="3"/>
        <v>11.903333333333334</v>
      </c>
      <c r="P43" s="40">
        <f t="shared" si="4"/>
        <v>-0.70008401008121268</v>
      </c>
      <c r="Q43" s="39">
        <f t="shared" si="5"/>
        <v>354.6</v>
      </c>
      <c r="R43" s="41"/>
      <c r="T43" s="42">
        <f t="shared" si="6"/>
        <v>-3</v>
      </c>
      <c r="U43" s="42">
        <f t="shared" si="7"/>
        <v>-4</v>
      </c>
      <c r="V43" s="42">
        <f t="shared" si="8"/>
        <v>7</v>
      </c>
    </row>
    <row r="44" spans="1:22" s="28" customFormat="1" ht="73.5" customHeight="1" x14ac:dyDescent="0.2">
      <c r="A44" s="30">
        <v>33</v>
      </c>
      <c r="B44" s="31" t="s">
        <v>80</v>
      </c>
      <c r="C44" s="32" t="s">
        <v>81</v>
      </c>
      <c r="D44" s="33">
        <v>560</v>
      </c>
      <c r="E44" s="35">
        <v>169.2</v>
      </c>
      <c r="F44" s="32" t="s">
        <v>82</v>
      </c>
      <c r="G44" s="37">
        <v>166.13</v>
      </c>
      <c r="H44" s="38">
        <f t="shared" ref="H44:H75" si="9">D44*G44</f>
        <v>93032.8</v>
      </c>
      <c r="I44" s="32" t="s">
        <v>46</v>
      </c>
      <c r="J44" s="37">
        <v>182.47</v>
      </c>
      <c r="K44" s="38">
        <f t="shared" si="1"/>
        <v>102183.2</v>
      </c>
      <c r="L44" s="32" t="s">
        <v>58</v>
      </c>
      <c r="M44" s="37">
        <v>163.57</v>
      </c>
      <c r="N44" s="38">
        <f t="shared" si="2"/>
        <v>91599.2</v>
      </c>
      <c r="O44" s="39">
        <f t="shared" si="3"/>
        <v>170.72333333333336</v>
      </c>
      <c r="P44" s="40">
        <f t="shared" si="4"/>
        <v>-0.89228185953884065</v>
      </c>
      <c r="Q44" s="39">
        <f t="shared" si="5"/>
        <v>94752</v>
      </c>
      <c r="R44" s="41"/>
      <c r="T44" s="42">
        <f t="shared" si="6"/>
        <v>-3</v>
      </c>
      <c r="U44" s="42">
        <f t="shared" si="7"/>
        <v>7</v>
      </c>
      <c r="V44" s="42">
        <f t="shared" si="8"/>
        <v>-4</v>
      </c>
    </row>
    <row r="45" spans="1:22" s="28" customFormat="1" ht="73.5" customHeight="1" x14ac:dyDescent="0.2">
      <c r="A45" s="30">
        <v>34</v>
      </c>
      <c r="B45" s="31" t="s">
        <v>83</v>
      </c>
      <c r="C45" s="32" t="s">
        <v>25</v>
      </c>
      <c r="D45" s="33">
        <v>12</v>
      </c>
      <c r="E45" s="35">
        <v>3339.3</v>
      </c>
      <c r="F45" s="32" t="s">
        <v>84</v>
      </c>
      <c r="G45" s="37">
        <f>3600/1.2</f>
        <v>3000</v>
      </c>
      <c r="H45" s="38">
        <f t="shared" si="9"/>
        <v>36000</v>
      </c>
      <c r="I45" s="38" t="s">
        <v>28</v>
      </c>
      <c r="J45" s="37">
        <f>4320/1.2</f>
        <v>3600</v>
      </c>
      <c r="K45" s="38">
        <f t="shared" si="1"/>
        <v>43200</v>
      </c>
      <c r="L45" s="32" t="s">
        <v>29</v>
      </c>
      <c r="M45" s="37">
        <v>3480</v>
      </c>
      <c r="N45" s="38">
        <f t="shared" si="2"/>
        <v>41760</v>
      </c>
      <c r="O45" s="39">
        <f t="shared" si="3"/>
        <v>3360</v>
      </c>
      <c r="P45" s="40">
        <f t="shared" si="4"/>
        <v>-0.6160714285714306</v>
      </c>
      <c r="Q45" s="39">
        <f t="shared" si="5"/>
        <v>40071.600000000006</v>
      </c>
      <c r="R45" s="41"/>
      <c r="T45" s="42">
        <f t="shared" si="6"/>
        <v>-11</v>
      </c>
      <c r="U45" s="42">
        <f t="shared" si="7"/>
        <v>7</v>
      </c>
      <c r="V45" s="42">
        <f t="shared" si="8"/>
        <v>4</v>
      </c>
    </row>
    <row r="46" spans="1:22" s="28" customFormat="1" ht="73.5" customHeight="1" x14ac:dyDescent="0.2">
      <c r="A46" s="30">
        <v>35</v>
      </c>
      <c r="B46" s="31" t="s">
        <v>85</v>
      </c>
      <c r="C46" s="32" t="s">
        <v>25</v>
      </c>
      <c r="D46" s="33">
        <v>5</v>
      </c>
      <c r="E46" s="35">
        <v>3550.4</v>
      </c>
      <c r="F46" s="32" t="s">
        <v>27</v>
      </c>
      <c r="G46" s="37">
        <f>4107.16/1.2</f>
        <v>3422.6333333333332</v>
      </c>
      <c r="H46" s="38">
        <f t="shared" si="9"/>
        <v>17113.166666666664</v>
      </c>
      <c r="I46" s="38" t="s">
        <v>28</v>
      </c>
      <c r="J46" s="37">
        <v>3502.11</v>
      </c>
      <c r="K46" s="38">
        <f t="shared" si="1"/>
        <v>17510.55</v>
      </c>
      <c r="L46" s="32" t="s">
        <v>29</v>
      </c>
      <c r="M46" s="37">
        <v>3779.24</v>
      </c>
      <c r="N46" s="38">
        <f t="shared" si="2"/>
        <v>18896.199999999997</v>
      </c>
      <c r="O46" s="39">
        <f t="shared" si="3"/>
        <v>3567.9944444444445</v>
      </c>
      <c r="P46" s="40">
        <f t="shared" si="4"/>
        <v>-0.49311860537899577</v>
      </c>
      <c r="Q46" s="39">
        <f t="shared" si="5"/>
        <v>17752</v>
      </c>
      <c r="R46" s="41"/>
      <c r="T46" s="42">
        <f t="shared" si="6"/>
        <v>-4</v>
      </c>
      <c r="U46" s="42">
        <f t="shared" si="7"/>
        <v>-2</v>
      </c>
      <c r="V46" s="42">
        <f t="shared" si="8"/>
        <v>6</v>
      </c>
    </row>
    <row r="47" spans="1:22" s="28" customFormat="1" ht="73.5" customHeight="1" x14ac:dyDescent="0.2">
      <c r="A47" s="30">
        <v>36</v>
      </c>
      <c r="B47" s="31" t="s">
        <v>86</v>
      </c>
      <c r="C47" s="32" t="s">
        <v>25</v>
      </c>
      <c r="D47" s="33">
        <v>13</v>
      </c>
      <c r="E47" s="35">
        <v>11152.87</v>
      </c>
      <c r="F47" s="32" t="s">
        <v>66</v>
      </c>
      <c r="G47" s="37">
        <f>12597.13/1.2</f>
        <v>10497.608333333334</v>
      </c>
      <c r="H47" s="38">
        <f t="shared" si="9"/>
        <v>136468.90833333333</v>
      </c>
      <c r="I47" s="38" t="s">
        <v>67</v>
      </c>
      <c r="J47" s="37">
        <f>13529.76/1.2</f>
        <v>11274.800000000001</v>
      </c>
      <c r="K47" s="38">
        <f t="shared" si="1"/>
        <v>146572.40000000002</v>
      </c>
      <c r="L47" s="38" t="s">
        <v>68</v>
      </c>
      <c r="M47" s="37">
        <v>11847.32</v>
      </c>
      <c r="N47" s="38">
        <f t="shared" si="2"/>
        <v>154015.16</v>
      </c>
      <c r="O47" s="39">
        <f t="shared" si="3"/>
        <v>11206.576111111111</v>
      </c>
      <c r="P47" s="40">
        <f t="shared" si="4"/>
        <v>-0.47923746359838049</v>
      </c>
      <c r="Q47" s="39">
        <f t="shared" si="5"/>
        <v>144987.31</v>
      </c>
      <c r="R47" s="41"/>
      <c r="T47" s="42">
        <f t="shared" si="6"/>
        <v>-6</v>
      </c>
      <c r="U47" s="42">
        <f t="shared" si="7"/>
        <v>1</v>
      </c>
      <c r="V47" s="42">
        <f t="shared" si="8"/>
        <v>6</v>
      </c>
    </row>
    <row r="48" spans="1:22" s="28" customFormat="1" ht="73.5" customHeight="1" x14ac:dyDescent="0.2">
      <c r="A48" s="30">
        <v>37</v>
      </c>
      <c r="B48" s="31" t="s">
        <v>87</v>
      </c>
      <c r="C48" s="32" t="s">
        <v>25</v>
      </c>
      <c r="D48" s="33">
        <v>14</v>
      </c>
      <c r="E48" s="35">
        <v>95</v>
      </c>
      <c r="F48" s="32" t="s">
        <v>27</v>
      </c>
      <c r="G48" s="37">
        <f>108.22/1.2</f>
        <v>90.183333333333337</v>
      </c>
      <c r="H48" s="38">
        <f t="shared" si="9"/>
        <v>1262.5666666666666</v>
      </c>
      <c r="I48" s="38" t="s">
        <v>28</v>
      </c>
      <c r="J48" s="37">
        <v>92.03</v>
      </c>
      <c r="K48" s="38">
        <f t="shared" si="1"/>
        <v>1288.42</v>
      </c>
      <c r="L48" s="32" t="s">
        <v>29</v>
      </c>
      <c r="M48" s="37">
        <v>103.61</v>
      </c>
      <c r="N48" s="38">
        <f t="shared" si="2"/>
        <v>1450.54</v>
      </c>
      <c r="O48" s="39">
        <f t="shared" si="3"/>
        <v>95.274444444444441</v>
      </c>
      <c r="P48" s="40">
        <f t="shared" si="4"/>
        <v>-0.28805672501661661</v>
      </c>
      <c r="Q48" s="39">
        <f t="shared" si="5"/>
        <v>1330</v>
      </c>
      <c r="R48" s="41"/>
      <c r="T48" s="42">
        <f t="shared" si="6"/>
        <v>-5</v>
      </c>
      <c r="U48" s="42">
        <f t="shared" si="7"/>
        <v>-3</v>
      </c>
      <c r="V48" s="42">
        <f t="shared" si="8"/>
        <v>9</v>
      </c>
    </row>
    <row r="49" spans="1:22" s="28" customFormat="1" ht="73.5" customHeight="1" x14ac:dyDescent="0.2">
      <c r="A49" s="30">
        <v>38</v>
      </c>
      <c r="B49" s="31" t="s">
        <v>88</v>
      </c>
      <c r="C49" s="32" t="s">
        <v>25</v>
      </c>
      <c r="D49" s="33">
        <v>28</v>
      </c>
      <c r="E49" s="35">
        <v>73.010000000000005</v>
      </c>
      <c r="F49" s="32" t="s">
        <v>39</v>
      </c>
      <c r="G49" s="37">
        <v>67.09</v>
      </c>
      <c r="H49" s="38">
        <f t="shared" si="9"/>
        <v>1878.52</v>
      </c>
      <c r="I49" s="38" t="s">
        <v>68</v>
      </c>
      <c r="J49" s="37">
        <v>83</v>
      </c>
      <c r="K49" s="38">
        <f t="shared" si="1"/>
        <v>2324</v>
      </c>
      <c r="L49" s="38" t="s">
        <v>41</v>
      </c>
      <c r="M49" s="37">
        <v>72.34</v>
      </c>
      <c r="N49" s="38">
        <f t="shared" si="2"/>
        <v>2025.52</v>
      </c>
      <c r="O49" s="39">
        <f t="shared" si="3"/>
        <v>74.143333333333331</v>
      </c>
      <c r="P49" s="40">
        <f t="shared" si="4"/>
        <v>-1.5285707863147735</v>
      </c>
      <c r="Q49" s="39">
        <f t="shared" si="5"/>
        <v>2044.2800000000002</v>
      </c>
      <c r="R49" s="41"/>
      <c r="T49" s="42">
        <f t="shared" si="6"/>
        <v>-10</v>
      </c>
      <c r="U49" s="42">
        <f t="shared" si="7"/>
        <v>12</v>
      </c>
      <c r="V49" s="42">
        <f t="shared" si="8"/>
        <v>-2</v>
      </c>
    </row>
    <row r="50" spans="1:22" s="28" customFormat="1" ht="73.5" customHeight="1" x14ac:dyDescent="0.2">
      <c r="A50" s="30">
        <v>39</v>
      </c>
      <c r="B50" s="31" t="s">
        <v>89</v>
      </c>
      <c r="C50" s="32" t="s">
        <v>81</v>
      </c>
      <c r="D50" s="33">
        <v>72</v>
      </c>
      <c r="E50" s="35">
        <v>3120.3</v>
      </c>
      <c r="F50" s="32" t="s">
        <v>90</v>
      </c>
      <c r="G50" s="37">
        <f>3609.86/1.2</f>
        <v>3008.2166666666667</v>
      </c>
      <c r="H50" s="38">
        <f t="shared" si="9"/>
        <v>216591.6</v>
      </c>
      <c r="I50" s="32" t="s">
        <v>46</v>
      </c>
      <c r="J50" s="37">
        <v>3152.91</v>
      </c>
      <c r="K50" s="38">
        <f t="shared" si="1"/>
        <v>227009.52</v>
      </c>
      <c r="L50" s="32" t="s">
        <v>58</v>
      </c>
      <c r="M50" s="37">
        <v>3256.66</v>
      </c>
      <c r="N50" s="38">
        <f t="shared" si="2"/>
        <v>234479.52</v>
      </c>
      <c r="O50" s="39">
        <f t="shared" si="3"/>
        <v>3139.2622222222221</v>
      </c>
      <c r="P50" s="40">
        <f t="shared" si="4"/>
        <v>-0.60403435202043454</v>
      </c>
      <c r="Q50" s="39">
        <f t="shared" si="5"/>
        <v>224661.6</v>
      </c>
      <c r="R50" s="41"/>
      <c r="T50" s="42">
        <f t="shared" si="6"/>
        <v>-4</v>
      </c>
      <c r="U50" s="42">
        <f t="shared" si="7"/>
        <v>0</v>
      </c>
      <c r="V50" s="42">
        <f t="shared" si="8"/>
        <v>4</v>
      </c>
    </row>
    <row r="51" spans="1:22" s="28" customFormat="1" ht="73.5" customHeight="1" x14ac:dyDescent="0.2">
      <c r="A51" s="30">
        <v>40</v>
      </c>
      <c r="B51" s="31" t="s">
        <v>91</v>
      </c>
      <c r="C51" s="32" t="s">
        <v>25</v>
      </c>
      <c r="D51" s="33">
        <v>2</v>
      </c>
      <c r="E51" s="35">
        <v>198500</v>
      </c>
      <c r="F51" s="32" t="s">
        <v>27</v>
      </c>
      <c r="G51" s="37">
        <f>234758.4/1.2</f>
        <v>195632</v>
      </c>
      <c r="H51" s="38">
        <f t="shared" si="9"/>
        <v>391264</v>
      </c>
      <c r="I51" s="38" t="s">
        <v>28</v>
      </c>
      <c r="J51" s="37">
        <v>199452.67</v>
      </c>
      <c r="K51" s="38">
        <f t="shared" si="1"/>
        <v>398905.34</v>
      </c>
      <c r="L51" s="32" t="s">
        <v>29</v>
      </c>
      <c r="M51" s="37">
        <v>201347.8</v>
      </c>
      <c r="N51" s="38">
        <f t="shared" si="2"/>
        <v>402695.6</v>
      </c>
      <c r="O51" s="39">
        <f t="shared" si="3"/>
        <v>198810.82333333333</v>
      </c>
      <c r="P51" s="40">
        <f t="shared" si="4"/>
        <v>-0.1563412535202815</v>
      </c>
      <c r="Q51" s="39">
        <f t="shared" si="5"/>
        <v>397000</v>
      </c>
      <c r="R51" s="64"/>
      <c r="T51" s="42">
        <f t="shared" si="6"/>
        <v>-2</v>
      </c>
      <c r="U51" s="42">
        <f t="shared" si="7"/>
        <v>0</v>
      </c>
      <c r="V51" s="42">
        <f t="shared" si="8"/>
        <v>1</v>
      </c>
    </row>
    <row r="52" spans="1:22" s="28" customFormat="1" ht="73.5" customHeight="1" x14ac:dyDescent="0.2">
      <c r="A52" s="30">
        <v>41</v>
      </c>
      <c r="B52" s="31" t="s">
        <v>92</v>
      </c>
      <c r="C52" s="32" t="s">
        <v>25</v>
      </c>
      <c r="D52" s="33">
        <v>2</v>
      </c>
      <c r="E52" s="35">
        <v>5754.2</v>
      </c>
      <c r="F52" s="32" t="s">
        <v>27</v>
      </c>
      <c r="G52" s="37">
        <f>6701.48/1.2</f>
        <v>5584.5666666666666</v>
      </c>
      <c r="H52" s="38">
        <f t="shared" si="9"/>
        <v>11169.133333333333</v>
      </c>
      <c r="I52" s="38" t="s">
        <v>28</v>
      </c>
      <c r="J52" s="37">
        <v>5784.3</v>
      </c>
      <c r="K52" s="38">
        <f t="shared" si="1"/>
        <v>11568.6</v>
      </c>
      <c r="L52" s="32" t="s">
        <v>29</v>
      </c>
      <c r="M52" s="37">
        <v>5944.87</v>
      </c>
      <c r="N52" s="38">
        <f t="shared" si="2"/>
        <v>11889.74</v>
      </c>
      <c r="O52" s="39">
        <f t="shared" si="3"/>
        <v>5771.2455555555562</v>
      </c>
      <c r="P52" s="40">
        <f t="shared" si="4"/>
        <v>-0.29535315022503994</v>
      </c>
      <c r="Q52" s="39">
        <f t="shared" si="5"/>
        <v>11508.4</v>
      </c>
      <c r="R52" s="41"/>
      <c r="T52" s="42">
        <f t="shared" si="6"/>
        <v>-3</v>
      </c>
      <c r="U52" s="42">
        <f t="shared" si="7"/>
        <v>0</v>
      </c>
      <c r="V52" s="42">
        <f t="shared" si="8"/>
        <v>3</v>
      </c>
    </row>
    <row r="53" spans="1:22" s="28" customFormat="1" ht="73.5" customHeight="1" x14ac:dyDescent="0.2">
      <c r="A53" s="30">
        <v>42</v>
      </c>
      <c r="B53" s="31" t="s">
        <v>93</v>
      </c>
      <c r="C53" s="32" t="s">
        <v>25</v>
      </c>
      <c r="D53" s="33">
        <v>10</v>
      </c>
      <c r="E53" s="35">
        <v>523.29999999999995</v>
      </c>
      <c r="F53" s="32" t="s">
        <v>27</v>
      </c>
      <c r="G53" s="37">
        <f>597.91/1.2</f>
        <v>498.25833333333333</v>
      </c>
      <c r="H53" s="38">
        <f t="shared" si="9"/>
        <v>4982.583333333333</v>
      </c>
      <c r="I53" s="38" t="s">
        <v>28</v>
      </c>
      <c r="J53" s="37">
        <v>521.20000000000005</v>
      </c>
      <c r="K53" s="38">
        <f t="shared" si="1"/>
        <v>5212</v>
      </c>
      <c r="L53" s="32" t="s">
        <v>29</v>
      </c>
      <c r="M53" s="37">
        <v>554.34</v>
      </c>
      <c r="N53" s="38">
        <f t="shared" si="2"/>
        <v>5543.4000000000005</v>
      </c>
      <c r="O53" s="39">
        <f t="shared" si="3"/>
        <v>524.59944444444443</v>
      </c>
      <c r="P53" s="40">
        <f t="shared" si="4"/>
        <v>-0.24770221512922319</v>
      </c>
      <c r="Q53" s="39">
        <f t="shared" si="5"/>
        <v>5233</v>
      </c>
      <c r="R53" s="41"/>
      <c r="T53" s="42">
        <f t="shared" si="6"/>
        <v>-5</v>
      </c>
      <c r="U53" s="42">
        <f t="shared" si="7"/>
        <v>-1</v>
      </c>
      <c r="V53" s="42">
        <f t="shared" si="8"/>
        <v>6</v>
      </c>
    </row>
    <row r="54" spans="1:22" s="28" customFormat="1" ht="73.5" customHeight="1" x14ac:dyDescent="0.2">
      <c r="A54" s="30">
        <v>43</v>
      </c>
      <c r="B54" s="31" t="s">
        <v>94</v>
      </c>
      <c r="C54" s="32" t="s">
        <v>25</v>
      </c>
      <c r="D54" s="33" t="s">
        <v>95</v>
      </c>
      <c r="E54" s="35">
        <v>517.11</v>
      </c>
      <c r="F54" s="32" t="s">
        <v>27</v>
      </c>
      <c r="G54" s="37">
        <f>583.14/1.2</f>
        <v>485.95</v>
      </c>
      <c r="H54" s="38">
        <f t="shared" si="9"/>
        <v>23325.599999999999</v>
      </c>
      <c r="I54" s="38" t="s">
        <v>28</v>
      </c>
      <c r="J54" s="37">
        <v>519.29999999999995</v>
      </c>
      <c r="K54" s="38">
        <f t="shared" si="1"/>
        <v>24926.399999999998</v>
      </c>
      <c r="L54" s="32" t="s">
        <v>29</v>
      </c>
      <c r="M54" s="37">
        <v>550.4</v>
      </c>
      <c r="N54" s="38">
        <f t="shared" si="2"/>
        <v>26419.199999999997</v>
      </c>
      <c r="O54" s="39">
        <f t="shared" si="3"/>
        <v>518.55000000000007</v>
      </c>
      <c r="P54" s="40">
        <f t="shared" si="4"/>
        <v>-0.2776974255134661</v>
      </c>
      <c r="Q54" s="39">
        <f t="shared" si="5"/>
        <v>24821.279999999999</v>
      </c>
      <c r="R54" s="41"/>
      <c r="T54" s="42">
        <f t="shared" si="6"/>
        <v>-6</v>
      </c>
      <c r="U54" s="42">
        <f t="shared" si="7"/>
        <v>0</v>
      </c>
      <c r="V54" s="42">
        <f t="shared" si="8"/>
        <v>6</v>
      </c>
    </row>
    <row r="55" spans="1:22" s="28" customFormat="1" ht="73.5" customHeight="1" x14ac:dyDescent="0.2">
      <c r="A55" s="30">
        <v>44</v>
      </c>
      <c r="B55" s="31" t="s">
        <v>96</v>
      </c>
      <c r="C55" s="32" t="s">
        <v>25</v>
      </c>
      <c r="D55" s="33" t="s">
        <v>97</v>
      </c>
      <c r="E55" s="35">
        <v>5116.7</v>
      </c>
      <c r="F55" s="32" t="s">
        <v>27</v>
      </c>
      <c r="G55" s="37">
        <f>5997.8/1.2</f>
        <v>4998.166666666667</v>
      </c>
      <c r="H55" s="38">
        <f t="shared" si="9"/>
        <v>4998.166666666667</v>
      </c>
      <c r="I55" s="38" t="s">
        <v>28</v>
      </c>
      <c r="J55" s="37">
        <v>5100.67</v>
      </c>
      <c r="K55" s="38">
        <f t="shared" si="1"/>
        <v>5100.67</v>
      </c>
      <c r="L55" s="32" t="s">
        <v>29</v>
      </c>
      <c r="M55" s="37">
        <v>5427.9</v>
      </c>
      <c r="N55" s="38">
        <f t="shared" si="2"/>
        <v>5427.9</v>
      </c>
      <c r="O55" s="39">
        <f t="shared" si="3"/>
        <v>5175.5788888888883</v>
      </c>
      <c r="P55" s="40">
        <f t="shared" si="4"/>
        <v>-1.1376290489029515</v>
      </c>
      <c r="Q55" s="39">
        <f t="shared" si="5"/>
        <v>5116.7</v>
      </c>
      <c r="R55" s="41"/>
      <c r="T55" s="42">
        <f t="shared" si="6"/>
        <v>-3</v>
      </c>
      <c r="U55" s="42">
        <f t="shared" si="7"/>
        <v>-1</v>
      </c>
      <c r="V55" s="42">
        <f t="shared" si="8"/>
        <v>5</v>
      </c>
    </row>
    <row r="56" spans="1:22" s="28" customFormat="1" ht="73.5" customHeight="1" x14ac:dyDescent="0.2">
      <c r="A56" s="30">
        <v>45</v>
      </c>
      <c r="B56" s="31" t="s">
        <v>98</v>
      </c>
      <c r="C56" s="32" t="s">
        <v>25</v>
      </c>
      <c r="D56" s="33">
        <v>1</v>
      </c>
      <c r="E56" s="35">
        <v>5200.3999999999996</v>
      </c>
      <c r="F56" s="32" t="s">
        <v>27</v>
      </c>
      <c r="G56" s="37">
        <f>6038.66/1.2</f>
        <v>5032.2166666666672</v>
      </c>
      <c r="H56" s="38">
        <f t="shared" si="9"/>
        <v>5032.2166666666672</v>
      </c>
      <c r="I56" s="38" t="s">
        <v>28</v>
      </c>
      <c r="J56" s="37">
        <v>5201.7</v>
      </c>
      <c r="K56" s="38">
        <f t="shared" si="1"/>
        <v>5201.7</v>
      </c>
      <c r="L56" s="32" t="s">
        <v>29</v>
      </c>
      <c r="M56" s="37">
        <v>5504.9</v>
      </c>
      <c r="N56" s="38">
        <f t="shared" si="2"/>
        <v>5504.9</v>
      </c>
      <c r="O56" s="39">
        <f t="shared" si="3"/>
        <v>5246.2722222222228</v>
      </c>
      <c r="P56" s="40">
        <f t="shared" si="4"/>
        <v>-0.87437746802228844</v>
      </c>
      <c r="Q56" s="39">
        <f t="shared" si="5"/>
        <v>5200.3999999999996</v>
      </c>
      <c r="R56" s="41"/>
      <c r="T56" s="42">
        <f t="shared" si="6"/>
        <v>-4</v>
      </c>
      <c r="U56" s="42">
        <f t="shared" si="7"/>
        <v>-1</v>
      </c>
      <c r="V56" s="42">
        <f t="shared" si="8"/>
        <v>5</v>
      </c>
    </row>
    <row r="57" spans="1:22" s="28" customFormat="1" ht="73.5" customHeight="1" x14ac:dyDescent="0.2">
      <c r="A57" s="30">
        <v>46</v>
      </c>
      <c r="B57" s="31" t="s">
        <v>99</v>
      </c>
      <c r="C57" s="32" t="s">
        <v>25</v>
      </c>
      <c r="D57" s="33">
        <v>3</v>
      </c>
      <c r="E57" s="35">
        <v>1796.4</v>
      </c>
      <c r="F57" s="32" t="s">
        <v>27</v>
      </c>
      <c r="G57" s="37">
        <f>2109.78/1.2</f>
        <v>1758.1500000000003</v>
      </c>
      <c r="H57" s="38">
        <f t="shared" si="9"/>
        <v>5274.4500000000007</v>
      </c>
      <c r="I57" s="38" t="s">
        <v>28</v>
      </c>
      <c r="J57" s="37">
        <v>1801.3</v>
      </c>
      <c r="K57" s="38">
        <f t="shared" si="1"/>
        <v>5403.9</v>
      </c>
      <c r="L57" s="32" t="s">
        <v>29</v>
      </c>
      <c r="M57" s="37">
        <v>1956.8</v>
      </c>
      <c r="N57" s="38">
        <f t="shared" si="2"/>
        <v>5870.4</v>
      </c>
      <c r="O57" s="39">
        <f t="shared" si="3"/>
        <v>1838.75</v>
      </c>
      <c r="P57" s="40">
        <f t="shared" si="4"/>
        <v>-2.3031951053704915</v>
      </c>
      <c r="Q57" s="39">
        <f t="shared" si="5"/>
        <v>5389.2000000000007</v>
      </c>
      <c r="R57" s="41"/>
      <c r="T57" s="42">
        <f t="shared" si="6"/>
        <v>-4</v>
      </c>
      <c r="U57" s="42">
        <f t="shared" si="7"/>
        <v>-2</v>
      </c>
      <c r="V57" s="42">
        <f t="shared" si="8"/>
        <v>6</v>
      </c>
    </row>
    <row r="58" spans="1:22" s="28" customFormat="1" ht="73.5" customHeight="1" x14ac:dyDescent="0.2">
      <c r="A58" s="30">
        <v>47</v>
      </c>
      <c r="B58" s="31" t="s">
        <v>100</v>
      </c>
      <c r="C58" s="32" t="s">
        <v>25</v>
      </c>
      <c r="D58" s="33">
        <v>11</v>
      </c>
      <c r="E58" s="35">
        <v>7180.45</v>
      </c>
      <c r="F58" s="32" t="s">
        <v>27</v>
      </c>
      <c r="G58" s="37">
        <f>8361.03/1.2</f>
        <v>6967.5250000000005</v>
      </c>
      <c r="H58" s="38">
        <f t="shared" si="9"/>
        <v>76642.775000000009</v>
      </c>
      <c r="I58" s="38" t="s">
        <v>28</v>
      </c>
      <c r="J58" s="37">
        <v>7201.4</v>
      </c>
      <c r="K58" s="38">
        <f t="shared" si="1"/>
        <v>79215.399999999994</v>
      </c>
      <c r="L58" s="32" t="s">
        <v>29</v>
      </c>
      <c r="M58" s="37">
        <v>7422.6</v>
      </c>
      <c r="N58" s="38">
        <f t="shared" si="2"/>
        <v>81648.600000000006</v>
      </c>
      <c r="O58" s="39">
        <f t="shared" si="3"/>
        <v>7197.1750000000002</v>
      </c>
      <c r="P58" s="40">
        <f t="shared" si="4"/>
        <v>-0.23238284465780623</v>
      </c>
      <c r="Q58" s="39">
        <f t="shared" si="5"/>
        <v>78984.95</v>
      </c>
      <c r="R58" s="41"/>
      <c r="T58" s="42">
        <f t="shared" si="6"/>
        <v>-3</v>
      </c>
      <c r="U58" s="42">
        <f t="shared" si="7"/>
        <v>0</v>
      </c>
      <c r="V58" s="42">
        <f t="shared" si="8"/>
        <v>3</v>
      </c>
    </row>
    <row r="59" spans="1:22" s="28" customFormat="1" ht="73.5" customHeight="1" x14ac:dyDescent="0.2">
      <c r="A59" s="30">
        <v>48</v>
      </c>
      <c r="B59" s="31" t="s">
        <v>101</v>
      </c>
      <c r="C59" s="32" t="s">
        <v>25</v>
      </c>
      <c r="D59" s="33">
        <v>6</v>
      </c>
      <c r="E59" s="35">
        <v>138.5</v>
      </c>
      <c r="F59" s="32" t="s">
        <v>27</v>
      </c>
      <c r="G59" s="37">
        <f>159.22/1.2</f>
        <v>132.68333333333334</v>
      </c>
      <c r="H59" s="38">
        <f t="shared" si="9"/>
        <v>796.1</v>
      </c>
      <c r="I59" s="38" t="s">
        <v>28</v>
      </c>
      <c r="J59" s="37">
        <v>139.87</v>
      </c>
      <c r="K59" s="38">
        <f t="shared" si="1"/>
        <v>839.22</v>
      </c>
      <c r="L59" s="32" t="s">
        <v>29</v>
      </c>
      <c r="M59" s="37">
        <v>145.24</v>
      </c>
      <c r="N59" s="38">
        <f t="shared" si="2"/>
        <v>871.44</v>
      </c>
      <c r="O59" s="39">
        <f t="shared" si="3"/>
        <v>139.26444444444445</v>
      </c>
      <c r="P59" s="40">
        <f t="shared" si="4"/>
        <v>-0.54891573186105802</v>
      </c>
      <c r="Q59" s="39">
        <f t="shared" si="5"/>
        <v>831</v>
      </c>
      <c r="R59" s="41"/>
      <c r="T59" s="42">
        <f t="shared" si="6"/>
        <v>-5</v>
      </c>
      <c r="U59" s="42">
        <f t="shared" si="7"/>
        <v>0</v>
      </c>
      <c r="V59" s="42">
        <f t="shared" si="8"/>
        <v>4</v>
      </c>
    </row>
    <row r="60" spans="1:22" s="28" customFormat="1" ht="73.5" customHeight="1" x14ac:dyDescent="0.2">
      <c r="A60" s="30">
        <v>49</v>
      </c>
      <c r="B60" s="31" t="s">
        <v>102</v>
      </c>
      <c r="C60" s="32" t="s">
        <v>25</v>
      </c>
      <c r="D60" s="33" t="s">
        <v>103</v>
      </c>
      <c r="E60" s="35">
        <v>118.5</v>
      </c>
      <c r="F60" s="32" t="s">
        <v>27</v>
      </c>
      <c r="G60" s="37">
        <f>137.81/1.2</f>
        <v>114.84166666666667</v>
      </c>
      <c r="H60" s="38">
        <f t="shared" si="9"/>
        <v>2871.0416666666665</v>
      </c>
      <c r="I60" s="38" t="s">
        <v>28</v>
      </c>
      <c r="J60" s="37">
        <v>121.47</v>
      </c>
      <c r="K60" s="38">
        <f t="shared" si="1"/>
        <v>3036.75</v>
      </c>
      <c r="L60" s="32" t="s">
        <v>29</v>
      </c>
      <c r="M60" s="37">
        <v>119.8</v>
      </c>
      <c r="N60" s="38">
        <f t="shared" si="2"/>
        <v>2995</v>
      </c>
      <c r="O60" s="39">
        <f t="shared" si="3"/>
        <v>118.7038888888889</v>
      </c>
      <c r="P60" s="40">
        <f t="shared" si="4"/>
        <v>-0.17176260255445186</v>
      </c>
      <c r="Q60" s="39">
        <f t="shared" si="5"/>
        <v>2962.5</v>
      </c>
      <c r="R60" s="41"/>
      <c r="T60" s="42">
        <f t="shared" si="6"/>
        <v>-3</v>
      </c>
      <c r="U60" s="42">
        <f t="shared" si="7"/>
        <v>2</v>
      </c>
      <c r="V60" s="42">
        <f t="shared" si="8"/>
        <v>1</v>
      </c>
    </row>
    <row r="61" spans="1:22" s="28" customFormat="1" ht="73.5" customHeight="1" x14ac:dyDescent="0.2">
      <c r="A61" s="30">
        <v>50</v>
      </c>
      <c r="B61" s="31" t="s">
        <v>104</v>
      </c>
      <c r="C61" s="32" t="s">
        <v>25</v>
      </c>
      <c r="D61" s="33" t="s">
        <v>105</v>
      </c>
      <c r="E61" s="35">
        <v>174.59</v>
      </c>
      <c r="F61" s="32" t="s">
        <v>27</v>
      </c>
      <c r="G61" s="37">
        <f>203.54/1.2</f>
        <v>169.61666666666667</v>
      </c>
      <c r="H61" s="38">
        <f t="shared" si="9"/>
        <v>1356.9333333333334</v>
      </c>
      <c r="I61" s="38" t="s">
        <v>28</v>
      </c>
      <c r="J61" s="37">
        <v>175.54</v>
      </c>
      <c r="K61" s="38">
        <f t="shared" si="1"/>
        <v>1404.32</v>
      </c>
      <c r="L61" s="32" t="s">
        <v>29</v>
      </c>
      <c r="M61" s="37">
        <v>181.7</v>
      </c>
      <c r="N61" s="38">
        <f t="shared" si="2"/>
        <v>1453.6</v>
      </c>
      <c r="O61" s="39">
        <f t="shared" si="3"/>
        <v>175.61888888888885</v>
      </c>
      <c r="P61" s="40">
        <f t="shared" si="4"/>
        <v>-0.58586459315307593</v>
      </c>
      <c r="Q61" s="39">
        <f t="shared" si="5"/>
        <v>1396.72</v>
      </c>
      <c r="R61" s="41"/>
      <c r="T61" s="42">
        <f t="shared" si="6"/>
        <v>-3</v>
      </c>
      <c r="U61" s="42">
        <f t="shared" si="7"/>
        <v>0</v>
      </c>
      <c r="V61" s="42">
        <f t="shared" si="8"/>
        <v>3</v>
      </c>
    </row>
    <row r="62" spans="1:22" s="28" customFormat="1" ht="73.5" customHeight="1" x14ac:dyDescent="0.2">
      <c r="A62" s="30">
        <v>51</v>
      </c>
      <c r="B62" s="31" t="s">
        <v>106</v>
      </c>
      <c r="C62" s="32" t="s">
        <v>25</v>
      </c>
      <c r="D62" s="33">
        <v>1</v>
      </c>
      <c r="E62" s="35">
        <v>800.12</v>
      </c>
      <c r="F62" s="32" t="s">
        <v>27</v>
      </c>
      <c r="G62" s="37">
        <f>945.37/1.2</f>
        <v>787.80833333333339</v>
      </c>
      <c r="H62" s="38">
        <f t="shared" si="9"/>
        <v>787.80833333333339</v>
      </c>
      <c r="I62" s="38" t="s">
        <v>28</v>
      </c>
      <c r="J62" s="37">
        <v>799.9</v>
      </c>
      <c r="K62" s="38">
        <f t="shared" si="1"/>
        <v>799.9</v>
      </c>
      <c r="L62" s="32" t="s">
        <v>29</v>
      </c>
      <c r="M62" s="37">
        <v>820.4</v>
      </c>
      <c r="N62" s="38">
        <f t="shared" si="2"/>
        <v>820.4</v>
      </c>
      <c r="O62" s="39">
        <f t="shared" si="3"/>
        <v>802.7027777777779</v>
      </c>
      <c r="P62" s="40">
        <f t="shared" si="4"/>
        <v>-0.32176016444444144</v>
      </c>
      <c r="Q62" s="39">
        <f t="shared" si="5"/>
        <v>800.12</v>
      </c>
      <c r="R62" s="41"/>
      <c r="T62" s="42">
        <f t="shared" si="6"/>
        <v>-2</v>
      </c>
      <c r="U62" s="42">
        <f t="shared" si="7"/>
        <v>0</v>
      </c>
      <c r="V62" s="42">
        <f t="shared" si="8"/>
        <v>2</v>
      </c>
    </row>
    <row r="63" spans="1:22" s="28" customFormat="1" ht="73.5" customHeight="1" x14ac:dyDescent="0.2">
      <c r="A63" s="30">
        <v>52</v>
      </c>
      <c r="B63" s="31" t="s">
        <v>107</v>
      </c>
      <c r="C63" s="32" t="s">
        <v>45</v>
      </c>
      <c r="D63" s="33">
        <v>30.2</v>
      </c>
      <c r="E63" s="35">
        <v>12456.8</v>
      </c>
      <c r="F63" s="32" t="s">
        <v>39</v>
      </c>
      <c r="G63" s="37">
        <f>5074.31*1000/400</f>
        <v>12685.775</v>
      </c>
      <c r="H63" s="38">
        <f t="shared" si="9"/>
        <v>383110.40499999997</v>
      </c>
      <c r="I63" s="32" t="s">
        <v>40</v>
      </c>
      <c r="J63" s="37">
        <f>5560*1000/400/1.2</f>
        <v>11583.333333333334</v>
      </c>
      <c r="K63" s="38">
        <f t="shared" si="1"/>
        <v>349816.66666666669</v>
      </c>
      <c r="L63" s="32" t="s">
        <v>108</v>
      </c>
      <c r="M63" s="37">
        <f>5299.17*1000/400</f>
        <v>13247.924999999999</v>
      </c>
      <c r="N63" s="38">
        <f t="shared" si="2"/>
        <v>400087.33499999996</v>
      </c>
      <c r="O63" s="39">
        <f t="shared" si="3"/>
        <v>12505.677777777777</v>
      </c>
      <c r="P63" s="40">
        <f t="shared" si="4"/>
        <v>-0.39084469187773152</v>
      </c>
      <c r="Q63" s="39">
        <f t="shared" si="5"/>
        <v>376195.36</v>
      </c>
      <c r="R63" s="64"/>
      <c r="T63" s="42">
        <f t="shared" si="6"/>
        <v>1</v>
      </c>
      <c r="U63" s="42">
        <f t="shared" si="7"/>
        <v>-7</v>
      </c>
      <c r="V63" s="42">
        <f t="shared" si="8"/>
        <v>6</v>
      </c>
    </row>
    <row r="64" spans="1:22" s="28" customFormat="1" ht="73.5" customHeight="1" x14ac:dyDescent="0.2">
      <c r="A64" s="30">
        <v>53</v>
      </c>
      <c r="B64" s="31" t="s">
        <v>109</v>
      </c>
      <c r="C64" s="32" t="s">
        <v>25</v>
      </c>
      <c r="D64" s="33">
        <v>40</v>
      </c>
      <c r="E64" s="35">
        <v>5.1100000000000003</v>
      </c>
      <c r="F64" s="32" t="s">
        <v>39</v>
      </c>
      <c r="G64" s="37">
        <v>4.83</v>
      </c>
      <c r="H64" s="38">
        <f t="shared" si="9"/>
        <v>193.2</v>
      </c>
      <c r="I64" s="32" t="s">
        <v>54</v>
      </c>
      <c r="J64" s="37">
        <v>5.12</v>
      </c>
      <c r="K64" s="38">
        <f t="shared" si="1"/>
        <v>204.8</v>
      </c>
      <c r="L64" s="38" t="s">
        <v>41</v>
      </c>
      <c r="M64" s="37">
        <v>5.8</v>
      </c>
      <c r="N64" s="38">
        <f t="shared" si="2"/>
        <v>232</v>
      </c>
      <c r="O64" s="39">
        <f t="shared" si="3"/>
        <v>5.25</v>
      </c>
      <c r="P64" s="40">
        <f t="shared" si="4"/>
        <v>-2.6666666666666572</v>
      </c>
      <c r="Q64" s="39">
        <f t="shared" si="5"/>
        <v>204.4</v>
      </c>
      <c r="R64" s="41"/>
      <c r="T64" s="42">
        <f t="shared" si="6"/>
        <v>-8</v>
      </c>
      <c r="U64" s="42">
        <f t="shared" si="7"/>
        <v>-2</v>
      </c>
      <c r="V64" s="42">
        <f t="shared" si="8"/>
        <v>10</v>
      </c>
    </row>
    <row r="65" spans="1:22" s="28" customFormat="1" ht="73.5" customHeight="1" x14ac:dyDescent="0.2">
      <c r="A65" s="30">
        <v>54</v>
      </c>
      <c r="B65" s="31" t="s">
        <v>110</v>
      </c>
      <c r="C65" s="32" t="s">
        <v>25</v>
      </c>
      <c r="D65" s="33">
        <v>20</v>
      </c>
      <c r="E65" s="35">
        <v>7.08</v>
      </c>
      <c r="F65" s="32" t="s">
        <v>39</v>
      </c>
      <c r="G65" s="37">
        <v>6.95</v>
      </c>
      <c r="H65" s="38">
        <f t="shared" si="9"/>
        <v>139</v>
      </c>
      <c r="I65" s="32" t="s">
        <v>54</v>
      </c>
      <c r="J65" s="37">
        <v>7.32</v>
      </c>
      <c r="K65" s="38">
        <f t="shared" si="1"/>
        <v>146.4</v>
      </c>
      <c r="L65" s="38" t="s">
        <v>41</v>
      </c>
      <c r="M65" s="37">
        <v>7.13</v>
      </c>
      <c r="N65" s="38">
        <f t="shared" si="2"/>
        <v>142.6</v>
      </c>
      <c r="O65" s="39">
        <f t="shared" si="3"/>
        <v>7.1333333333333329</v>
      </c>
      <c r="P65" s="40">
        <f t="shared" si="4"/>
        <v>-0.74766355140185681</v>
      </c>
      <c r="Q65" s="39">
        <f t="shared" si="5"/>
        <v>141.6</v>
      </c>
      <c r="R65" s="41"/>
      <c r="T65" s="42">
        <f t="shared" si="6"/>
        <v>-3</v>
      </c>
      <c r="U65" s="42">
        <f t="shared" si="7"/>
        <v>3</v>
      </c>
      <c r="V65" s="42">
        <f t="shared" si="8"/>
        <v>0</v>
      </c>
    </row>
    <row r="66" spans="1:22" s="28" customFormat="1" ht="73.5" customHeight="1" x14ac:dyDescent="0.2">
      <c r="A66" s="30">
        <v>55</v>
      </c>
      <c r="B66" s="31" t="s">
        <v>111</v>
      </c>
      <c r="C66" s="32" t="s">
        <v>25</v>
      </c>
      <c r="D66" s="33">
        <v>480</v>
      </c>
      <c r="E66" s="35">
        <v>18.600000000000001</v>
      </c>
      <c r="F66" s="32" t="s">
        <v>39</v>
      </c>
      <c r="G66" s="37">
        <v>18.07</v>
      </c>
      <c r="H66" s="38">
        <f t="shared" si="9"/>
        <v>8673.6</v>
      </c>
      <c r="I66" s="32" t="s">
        <v>54</v>
      </c>
      <c r="J66" s="37">
        <v>17.59</v>
      </c>
      <c r="K66" s="38">
        <f t="shared" si="1"/>
        <v>8443.2000000000007</v>
      </c>
      <c r="L66" s="38" t="s">
        <v>41</v>
      </c>
      <c r="M66" s="37">
        <v>21.07</v>
      </c>
      <c r="N66" s="38">
        <f t="shared" si="2"/>
        <v>10113.6</v>
      </c>
      <c r="O66" s="39">
        <f t="shared" si="3"/>
        <v>18.91</v>
      </c>
      <c r="P66" s="40">
        <f t="shared" si="4"/>
        <v>-1.6393442622950687</v>
      </c>
      <c r="Q66" s="39">
        <f t="shared" si="5"/>
        <v>8928</v>
      </c>
      <c r="R66" s="41"/>
      <c r="T66" s="42">
        <f t="shared" si="6"/>
        <v>-4</v>
      </c>
      <c r="U66" s="42">
        <f t="shared" si="7"/>
        <v>-7</v>
      </c>
      <c r="V66" s="42">
        <f t="shared" si="8"/>
        <v>11</v>
      </c>
    </row>
    <row r="67" spans="1:22" s="28" customFormat="1" ht="73.5" customHeight="1" x14ac:dyDescent="0.2">
      <c r="A67" s="30">
        <v>56</v>
      </c>
      <c r="B67" s="31" t="s">
        <v>112</v>
      </c>
      <c r="C67" s="32" t="s">
        <v>25</v>
      </c>
      <c r="D67" s="33">
        <v>1200</v>
      </c>
      <c r="E67" s="35">
        <v>33.56</v>
      </c>
      <c r="F67" s="32" t="s">
        <v>39</v>
      </c>
      <c r="G67" s="37">
        <v>33.19</v>
      </c>
      <c r="H67" s="38">
        <f t="shared" si="9"/>
        <v>39828</v>
      </c>
      <c r="I67" s="32" t="s">
        <v>54</v>
      </c>
      <c r="J67" s="37">
        <v>36.54</v>
      </c>
      <c r="K67" s="38">
        <f t="shared" si="1"/>
        <v>43848</v>
      </c>
      <c r="L67" s="38" t="s">
        <v>41</v>
      </c>
      <c r="M67" s="37">
        <v>31.47</v>
      </c>
      <c r="N67" s="38">
        <f t="shared" si="2"/>
        <v>37764</v>
      </c>
      <c r="O67" s="39">
        <f t="shared" si="3"/>
        <v>33.733333333333327</v>
      </c>
      <c r="P67" s="40">
        <f t="shared" si="4"/>
        <v>-0.51383399209484537</v>
      </c>
      <c r="Q67" s="39">
        <f t="shared" si="5"/>
        <v>40272</v>
      </c>
      <c r="R67" s="41"/>
      <c r="T67" s="42">
        <f t="shared" si="6"/>
        <v>-2</v>
      </c>
      <c r="U67" s="42">
        <f t="shared" si="7"/>
        <v>8</v>
      </c>
      <c r="V67" s="42">
        <f t="shared" si="8"/>
        <v>-7</v>
      </c>
    </row>
    <row r="68" spans="1:22" s="28" customFormat="1" ht="73.5" customHeight="1" x14ac:dyDescent="0.2">
      <c r="A68" s="30">
        <v>57</v>
      </c>
      <c r="B68" s="31" t="s">
        <v>113</v>
      </c>
      <c r="C68" s="32" t="s">
        <v>25</v>
      </c>
      <c r="D68" s="33">
        <v>40</v>
      </c>
      <c r="E68" s="35">
        <v>1.5</v>
      </c>
      <c r="F68" s="32" t="s">
        <v>39</v>
      </c>
      <c r="G68" s="37">
        <v>1.47</v>
      </c>
      <c r="H68" s="38">
        <f t="shared" si="9"/>
        <v>58.8</v>
      </c>
      <c r="I68" s="32" t="s">
        <v>54</v>
      </c>
      <c r="J68" s="37">
        <v>1.4</v>
      </c>
      <c r="K68" s="38">
        <f t="shared" si="1"/>
        <v>56</v>
      </c>
      <c r="L68" s="38" t="s">
        <v>41</v>
      </c>
      <c r="M68" s="37">
        <v>1.65</v>
      </c>
      <c r="N68" s="38">
        <f t="shared" si="2"/>
        <v>66</v>
      </c>
      <c r="O68" s="39">
        <f t="shared" si="3"/>
        <v>1.5066666666666666</v>
      </c>
      <c r="P68" s="40">
        <f t="shared" si="4"/>
        <v>-0.44247787610619582</v>
      </c>
      <c r="Q68" s="39">
        <f t="shared" si="5"/>
        <v>60</v>
      </c>
      <c r="R68" s="41"/>
      <c r="T68" s="42">
        <f t="shared" si="6"/>
        <v>-2</v>
      </c>
      <c r="U68" s="42">
        <f t="shared" si="7"/>
        <v>-7</v>
      </c>
      <c r="V68" s="42">
        <f t="shared" si="8"/>
        <v>10</v>
      </c>
    </row>
    <row r="69" spans="1:22" s="28" customFormat="1" ht="73.5" customHeight="1" x14ac:dyDescent="0.2">
      <c r="A69" s="30">
        <v>58</v>
      </c>
      <c r="B69" s="31" t="s">
        <v>114</v>
      </c>
      <c r="C69" s="32" t="s">
        <v>25</v>
      </c>
      <c r="D69" s="33">
        <v>30</v>
      </c>
      <c r="E69" s="35">
        <v>2.99</v>
      </c>
      <c r="F69" s="32" t="s">
        <v>39</v>
      </c>
      <c r="G69" s="37">
        <v>2.92</v>
      </c>
      <c r="H69" s="38">
        <f t="shared" si="9"/>
        <v>87.6</v>
      </c>
      <c r="I69" s="32" t="s">
        <v>54</v>
      </c>
      <c r="J69" s="37">
        <v>3.1</v>
      </c>
      <c r="K69" s="38">
        <f t="shared" si="1"/>
        <v>93</v>
      </c>
      <c r="L69" s="38" t="s">
        <v>41</v>
      </c>
      <c r="M69" s="37">
        <v>2.98</v>
      </c>
      <c r="N69" s="38">
        <f t="shared" si="2"/>
        <v>89.4</v>
      </c>
      <c r="O69" s="39">
        <f t="shared" si="3"/>
        <v>3</v>
      </c>
      <c r="P69" s="40">
        <f t="shared" si="4"/>
        <v>-0.3333333333333286</v>
      </c>
      <c r="Q69" s="39">
        <f t="shared" si="5"/>
        <v>89.7</v>
      </c>
      <c r="R69" s="41"/>
      <c r="T69" s="42">
        <f t="shared" si="6"/>
        <v>-3</v>
      </c>
      <c r="U69" s="42">
        <f t="shared" si="7"/>
        <v>3</v>
      </c>
      <c r="V69" s="42">
        <f t="shared" si="8"/>
        <v>-1</v>
      </c>
    </row>
    <row r="70" spans="1:22" s="28" customFormat="1" ht="60" customHeight="1" x14ac:dyDescent="0.2">
      <c r="A70" s="30">
        <v>59</v>
      </c>
      <c r="B70" s="31" t="s">
        <v>115</v>
      </c>
      <c r="C70" s="32" t="s">
        <v>25</v>
      </c>
      <c r="D70" s="33">
        <v>6</v>
      </c>
      <c r="E70" s="35">
        <v>235.6</v>
      </c>
      <c r="F70" s="32" t="s">
        <v>469</v>
      </c>
      <c r="G70" s="37">
        <v>214</v>
      </c>
      <c r="H70" s="38">
        <f t="shared" si="9"/>
        <v>1284</v>
      </c>
      <c r="I70" s="32" t="s">
        <v>470</v>
      </c>
      <c r="J70" s="37">
        <v>278.67</v>
      </c>
      <c r="K70" s="38">
        <f t="shared" si="1"/>
        <v>1672.02</v>
      </c>
      <c r="L70" s="38" t="s">
        <v>471</v>
      </c>
      <c r="M70" s="37">
        <v>221.08</v>
      </c>
      <c r="N70" s="38">
        <f t="shared" si="2"/>
        <v>1326.48</v>
      </c>
      <c r="O70" s="39">
        <f t="shared" si="3"/>
        <v>237.91666666666666</v>
      </c>
      <c r="P70" s="40">
        <f t="shared" si="4"/>
        <v>-0.97373029772329289</v>
      </c>
      <c r="Q70" s="39">
        <f t="shared" si="5"/>
        <v>1413.6</v>
      </c>
      <c r="R70" s="47" t="s">
        <v>472</v>
      </c>
      <c r="T70" s="42">
        <f t="shared" si="6"/>
        <v>-10</v>
      </c>
      <c r="U70" s="42">
        <f t="shared" si="7"/>
        <v>17</v>
      </c>
      <c r="V70" s="42">
        <f t="shared" si="8"/>
        <v>-7</v>
      </c>
    </row>
    <row r="71" spans="1:22" s="28" customFormat="1" ht="73.5" customHeight="1" x14ac:dyDescent="0.2">
      <c r="A71" s="30">
        <v>60</v>
      </c>
      <c r="B71" s="31" t="s">
        <v>117</v>
      </c>
      <c r="C71" s="32" t="s">
        <v>118</v>
      </c>
      <c r="D71" s="33">
        <v>135</v>
      </c>
      <c r="E71" s="35">
        <v>203.5</v>
      </c>
      <c r="F71" s="32" t="s">
        <v>56</v>
      </c>
      <c r="G71" s="37">
        <v>197.36</v>
      </c>
      <c r="H71" s="38">
        <f t="shared" si="9"/>
        <v>26643.600000000002</v>
      </c>
      <c r="I71" s="32" t="s">
        <v>57</v>
      </c>
      <c r="J71" s="37">
        <v>220.92</v>
      </c>
      <c r="K71" s="38">
        <f t="shared" si="1"/>
        <v>29824.199999999997</v>
      </c>
      <c r="L71" s="32" t="s">
        <v>119</v>
      </c>
      <c r="M71" s="37">
        <v>193.78</v>
      </c>
      <c r="N71" s="38">
        <f t="shared" si="2"/>
        <v>26160.3</v>
      </c>
      <c r="O71" s="39">
        <f t="shared" si="3"/>
        <v>204.01999999999998</v>
      </c>
      <c r="P71" s="40">
        <f t="shared" si="4"/>
        <v>-0.25487697284579269</v>
      </c>
      <c r="Q71" s="39">
        <f t="shared" si="5"/>
        <v>27472.5</v>
      </c>
      <c r="R71" s="47"/>
      <c r="T71" s="42">
        <f t="shared" si="6"/>
        <v>-3</v>
      </c>
      <c r="U71" s="42">
        <f t="shared" si="7"/>
        <v>8</v>
      </c>
      <c r="V71" s="42">
        <f t="shared" si="8"/>
        <v>-5</v>
      </c>
    </row>
    <row r="72" spans="1:22" s="28" customFormat="1" ht="71.25" customHeight="1" x14ac:dyDescent="0.2">
      <c r="A72" s="30">
        <v>61</v>
      </c>
      <c r="B72" s="31" t="s">
        <v>120</v>
      </c>
      <c r="C72" s="32" t="s">
        <v>25</v>
      </c>
      <c r="D72" s="33">
        <v>6</v>
      </c>
      <c r="E72" s="35">
        <v>175500</v>
      </c>
      <c r="F72" s="32" t="s">
        <v>56</v>
      </c>
      <c r="G72" s="37">
        <v>167514.67000000001</v>
      </c>
      <c r="H72" s="38">
        <f t="shared" si="9"/>
        <v>1005088.02</v>
      </c>
      <c r="I72" s="32" t="s">
        <v>57</v>
      </c>
      <c r="J72" s="37">
        <v>184511.4</v>
      </c>
      <c r="K72" s="38">
        <f t="shared" si="1"/>
        <v>1107068.3999999999</v>
      </c>
      <c r="L72" s="32" t="s">
        <v>119</v>
      </c>
      <c r="M72" s="37">
        <v>175488.6</v>
      </c>
      <c r="N72" s="38">
        <f t="shared" si="2"/>
        <v>1052931.6000000001</v>
      </c>
      <c r="O72" s="39">
        <f t="shared" si="3"/>
        <v>175838.22333333336</v>
      </c>
      <c r="P72" s="40">
        <f t="shared" si="4"/>
        <v>-0.19234915305769107</v>
      </c>
      <c r="Q72" s="39">
        <f t="shared" si="5"/>
        <v>1053000</v>
      </c>
      <c r="R72" s="47" t="s">
        <v>116</v>
      </c>
      <c r="T72" s="42">
        <f t="shared" si="6"/>
        <v>-5</v>
      </c>
      <c r="U72" s="42">
        <f t="shared" si="7"/>
        <v>5</v>
      </c>
      <c r="V72" s="42">
        <f t="shared" si="8"/>
        <v>0</v>
      </c>
    </row>
    <row r="73" spans="1:22" s="28" customFormat="1" ht="73.5" customHeight="1" x14ac:dyDescent="0.2">
      <c r="A73" s="30">
        <v>62</v>
      </c>
      <c r="B73" s="31" t="s">
        <v>121</v>
      </c>
      <c r="C73" s="32" t="s">
        <v>25</v>
      </c>
      <c r="D73" s="33">
        <v>2</v>
      </c>
      <c r="E73" s="35">
        <v>219</v>
      </c>
      <c r="F73" s="32" t="s">
        <v>27</v>
      </c>
      <c r="G73" s="37">
        <f>261.07/1.2</f>
        <v>217.55833333333334</v>
      </c>
      <c r="H73" s="38">
        <f t="shared" si="9"/>
        <v>435.11666666666667</v>
      </c>
      <c r="I73" s="38" t="s">
        <v>28</v>
      </c>
      <c r="J73" s="37">
        <v>221.09</v>
      </c>
      <c r="K73" s="38">
        <f t="shared" si="1"/>
        <v>442.18</v>
      </c>
      <c r="L73" s="32" t="s">
        <v>29</v>
      </c>
      <c r="M73" s="37">
        <v>220.74</v>
      </c>
      <c r="N73" s="38">
        <f t="shared" si="2"/>
        <v>441.48</v>
      </c>
      <c r="O73" s="39">
        <f t="shared" si="3"/>
        <v>219.79611111111112</v>
      </c>
      <c r="P73" s="40">
        <f t="shared" si="4"/>
        <v>-0.36220436616763152</v>
      </c>
      <c r="Q73" s="39">
        <f t="shared" si="5"/>
        <v>438</v>
      </c>
      <c r="R73" s="47"/>
      <c r="T73" s="42">
        <f t="shared" si="6"/>
        <v>-1</v>
      </c>
      <c r="U73" s="42">
        <f t="shared" si="7"/>
        <v>1</v>
      </c>
      <c r="V73" s="42">
        <f t="shared" si="8"/>
        <v>0</v>
      </c>
    </row>
    <row r="74" spans="1:22" s="28" customFormat="1" ht="73.5" customHeight="1" x14ac:dyDescent="0.2">
      <c r="A74" s="30">
        <v>63</v>
      </c>
      <c r="B74" s="31" t="s">
        <v>122</v>
      </c>
      <c r="C74" s="32" t="s">
        <v>25</v>
      </c>
      <c r="D74" s="33">
        <v>12</v>
      </c>
      <c r="E74" s="35">
        <v>14005.5</v>
      </c>
      <c r="F74" s="38" t="s">
        <v>67</v>
      </c>
      <c r="G74" s="37">
        <f>16424.57/1.2</f>
        <v>13687.141666666666</v>
      </c>
      <c r="H74" s="38">
        <f t="shared" si="9"/>
        <v>164245.70000000001</v>
      </c>
      <c r="I74" s="32" t="s">
        <v>46</v>
      </c>
      <c r="J74" s="37">
        <v>13897.5</v>
      </c>
      <c r="K74" s="38">
        <f t="shared" si="1"/>
        <v>166770</v>
      </c>
      <c r="L74" s="32" t="s">
        <v>119</v>
      </c>
      <c r="M74" s="37">
        <v>14510.42</v>
      </c>
      <c r="N74" s="38">
        <f t="shared" si="2"/>
        <v>174125.04</v>
      </c>
      <c r="O74" s="39">
        <f t="shared" si="3"/>
        <v>14031.687222222223</v>
      </c>
      <c r="P74" s="40">
        <f t="shared" si="4"/>
        <v>-0.18662917586097194</v>
      </c>
      <c r="Q74" s="39">
        <f t="shared" si="5"/>
        <v>168066</v>
      </c>
      <c r="R74" s="48"/>
      <c r="T74" s="42">
        <f t="shared" si="6"/>
        <v>-2</v>
      </c>
      <c r="U74" s="42">
        <f t="shared" si="7"/>
        <v>-1</v>
      </c>
      <c r="V74" s="42">
        <f t="shared" si="8"/>
        <v>3</v>
      </c>
    </row>
    <row r="75" spans="1:22" s="28" customFormat="1" ht="73.5" customHeight="1" x14ac:dyDescent="0.2">
      <c r="A75" s="30">
        <v>64</v>
      </c>
      <c r="B75" s="31" t="s">
        <v>123</v>
      </c>
      <c r="C75" s="32" t="s">
        <v>25</v>
      </c>
      <c r="D75" s="33">
        <v>10</v>
      </c>
      <c r="E75" s="35">
        <v>1705.6</v>
      </c>
      <c r="F75" s="32" t="s">
        <v>27</v>
      </c>
      <c r="G75" s="37">
        <f>2031.58/1.2</f>
        <v>1692.9833333333333</v>
      </c>
      <c r="H75" s="38">
        <f t="shared" si="9"/>
        <v>16929.833333333332</v>
      </c>
      <c r="I75" s="38" t="s">
        <v>28</v>
      </c>
      <c r="J75" s="37">
        <v>1709.88</v>
      </c>
      <c r="K75" s="38">
        <f t="shared" si="1"/>
        <v>17098.800000000003</v>
      </c>
      <c r="L75" s="32" t="s">
        <v>29</v>
      </c>
      <c r="M75" s="37">
        <v>1726.06</v>
      </c>
      <c r="N75" s="38">
        <f t="shared" si="2"/>
        <v>17260.599999999999</v>
      </c>
      <c r="O75" s="39">
        <f t="shared" si="3"/>
        <v>1709.6411111111113</v>
      </c>
      <c r="P75" s="40">
        <f t="shared" si="4"/>
        <v>-0.23637189611595488</v>
      </c>
      <c r="Q75" s="39">
        <f t="shared" si="5"/>
        <v>17056</v>
      </c>
      <c r="R75" s="48"/>
      <c r="T75" s="42">
        <f t="shared" si="6"/>
        <v>-1</v>
      </c>
      <c r="U75" s="42">
        <f t="shared" si="7"/>
        <v>0</v>
      </c>
      <c r="V75" s="42">
        <f t="shared" si="8"/>
        <v>1</v>
      </c>
    </row>
    <row r="76" spans="1:22" s="28" customFormat="1" ht="73.5" customHeight="1" x14ac:dyDescent="0.2">
      <c r="A76" s="30">
        <v>65</v>
      </c>
      <c r="B76" s="31" t="s">
        <v>124</v>
      </c>
      <c r="C76" s="32" t="s">
        <v>25</v>
      </c>
      <c r="D76" s="33">
        <v>3</v>
      </c>
      <c r="E76" s="35">
        <v>2340</v>
      </c>
      <c r="F76" s="32" t="s">
        <v>27</v>
      </c>
      <c r="G76" s="37">
        <f>2816.81/1.2</f>
        <v>2347.3416666666667</v>
      </c>
      <c r="H76" s="38">
        <f t="shared" ref="H76:H94" si="10">D76*G76</f>
        <v>7042.0249999999996</v>
      </c>
      <c r="I76" s="38" t="s">
        <v>28</v>
      </c>
      <c r="J76" s="37">
        <v>2317.52</v>
      </c>
      <c r="K76" s="38">
        <f t="shared" ref="K76:K139" si="11">D76*J76</f>
        <v>6952.5599999999995</v>
      </c>
      <c r="L76" s="32" t="s">
        <v>29</v>
      </c>
      <c r="M76" s="37">
        <v>2358.33</v>
      </c>
      <c r="N76" s="38">
        <f t="shared" ref="N76:N139" si="12">D76*M76</f>
        <v>7074.99</v>
      </c>
      <c r="O76" s="39">
        <f t="shared" ref="O76:O139" si="13">AVERAGE(G76,J76,M76)</f>
        <v>2341.0638888888889</v>
      </c>
      <c r="P76" s="40">
        <f t="shared" ref="P76:P139" si="14">E76*100/O76-100</f>
        <v>-4.5444675557050118E-2</v>
      </c>
      <c r="Q76" s="39">
        <f t="shared" ref="Q76:Q139" si="15">D76*E76</f>
        <v>7020</v>
      </c>
      <c r="R76" s="41"/>
      <c r="T76" s="42">
        <f t="shared" ref="T76:T139" si="16">ROUND(G76*100/O76-100,0)</f>
        <v>0</v>
      </c>
      <c r="U76" s="42">
        <f t="shared" ref="U76:U139" si="17">ROUND(J76*100/O76-100,0)</f>
        <v>-1</v>
      </c>
      <c r="V76" s="42">
        <f t="shared" ref="V76:V139" si="18">ROUND(M76*100/O76-100,0)</f>
        <v>1</v>
      </c>
    </row>
    <row r="77" spans="1:22" s="28" customFormat="1" ht="73.5" customHeight="1" x14ac:dyDescent="0.2">
      <c r="A77" s="30">
        <v>66</v>
      </c>
      <c r="B77" s="31" t="s">
        <v>125</v>
      </c>
      <c r="C77" s="32" t="s">
        <v>25</v>
      </c>
      <c r="D77" s="33">
        <v>15</v>
      </c>
      <c r="E77" s="35">
        <v>5605.6</v>
      </c>
      <c r="F77" s="32" t="s">
        <v>27</v>
      </c>
      <c r="G77" s="37">
        <f>6814.33/1.2</f>
        <v>5678.6083333333336</v>
      </c>
      <c r="H77" s="38">
        <f t="shared" si="10"/>
        <v>85179.125</v>
      </c>
      <c r="I77" s="38" t="s">
        <v>28</v>
      </c>
      <c r="J77" s="37">
        <v>5594.41</v>
      </c>
      <c r="K77" s="38">
        <f t="shared" si="11"/>
        <v>83916.15</v>
      </c>
      <c r="L77" s="32" t="s">
        <v>29</v>
      </c>
      <c r="M77" s="37">
        <v>5611.85</v>
      </c>
      <c r="N77" s="38">
        <f t="shared" si="12"/>
        <v>84177.75</v>
      </c>
      <c r="O77" s="39">
        <f t="shared" si="13"/>
        <v>5628.2894444444437</v>
      </c>
      <c r="P77" s="40">
        <f t="shared" si="14"/>
        <v>-0.40313215353272369</v>
      </c>
      <c r="Q77" s="39">
        <f t="shared" si="15"/>
        <v>84084</v>
      </c>
      <c r="R77" s="41"/>
      <c r="T77" s="42">
        <f t="shared" si="16"/>
        <v>1</v>
      </c>
      <c r="U77" s="42">
        <f t="shared" si="17"/>
        <v>-1</v>
      </c>
      <c r="V77" s="42">
        <f t="shared" si="18"/>
        <v>0</v>
      </c>
    </row>
    <row r="78" spans="1:22" s="28" customFormat="1" ht="73.5" customHeight="1" x14ac:dyDescent="0.2">
      <c r="A78" s="30">
        <v>67</v>
      </c>
      <c r="B78" s="31" t="s">
        <v>126</v>
      </c>
      <c r="C78" s="32" t="s">
        <v>25</v>
      </c>
      <c r="D78" s="33">
        <v>14</v>
      </c>
      <c r="E78" s="35">
        <v>3200.5</v>
      </c>
      <c r="F78" s="32" t="s">
        <v>27</v>
      </c>
      <c r="G78" s="37">
        <f>3807.04/1.2</f>
        <v>3172.5333333333333</v>
      </c>
      <c r="H78" s="38">
        <f t="shared" si="10"/>
        <v>44415.466666666667</v>
      </c>
      <c r="I78" s="38" t="s">
        <v>28</v>
      </c>
      <c r="J78" s="37">
        <v>3199.28</v>
      </c>
      <c r="K78" s="38">
        <f t="shared" si="11"/>
        <v>44789.920000000006</v>
      </c>
      <c r="L78" s="32" t="s">
        <v>29</v>
      </c>
      <c r="M78" s="37">
        <v>3253.76</v>
      </c>
      <c r="N78" s="38">
        <f t="shared" si="12"/>
        <v>45552.639999999999</v>
      </c>
      <c r="O78" s="39">
        <f t="shared" si="13"/>
        <v>3208.5244444444447</v>
      </c>
      <c r="P78" s="40">
        <f t="shared" si="14"/>
        <v>-0.25009765652055194</v>
      </c>
      <c r="Q78" s="39">
        <f t="shared" si="15"/>
        <v>44807</v>
      </c>
      <c r="R78" s="41"/>
      <c r="T78" s="42">
        <f t="shared" si="16"/>
        <v>-1</v>
      </c>
      <c r="U78" s="42">
        <f t="shared" si="17"/>
        <v>0</v>
      </c>
      <c r="V78" s="42">
        <f t="shared" si="18"/>
        <v>1</v>
      </c>
    </row>
    <row r="79" spans="1:22" s="28" customFormat="1" ht="73.5" customHeight="1" x14ac:dyDescent="0.2">
      <c r="A79" s="30">
        <v>68</v>
      </c>
      <c r="B79" s="31" t="s">
        <v>127</v>
      </c>
      <c r="C79" s="32" t="s">
        <v>25</v>
      </c>
      <c r="D79" s="33">
        <v>10</v>
      </c>
      <c r="E79" s="35">
        <v>5345.3</v>
      </c>
      <c r="F79" s="32" t="s">
        <v>27</v>
      </c>
      <c r="G79" s="37">
        <f>6364.89/1.2</f>
        <v>5304.0750000000007</v>
      </c>
      <c r="H79" s="38">
        <f t="shared" si="10"/>
        <v>53040.750000000007</v>
      </c>
      <c r="I79" s="38" t="s">
        <v>28</v>
      </c>
      <c r="J79" s="37">
        <v>5388.67</v>
      </c>
      <c r="K79" s="38">
        <f t="shared" si="11"/>
        <v>53886.7</v>
      </c>
      <c r="L79" s="32" t="s">
        <v>29</v>
      </c>
      <c r="M79" s="37">
        <v>5357.13</v>
      </c>
      <c r="N79" s="38">
        <f t="shared" si="12"/>
        <v>53571.3</v>
      </c>
      <c r="O79" s="39">
        <f t="shared" si="13"/>
        <v>5349.958333333333</v>
      </c>
      <c r="P79" s="40">
        <f t="shared" si="14"/>
        <v>-8.7072329223744305E-2</v>
      </c>
      <c r="Q79" s="39">
        <f t="shared" si="15"/>
        <v>53453</v>
      </c>
      <c r="R79" s="41"/>
      <c r="T79" s="42">
        <f t="shared" si="16"/>
        <v>-1</v>
      </c>
      <c r="U79" s="42">
        <f t="shared" si="17"/>
        <v>1</v>
      </c>
      <c r="V79" s="42">
        <f t="shared" si="18"/>
        <v>0</v>
      </c>
    </row>
    <row r="80" spans="1:22" s="28" customFormat="1" ht="73.5" customHeight="1" x14ac:dyDescent="0.2">
      <c r="A80" s="30">
        <v>69</v>
      </c>
      <c r="B80" s="31" t="s">
        <v>128</v>
      </c>
      <c r="C80" s="32" t="s">
        <v>25</v>
      </c>
      <c r="D80" s="33">
        <v>76</v>
      </c>
      <c r="E80" s="35">
        <v>5560.15</v>
      </c>
      <c r="F80" s="32" t="s">
        <v>27</v>
      </c>
      <c r="G80" s="37">
        <f>6612.37/1.2</f>
        <v>5510.3083333333334</v>
      </c>
      <c r="H80" s="38">
        <f t="shared" si="10"/>
        <v>418783.43333333335</v>
      </c>
      <c r="I80" s="38" t="s">
        <v>28</v>
      </c>
      <c r="J80" s="37">
        <v>5580.04</v>
      </c>
      <c r="K80" s="38">
        <f t="shared" si="11"/>
        <v>424083.04</v>
      </c>
      <c r="L80" s="32" t="s">
        <v>29</v>
      </c>
      <c r="M80" s="37">
        <v>5607.97</v>
      </c>
      <c r="N80" s="38">
        <f t="shared" si="12"/>
        <v>426205.72000000003</v>
      </c>
      <c r="O80" s="39">
        <f t="shared" si="13"/>
        <v>5566.1061111111112</v>
      </c>
      <c r="P80" s="40">
        <f t="shared" si="14"/>
        <v>-0.10700678341761716</v>
      </c>
      <c r="Q80" s="39">
        <f t="shared" si="15"/>
        <v>422571.39999999997</v>
      </c>
      <c r="R80" s="41"/>
      <c r="T80" s="42">
        <f t="shared" si="16"/>
        <v>-1</v>
      </c>
      <c r="U80" s="42">
        <f t="shared" si="17"/>
        <v>0</v>
      </c>
      <c r="V80" s="42">
        <f t="shared" si="18"/>
        <v>1</v>
      </c>
    </row>
    <row r="81" spans="1:22" s="28" customFormat="1" ht="73.5" customHeight="1" x14ac:dyDescent="0.2">
      <c r="A81" s="30">
        <v>70</v>
      </c>
      <c r="B81" s="31" t="s">
        <v>129</v>
      </c>
      <c r="C81" s="32" t="s">
        <v>25</v>
      </c>
      <c r="D81" s="33">
        <v>5</v>
      </c>
      <c r="E81" s="35">
        <v>543.5</v>
      </c>
      <c r="F81" s="32" t="s">
        <v>27</v>
      </c>
      <c r="G81" s="37">
        <f>638.2/1.2</f>
        <v>531.83333333333337</v>
      </c>
      <c r="H81" s="38">
        <f t="shared" si="10"/>
        <v>2659.166666666667</v>
      </c>
      <c r="I81" s="38" t="s">
        <v>28</v>
      </c>
      <c r="J81" s="37">
        <f>671.58/1.2</f>
        <v>559.65000000000009</v>
      </c>
      <c r="K81" s="38">
        <f t="shared" si="11"/>
        <v>2798.2500000000005</v>
      </c>
      <c r="L81" s="32" t="s">
        <v>29</v>
      </c>
      <c r="M81" s="37">
        <v>541.09</v>
      </c>
      <c r="N81" s="38">
        <f t="shared" si="12"/>
        <v>2705.4500000000003</v>
      </c>
      <c r="O81" s="39">
        <f t="shared" si="13"/>
        <v>544.19111111111124</v>
      </c>
      <c r="P81" s="40">
        <f t="shared" si="14"/>
        <v>-0.1269978683959323</v>
      </c>
      <c r="Q81" s="39">
        <f t="shared" si="15"/>
        <v>2717.5</v>
      </c>
      <c r="R81" s="41"/>
      <c r="T81" s="42">
        <f t="shared" si="16"/>
        <v>-2</v>
      </c>
      <c r="U81" s="42">
        <f t="shared" si="17"/>
        <v>3</v>
      </c>
      <c r="V81" s="42">
        <f t="shared" si="18"/>
        <v>-1</v>
      </c>
    </row>
    <row r="82" spans="1:22" s="28" customFormat="1" ht="73.5" customHeight="1" x14ac:dyDescent="0.2">
      <c r="A82" s="30">
        <v>71</v>
      </c>
      <c r="B82" s="31" t="s">
        <v>130</v>
      </c>
      <c r="C82" s="32" t="s">
        <v>25</v>
      </c>
      <c r="D82" s="33" t="s">
        <v>131</v>
      </c>
      <c r="E82" s="35">
        <v>0.94</v>
      </c>
      <c r="F82" s="32" t="s">
        <v>39</v>
      </c>
      <c r="G82" s="37">
        <f>88.7/100</f>
        <v>0.88700000000000001</v>
      </c>
      <c r="H82" s="38">
        <f t="shared" si="10"/>
        <v>7096</v>
      </c>
      <c r="I82" s="32" t="s">
        <v>54</v>
      </c>
      <c r="J82" s="37">
        <v>0.94</v>
      </c>
      <c r="K82" s="38">
        <f t="shared" si="11"/>
        <v>7520</v>
      </c>
      <c r="L82" s="38" t="s">
        <v>41</v>
      </c>
      <c r="M82" s="37">
        <v>1.02</v>
      </c>
      <c r="N82" s="38">
        <f t="shared" si="12"/>
        <v>8160</v>
      </c>
      <c r="O82" s="39">
        <f t="shared" si="13"/>
        <v>0.94899999999999995</v>
      </c>
      <c r="P82" s="40">
        <f t="shared" si="14"/>
        <v>-0.94836670179135751</v>
      </c>
      <c r="Q82" s="39">
        <f t="shared" si="15"/>
        <v>7520</v>
      </c>
      <c r="R82" s="41"/>
      <c r="T82" s="42">
        <f t="shared" si="16"/>
        <v>-7</v>
      </c>
      <c r="U82" s="42">
        <f t="shared" si="17"/>
        <v>-1</v>
      </c>
      <c r="V82" s="42">
        <f t="shared" si="18"/>
        <v>7</v>
      </c>
    </row>
    <row r="83" spans="1:22" s="28" customFormat="1" ht="73.5" customHeight="1" x14ac:dyDescent="0.2">
      <c r="A83" s="30">
        <v>72</v>
      </c>
      <c r="B83" s="31" t="s">
        <v>132</v>
      </c>
      <c r="C83" s="32" t="s">
        <v>25</v>
      </c>
      <c r="D83" s="33">
        <v>17</v>
      </c>
      <c r="E83" s="35">
        <v>542.5</v>
      </c>
      <c r="F83" s="32" t="s">
        <v>27</v>
      </c>
      <c r="G83" s="37">
        <f>609.85/1.2</f>
        <v>508.20833333333337</v>
      </c>
      <c r="H83" s="38">
        <f t="shared" si="10"/>
        <v>8639.5416666666679</v>
      </c>
      <c r="I83" s="38" t="s">
        <v>28</v>
      </c>
      <c r="J83" s="37">
        <v>553.87</v>
      </c>
      <c r="K83" s="38">
        <f t="shared" si="11"/>
        <v>9415.7900000000009</v>
      </c>
      <c r="L83" s="32" t="s">
        <v>29</v>
      </c>
      <c r="M83" s="37">
        <v>567.41999999999996</v>
      </c>
      <c r="N83" s="38">
        <f t="shared" si="12"/>
        <v>9646.14</v>
      </c>
      <c r="O83" s="39">
        <f t="shared" si="13"/>
        <v>543.16611111111115</v>
      </c>
      <c r="P83" s="40">
        <f t="shared" si="14"/>
        <v>-0.12263488046934867</v>
      </c>
      <c r="Q83" s="39">
        <f t="shared" si="15"/>
        <v>9222.5</v>
      </c>
      <c r="R83" s="48"/>
      <c r="T83" s="42">
        <f t="shared" si="16"/>
        <v>-6</v>
      </c>
      <c r="U83" s="42">
        <f t="shared" si="17"/>
        <v>2</v>
      </c>
      <c r="V83" s="42">
        <f t="shared" si="18"/>
        <v>4</v>
      </c>
    </row>
    <row r="84" spans="1:22" s="28" customFormat="1" ht="73.5" customHeight="1" x14ac:dyDescent="0.2">
      <c r="A84" s="30">
        <v>73</v>
      </c>
      <c r="B84" s="31" t="s">
        <v>133</v>
      </c>
      <c r="C84" s="32" t="s">
        <v>25</v>
      </c>
      <c r="D84" s="33">
        <v>10</v>
      </c>
      <c r="E84" s="35">
        <v>37.5</v>
      </c>
      <c r="F84" s="32" t="s">
        <v>39</v>
      </c>
      <c r="G84" s="37">
        <v>33.14</v>
      </c>
      <c r="H84" s="38">
        <f t="shared" si="10"/>
        <v>331.4</v>
      </c>
      <c r="I84" s="32" t="s">
        <v>54</v>
      </c>
      <c r="J84" s="37">
        <v>39.51</v>
      </c>
      <c r="K84" s="38">
        <f t="shared" si="11"/>
        <v>395.09999999999997</v>
      </c>
      <c r="L84" s="32" t="s">
        <v>29</v>
      </c>
      <c r="M84" s="37">
        <v>40.06</v>
      </c>
      <c r="N84" s="38">
        <f t="shared" si="12"/>
        <v>400.6</v>
      </c>
      <c r="O84" s="39">
        <f t="shared" si="13"/>
        <v>37.57</v>
      </c>
      <c r="P84" s="40">
        <f t="shared" si="14"/>
        <v>-0.18631887143997972</v>
      </c>
      <c r="Q84" s="39">
        <f t="shared" si="15"/>
        <v>375</v>
      </c>
      <c r="R84" s="47" t="s">
        <v>116</v>
      </c>
      <c r="T84" s="42">
        <f t="shared" si="16"/>
        <v>-12</v>
      </c>
      <c r="U84" s="42">
        <f t="shared" si="17"/>
        <v>5</v>
      </c>
      <c r="V84" s="42">
        <f t="shared" si="18"/>
        <v>7</v>
      </c>
    </row>
    <row r="85" spans="1:22" s="28" customFormat="1" ht="73.5" customHeight="1" x14ac:dyDescent="0.2">
      <c r="A85" s="30">
        <v>74</v>
      </c>
      <c r="B85" s="31" t="s">
        <v>134</v>
      </c>
      <c r="C85" s="32" t="s">
        <v>25</v>
      </c>
      <c r="D85" s="33">
        <v>100</v>
      </c>
      <c r="E85" s="35">
        <v>139</v>
      </c>
      <c r="F85" s="32" t="s">
        <v>27</v>
      </c>
      <c r="G85" s="37">
        <f>159.86/1.2</f>
        <v>133.2166666666667</v>
      </c>
      <c r="H85" s="38">
        <f t="shared" si="10"/>
        <v>13321.66666666667</v>
      </c>
      <c r="I85" s="38" t="s">
        <v>28</v>
      </c>
      <c r="J85" s="37">
        <v>140.09</v>
      </c>
      <c r="K85" s="38">
        <f t="shared" si="11"/>
        <v>14009</v>
      </c>
      <c r="L85" s="32" t="s">
        <v>29</v>
      </c>
      <c r="M85" s="37">
        <v>145.05000000000001</v>
      </c>
      <c r="N85" s="38">
        <f t="shared" si="12"/>
        <v>14505.000000000002</v>
      </c>
      <c r="O85" s="39">
        <f t="shared" si="13"/>
        <v>139.45222222222225</v>
      </c>
      <c r="P85" s="40">
        <f t="shared" si="14"/>
        <v>-0.32428470125174158</v>
      </c>
      <c r="Q85" s="39">
        <f t="shared" si="15"/>
        <v>13900</v>
      </c>
      <c r="R85" s="48"/>
      <c r="T85" s="42">
        <f t="shared" si="16"/>
        <v>-4</v>
      </c>
      <c r="U85" s="42">
        <f t="shared" si="17"/>
        <v>0</v>
      </c>
      <c r="V85" s="42">
        <f t="shared" si="18"/>
        <v>4</v>
      </c>
    </row>
    <row r="86" spans="1:22" s="28" customFormat="1" ht="73.5" customHeight="1" x14ac:dyDescent="0.2">
      <c r="A86" s="30">
        <v>75</v>
      </c>
      <c r="B86" s="31" t="s">
        <v>135</v>
      </c>
      <c r="C86" s="32" t="s">
        <v>25</v>
      </c>
      <c r="D86" s="33">
        <v>10</v>
      </c>
      <c r="E86" s="35">
        <v>2928.4</v>
      </c>
      <c r="F86" s="32" t="s">
        <v>27</v>
      </c>
      <c r="G86" s="37">
        <f>3373.67/1.2</f>
        <v>2811.3916666666669</v>
      </c>
      <c r="H86" s="38">
        <f t="shared" si="10"/>
        <v>28113.916666666668</v>
      </c>
      <c r="I86" s="38" t="s">
        <v>28</v>
      </c>
      <c r="J86" s="37">
        <f>3608.66/1.2</f>
        <v>3007.2166666666667</v>
      </c>
      <c r="K86" s="38">
        <f t="shared" si="11"/>
        <v>30072.166666666668</v>
      </c>
      <c r="L86" s="32" t="s">
        <v>29</v>
      </c>
      <c r="M86" s="37">
        <v>2973.43</v>
      </c>
      <c r="N86" s="38">
        <f t="shared" si="12"/>
        <v>29734.3</v>
      </c>
      <c r="O86" s="39">
        <f t="shared" si="13"/>
        <v>2930.6794444444445</v>
      </c>
      <c r="P86" s="40">
        <f t="shared" si="14"/>
        <v>-7.777870243589291E-2</v>
      </c>
      <c r="Q86" s="39">
        <f t="shared" si="15"/>
        <v>29284</v>
      </c>
      <c r="R86" s="48"/>
      <c r="T86" s="42">
        <f t="shared" si="16"/>
        <v>-4</v>
      </c>
      <c r="U86" s="42">
        <f t="shared" si="17"/>
        <v>3</v>
      </c>
      <c r="V86" s="42">
        <f t="shared" si="18"/>
        <v>1</v>
      </c>
    </row>
    <row r="87" spans="1:22" s="28" customFormat="1" ht="73.5" customHeight="1" x14ac:dyDescent="0.2">
      <c r="A87" s="30">
        <v>76</v>
      </c>
      <c r="B87" s="31" t="s">
        <v>136</v>
      </c>
      <c r="C87" s="32" t="s">
        <v>25</v>
      </c>
      <c r="D87" s="33">
        <v>31</v>
      </c>
      <c r="E87" s="35">
        <v>10103.6</v>
      </c>
      <c r="F87" s="32" t="s">
        <v>27</v>
      </c>
      <c r="G87" s="37">
        <f>12295.88/1.2</f>
        <v>10246.566666666666</v>
      </c>
      <c r="H87" s="38">
        <f t="shared" si="10"/>
        <v>317643.56666666665</v>
      </c>
      <c r="I87" s="38" t="s">
        <v>28</v>
      </c>
      <c r="J87" s="37">
        <f>11961.83/1.2</f>
        <v>9968.1916666666675</v>
      </c>
      <c r="K87" s="38">
        <f t="shared" si="11"/>
        <v>309013.94166666671</v>
      </c>
      <c r="L87" s="32" t="s">
        <v>29</v>
      </c>
      <c r="M87" s="37">
        <v>10105.82</v>
      </c>
      <c r="N87" s="38">
        <f t="shared" si="12"/>
        <v>313280.42</v>
      </c>
      <c r="O87" s="39">
        <f t="shared" si="13"/>
        <v>10106.859444444444</v>
      </c>
      <c r="P87" s="40">
        <f t="shared" si="14"/>
        <v>-3.2249824610318001E-2</v>
      </c>
      <c r="Q87" s="39">
        <f t="shared" si="15"/>
        <v>313211.60000000003</v>
      </c>
      <c r="R87" s="48"/>
      <c r="T87" s="42">
        <f t="shared" si="16"/>
        <v>1</v>
      </c>
      <c r="U87" s="42">
        <f t="shared" si="17"/>
        <v>-1</v>
      </c>
      <c r="V87" s="42">
        <f t="shared" si="18"/>
        <v>0</v>
      </c>
    </row>
    <row r="88" spans="1:22" s="28" customFormat="1" ht="73.5" customHeight="1" x14ac:dyDescent="0.2">
      <c r="A88" s="30">
        <v>77</v>
      </c>
      <c r="B88" s="31" t="s">
        <v>137</v>
      </c>
      <c r="C88" s="32" t="s">
        <v>25</v>
      </c>
      <c r="D88" s="33">
        <v>48</v>
      </c>
      <c r="E88" s="35">
        <v>1361.15</v>
      </c>
      <c r="F88" s="32" t="s">
        <v>27</v>
      </c>
      <c r="G88" s="37">
        <f>1705.33/1.2</f>
        <v>1421.1083333333333</v>
      </c>
      <c r="H88" s="38">
        <f t="shared" si="10"/>
        <v>68213.2</v>
      </c>
      <c r="I88" s="38" t="s">
        <v>28</v>
      </c>
      <c r="J88" s="37">
        <f>1553.32/1.2</f>
        <v>1294.4333333333334</v>
      </c>
      <c r="K88" s="38">
        <f t="shared" si="11"/>
        <v>62132.800000000003</v>
      </c>
      <c r="L88" s="32" t="s">
        <v>29</v>
      </c>
      <c r="M88" s="37">
        <v>1382.77</v>
      </c>
      <c r="N88" s="38">
        <f t="shared" si="12"/>
        <v>66372.959999999992</v>
      </c>
      <c r="O88" s="39">
        <f t="shared" si="13"/>
        <v>1366.1038888888888</v>
      </c>
      <c r="P88" s="40">
        <f t="shared" si="14"/>
        <v>-0.36262900129199238</v>
      </c>
      <c r="Q88" s="39">
        <f t="shared" si="15"/>
        <v>65335.200000000004</v>
      </c>
      <c r="R88" s="48"/>
      <c r="T88" s="42">
        <f t="shared" si="16"/>
        <v>4</v>
      </c>
      <c r="U88" s="42">
        <f t="shared" si="17"/>
        <v>-5</v>
      </c>
      <c r="V88" s="42">
        <f t="shared" si="18"/>
        <v>1</v>
      </c>
    </row>
    <row r="89" spans="1:22" s="28" customFormat="1" ht="73.5" customHeight="1" x14ac:dyDescent="0.2">
      <c r="A89" s="30">
        <v>78</v>
      </c>
      <c r="B89" s="31" t="s">
        <v>138</v>
      </c>
      <c r="C89" s="32" t="s">
        <v>25</v>
      </c>
      <c r="D89" s="33">
        <v>75</v>
      </c>
      <c r="E89" s="35">
        <v>163.1</v>
      </c>
      <c r="F89" s="32" t="s">
        <v>27</v>
      </c>
      <c r="G89" s="37">
        <f>194.31/1.2</f>
        <v>161.92500000000001</v>
      </c>
      <c r="H89" s="38">
        <f t="shared" si="10"/>
        <v>12144.375</v>
      </c>
      <c r="I89" s="38" t="s">
        <v>28</v>
      </c>
      <c r="J89" s="37">
        <v>159.03</v>
      </c>
      <c r="K89" s="38">
        <f t="shared" si="11"/>
        <v>11927.25</v>
      </c>
      <c r="L89" s="32" t="s">
        <v>29</v>
      </c>
      <c r="M89" s="37">
        <v>168.77</v>
      </c>
      <c r="N89" s="38">
        <f t="shared" si="12"/>
        <v>12657.75</v>
      </c>
      <c r="O89" s="39">
        <f t="shared" si="13"/>
        <v>163.24166666666667</v>
      </c>
      <c r="P89" s="40">
        <f t="shared" si="14"/>
        <v>-8.678339884629338E-2</v>
      </c>
      <c r="Q89" s="39">
        <f t="shared" si="15"/>
        <v>12232.5</v>
      </c>
      <c r="R89" s="48"/>
      <c r="T89" s="42">
        <f t="shared" si="16"/>
        <v>-1</v>
      </c>
      <c r="U89" s="42">
        <f t="shared" si="17"/>
        <v>-3</v>
      </c>
      <c r="V89" s="42">
        <f t="shared" si="18"/>
        <v>3</v>
      </c>
    </row>
    <row r="90" spans="1:22" s="28" customFormat="1" ht="73.5" customHeight="1" x14ac:dyDescent="0.2">
      <c r="A90" s="30">
        <v>79</v>
      </c>
      <c r="B90" s="31" t="s">
        <v>139</v>
      </c>
      <c r="C90" s="32" t="s">
        <v>25</v>
      </c>
      <c r="D90" s="33">
        <v>75</v>
      </c>
      <c r="E90" s="35">
        <v>134.19999999999999</v>
      </c>
      <c r="F90" s="32" t="s">
        <v>27</v>
      </c>
      <c r="G90" s="37">
        <f>157.25/1.2</f>
        <v>131.04166666666669</v>
      </c>
      <c r="H90" s="38">
        <f t="shared" si="10"/>
        <v>9828.1250000000018</v>
      </c>
      <c r="I90" s="38" t="s">
        <v>28</v>
      </c>
      <c r="J90" s="37">
        <v>138.74</v>
      </c>
      <c r="K90" s="38">
        <f t="shared" si="11"/>
        <v>10405.5</v>
      </c>
      <c r="L90" s="32" t="s">
        <v>29</v>
      </c>
      <c r="M90" s="37">
        <v>135.51</v>
      </c>
      <c r="N90" s="38">
        <f t="shared" si="12"/>
        <v>10163.25</v>
      </c>
      <c r="O90" s="39">
        <f t="shared" si="13"/>
        <v>135.09722222222223</v>
      </c>
      <c r="P90" s="40">
        <f t="shared" si="14"/>
        <v>-0.66413077002161458</v>
      </c>
      <c r="Q90" s="39">
        <f t="shared" si="15"/>
        <v>10065</v>
      </c>
      <c r="R90" s="41"/>
      <c r="T90" s="42">
        <f t="shared" si="16"/>
        <v>-3</v>
      </c>
      <c r="U90" s="42">
        <f t="shared" si="17"/>
        <v>3</v>
      </c>
      <c r="V90" s="42">
        <f t="shared" si="18"/>
        <v>0</v>
      </c>
    </row>
    <row r="91" spans="1:22" s="28" customFormat="1" ht="73.5" customHeight="1" x14ac:dyDescent="0.2">
      <c r="A91" s="30">
        <v>80</v>
      </c>
      <c r="B91" s="31" t="s">
        <v>140</v>
      </c>
      <c r="C91" s="32" t="s">
        <v>25</v>
      </c>
      <c r="D91" s="33" t="s">
        <v>141</v>
      </c>
      <c r="E91" s="35">
        <v>1361.34</v>
      </c>
      <c r="F91" s="32" t="s">
        <v>27</v>
      </c>
      <c r="G91" s="37">
        <f>1705.33/1.2</f>
        <v>1421.1083333333333</v>
      </c>
      <c r="H91" s="38">
        <f t="shared" si="10"/>
        <v>29843.275000000001</v>
      </c>
      <c r="I91" s="38" t="s">
        <v>28</v>
      </c>
      <c r="J91" s="37">
        <f>1553.32/1.2</f>
        <v>1294.4333333333334</v>
      </c>
      <c r="K91" s="38">
        <f t="shared" si="11"/>
        <v>27183.100000000002</v>
      </c>
      <c r="L91" s="32" t="s">
        <v>29</v>
      </c>
      <c r="M91" s="37">
        <v>1382.77</v>
      </c>
      <c r="N91" s="38">
        <f t="shared" si="12"/>
        <v>29038.17</v>
      </c>
      <c r="O91" s="39">
        <f t="shared" si="13"/>
        <v>1366.1038888888888</v>
      </c>
      <c r="P91" s="40">
        <f t="shared" si="14"/>
        <v>-0.3487208350430393</v>
      </c>
      <c r="Q91" s="39">
        <f t="shared" si="15"/>
        <v>28588.14</v>
      </c>
      <c r="R91" s="41"/>
      <c r="T91" s="42">
        <f t="shared" si="16"/>
        <v>4</v>
      </c>
      <c r="U91" s="42">
        <f t="shared" si="17"/>
        <v>-5</v>
      </c>
      <c r="V91" s="42">
        <f t="shared" si="18"/>
        <v>1</v>
      </c>
    </row>
    <row r="92" spans="1:22" s="28" customFormat="1" ht="73.5" customHeight="1" x14ac:dyDescent="0.2">
      <c r="A92" s="30">
        <v>81</v>
      </c>
      <c r="B92" s="31" t="s">
        <v>143</v>
      </c>
      <c r="C92" s="32" t="s">
        <v>25</v>
      </c>
      <c r="D92" s="33">
        <v>274</v>
      </c>
      <c r="E92" s="35">
        <v>1765.2</v>
      </c>
      <c r="F92" s="32" t="s">
        <v>27</v>
      </c>
      <c r="G92" s="37">
        <f>2103.82/1.2</f>
        <v>1753.1833333333336</v>
      </c>
      <c r="H92" s="38">
        <f t="shared" si="10"/>
        <v>480372.2333333334</v>
      </c>
      <c r="I92" s="38" t="s">
        <v>28</v>
      </c>
      <c r="J92" s="37">
        <v>1799.62</v>
      </c>
      <c r="K92" s="38">
        <f t="shared" si="11"/>
        <v>493095.87999999995</v>
      </c>
      <c r="L92" s="32" t="s">
        <v>29</v>
      </c>
      <c r="M92" s="37">
        <v>1751.94</v>
      </c>
      <c r="N92" s="38">
        <f t="shared" si="12"/>
        <v>480031.56</v>
      </c>
      <c r="O92" s="39">
        <f t="shared" si="13"/>
        <v>1768.2477777777779</v>
      </c>
      <c r="P92" s="40">
        <f t="shared" si="14"/>
        <v>-0.17236146517927864</v>
      </c>
      <c r="Q92" s="39">
        <f t="shared" si="15"/>
        <v>483664.8</v>
      </c>
      <c r="R92" s="41"/>
      <c r="T92" s="42">
        <f t="shared" si="16"/>
        <v>-1</v>
      </c>
      <c r="U92" s="42">
        <f t="shared" si="17"/>
        <v>2</v>
      </c>
      <c r="V92" s="42">
        <f t="shared" si="18"/>
        <v>-1</v>
      </c>
    </row>
    <row r="93" spans="1:22" s="28" customFormat="1" ht="73.5" customHeight="1" x14ac:dyDescent="0.2">
      <c r="A93" s="30">
        <v>82</v>
      </c>
      <c r="B93" s="31" t="s">
        <v>144</v>
      </c>
      <c r="C93" s="32" t="s">
        <v>25</v>
      </c>
      <c r="D93" s="33">
        <v>50</v>
      </c>
      <c r="E93" s="35">
        <v>832</v>
      </c>
      <c r="F93" s="32" t="s">
        <v>27</v>
      </c>
      <c r="G93" s="37">
        <f>983.07/1.2</f>
        <v>819.22500000000002</v>
      </c>
      <c r="H93" s="38">
        <f t="shared" si="10"/>
        <v>40961.25</v>
      </c>
      <c r="I93" s="38" t="s">
        <v>28</v>
      </c>
      <c r="J93" s="37">
        <v>825.76</v>
      </c>
      <c r="K93" s="38">
        <f t="shared" si="11"/>
        <v>41288</v>
      </c>
      <c r="L93" s="32" t="s">
        <v>29</v>
      </c>
      <c r="M93" s="37">
        <v>857.11</v>
      </c>
      <c r="N93" s="38">
        <f t="shared" si="12"/>
        <v>42855.5</v>
      </c>
      <c r="O93" s="39">
        <f t="shared" si="13"/>
        <v>834.03166666666675</v>
      </c>
      <c r="P93" s="40">
        <f t="shared" si="14"/>
        <v>-0.243595866663739</v>
      </c>
      <c r="Q93" s="39">
        <f t="shared" si="15"/>
        <v>41600</v>
      </c>
      <c r="R93" s="41"/>
      <c r="T93" s="42">
        <f t="shared" si="16"/>
        <v>-2</v>
      </c>
      <c r="U93" s="42">
        <f t="shared" si="17"/>
        <v>-1</v>
      </c>
      <c r="V93" s="42">
        <f t="shared" si="18"/>
        <v>3</v>
      </c>
    </row>
    <row r="94" spans="1:22" s="28" customFormat="1" ht="73.5" customHeight="1" x14ac:dyDescent="0.2">
      <c r="A94" s="30">
        <v>83</v>
      </c>
      <c r="B94" s="31" t="s">
        <v>145</v>
      </c>
      <c r="C94" s="32" t="s">
        <v>25</v>
      </c>
      <c r="D94" s="33">
        <v>459</v>
      </c>
      <c r="E94" s="35">
        <v>1660.5</v>
      </c>
      <c r="F94" s="32" t="s">
        <v>27</v>
      </c>
      <c r="G94" s="37">
        <f>1972.84/1.2</f>
        <v>1644.0333333333333</v>
      </c>
      <c r="H94" s="38">
        <f t="shared" si="10"/>
        <v>754611.29999999993</v>
      </c>
      <c r="I94" s="38" t="s">
        <v>28</v>
      </c>
      <c r="J94" s="37">
        <v>1689.93</v>
      </c>
      <c r="K94" s="38">
        <f t="shared" si="11"/>
        <v>775677.87</v>
      </c>
      <c r="L94" s="32" t="s">
        <v>29</v>
      </c>
      <c r="M94" s="37">
        <v>1650.69</v>
      </c>
      <c r="N94" s="38">
        <f t="shared" si="12"/>
        <v>757666.71000000008</v>
      </c>
      <c r="O94" s="39">
        <f t="shared" si="13"/>
        <v>1661.5511111111111</v>
      </c>
      <c r="P94" s="40">
        <f t="shared" si="14"/>
        <v>-6.3260835257011649E-2</v>
      </c>
      <c r="Q94" s="39">
        <f t="shared" si="15"/>
        <v>762169.5</v>
      </c>
      <c r="R94" s="41"/>
      <c r="T94" s="42">
        <f t="shared" si="16"/>
        <v>-1</v>
      </c>
      <c r="U94" s="42">
        <f t="shared" si="17"/>
        <v>2</v>
      </c>
      <c r="V94" s="42">
        <f t="shared" si="18"/>
        <v>-1</v>
      </c>
    </row>
    <row r="95" spans="1:22" s="28" customFormat="1" ht="73.5" customHeight="1" x14ac:dyDescent="0.2">
      <c r="A95" s="30">
        <v>84</v>
      </c>
      <c r="B95" s="31" t="s">
        <v>146</v>
      </c>
      <c r="C95" s="32" t="s">
        <v>147</v>
      </c>
      <c r="D95" s="33">
        <v>50</v>
      </c>
      <c r="E95" s="35">
        <v>130.9</v>
      </c>
      <c r="F95" s="32" t="s">
        <v>90</v>
      </c>
      <c r="G95" s="37">
        <f>148.16/1.2</f>
        <v>123.46666666666667</v>
      </c>
      <c r="H95" s="38">
        <f>G95*D95</f>
        <v>6173.333333333333</v>
      </c>
      <c r="I95" s="32" t="s">
        <v>148</v>
      </c>
      <c r="J95" s="37">
        <f>151.19/1.2</f>
        <v>125.99166666666667</v>
      </c>
      <c r="K95" s="38">
        <f t="shared" si="11"/>
        <v>6299.5833333333339</v>
      </c>
      <c r="L95" s="32" t="s">
        <v>149</v>
      </c>
      <c r="M95" s="37">
        <f>173.44/1.2</f>
        <v>144.53333333333333</v>
      </c>
      <c r="N95" s="38">
        <f t="shared" si="12"/>
        <v>7226.666666666667</v>
      </c>
      <c r="O95" s="39">
        <f t="shared" si="13"/>
        <v>131.33055555555555</v>
      </c>
      <c r="P95" s="40">
        <f t="shared" si="14"/>
        <v>-0.32784111339071842</v>
      </c>
      <c r="Q95" s="39">
        <f t="shared" si="15"/>
        <v>6545</v>
      </c>
      <c r="R95" s="41"/>
      <c r="T95" s="42">
        <f t="shared" si="16"/>
        <v>-6</v>
      </c>
      <c r="U95" s="42">
        <f t="shared" si="17"/>
        <v>-4</v>
      </c>
      <c r="V95" s="42">
        <f t="shared" si="18"/>
        <v>10</v>
      </c>
    </row>
    <row r="96" spans="1:22" s="28" customFormat="1" ht="73.5" customHeight="1" x14ac:dyDescent="0.2">
      <c r="A96" s="30">
        <v>85</v>
      </c>
      <c r="B96" s="31" t="s">
        <v>150</v>
      </c>
      <c r="C96" s="32" t="s">
        <v>147</v>
      </c>
      <c r="D96" s="33">
        <v>20</v>
      </c>
      <c r="E96" s="35">
        <v>256.7</v>
      </c>
      <c r="F96" s="32" t="s">
        <v>90</v>
      </c>
      <c r="G96" s="37">
        <f>327.19/1.2</f>
        <v>272.65833333333336</v>
      </c>
      <c r="H96" s="38">
        <f>G96*D96</f>
        <v>5453.166666666667</v>
      </c>
      <c r="I96" s="32" t="s">
        <v>148</v>
      </c>
      <c r="J96" s="37">
        <f>297.67/1.2</f>
        <v>248.05833333333337</v>
      </c>
      <c r="K96" s="38">
        <f t="shared" si="11"/>
        <v>4961.166666666667</v>
      </c>
      <c r="L96" s="32" t="s">
        <v>149</v>
      </c>
      <c r="M96" s="37">
        <f>305.74/1.2</f>
        <v>254.78333333333336</v>
      </c>
      <c r="N96" s="38">
        <f t="shared" si="12"/>
        <v>5095.666666666667</v>
      </c>
      <c r="O96" s="39">
        <f t="shared" si="13"/>
        <v>258.5</v>
      </c>
      <c r="P96" s="40">
        <f t="shared" si="14"/>
        <v>-0.69632495164410102</v>
      </c>
      <c r="Q96" s="39">
        <f t="shared" si="15"/>
        <v>5134</v>
      </c>
      <c r="R96" s="41"/>
      <c r="T96" s="42">
        <f t="shared" si="16"/>
        <v>5</v>
      </c>
      <c r="U96" s="42">
        <f t="shared" si="17"/>
        <v>-4</v>
      </c>
      <c r="V96" s="42">
        <f t="shared" si="18"/>
        <v>-1</v>
      </c>
    </row>
    <row r="97" spans="1:22" s="28" customFormat="1" ht="73.5" customHeight="1" x14ac:dyDescent="0.2">
      <c r="A97" s="30">
        <v>86</v>
      </c>
      <c r="B97" s="31" t="s">
        <v>151</v>
      </c>
      <c r="C97" s="32" t="s">
        <v>147</v>
      </c>
      <c r="D97" s="33">
        <v>50</v>
      </c>
      <c r="E97" s="35">
        <v>3181.4</v>
      </c>
      <c r="F97" s="32" t="s">
        <v>90</v>
      </c>
      <c r="G97" s="37">
        <f>3780.88/1.2</f>
        <v>3150.7333333333336</v>
      </c>
      <c r="H97" s="38">
        <f>G97*D97</f>
        <v>157536.66666666669</v>
      </c>
      <c r="I97" s="32" t="s">
        <v>148</v>
      </c>
      <c r="J97" s="37">
        <f>3719.2/1.2</f>
        <v>3099.3333333333335</v>
      </c>
      <c r="K97" s="38">
        <f t="shared" si="11"/>
        <v>154966.66666666669</v>
      </c>
      <c r="L97" s="32" t="s">
        <v>149</v>
      </c>
      <c r="M97" s="37">
        <f>3960.29/1.2</f>
        <v>3300.2416666666668</v>
      </c>
      <c r="N97" s="38">
        <f t="shared" si="12"/>
        <v>165012.08333333334</v>
      </c>
      <c r="O97" s="39">
        <f t="shared" si="13"/>
        <v>3183.4361111111116</v>
      </c>
      <c r="P97" s="40">
        <f t="shared" si="14"/>
        <v>-6.3959540573307549E-2</v>
      </c>
      <c r="Q97" s="39">
        <f t="shared" si="15"/>
        <v>159070</v>
      </c>
      <c r="R97" s="41"/>
      <c r="T97" s="42">
        <f t="shared" si="16"/>
        <v>-1</v>
      </c>
      <c r="U97" s="42">
        <f t="shared" si="17"/>
        <v>-3</v>
      </c>
      <c r="V97" s="42">
        <f t="shared" si="18"/>
        <v>4</v>
      </c>
    </row>
    <row r="98" spans="1:22" s="28" customFormat="1" ht="73.5" customHeight="1" x14ac:dyDescent="0.2">
      <c r="A98" s="30">
        <v>87</v>
      </c>
      <c r="B98" s="31" t="s">
        <v>152</v>
      </c>
      <c r="C98" s="32" t="s">
        <v>147</v>
      </c>
      <c r="D98" s="33">
        <v>20</v>
      </c>
      <c r="E98" s="35">
        <v>348.66</v>
      </c>
      <c r="F98" s="32" t="s">
        <v>90</v>
      </c>
      <c r="G98" s="37">
        <f>424.93/1.2</f>
        <v>354.10833333333335</v>
      </c>
      <c r="H98" s="38">
        <f>G98*D98</f>
        <v>7082.166666666667</v>
      </c>
      <c r="I98" s="32" t="s">
        <v>148</v>
      </c>
      <c r="J98" s="37">
        <f>387.54/1.2</f>
        <v>322.95000000000005</v>
      </c>
      <c r="K98" s="38">
        <f t="shared" si="11"/>
        <v>6459.0000000000009</v>
      </c>
      <c r="L98" s="32" t="s">
        <v>149</v>
      </c>
      <c r="M98" s="37">
        <f>450.43/1.2</f>
        <v>375.35833333333335</v>
      </c>
      <c r="N98" s="38">
        <f t="shared" si="12"/>
        <v>7507.166666666667</v>
      </c>
      <c r="O98" s="39">
        <f t="shared" si="13"/>
        <v>350.8055555555556</v>
      </c>
      <c r="P98" s="40">
        <f t="shared" si="14"/>
        <v>-0.61160820334153243</v>
      </c>
      <c r="Q98" s="39">
        <f t="shared" si="15"/>
        <v>6973.2000000000007</v>
      </c>
      <c r="R98" s="41"/>
      <c r="T98" s="42">
        <f t="shared" si="16"/>
        <v>1</v>
      </c>
      <c r="U98" s="42">
        <f t="shared" si="17"/>
        <v>-8</v>
      </c>
      <c r="V98" s="42">
        <f t="shared" si="18"/>
        <v>7</v>
      </c>
    </row>
    <row r="99" spans="1:22" s="28" customFormat="1" ht="92.25" customHeight="1" x14ac:dyDescent="0.2">
      <c r="A99" s="30">
        <v>88</v>
      </c>
      <c r="B99" s="31" t="s">
        <v>153</v>
      </c>
      <c r="C99" s="32" t="s">
        <v>154</v>
      </c>
      <c r="D99" s="33">
        <v>0.5</v>
      </c>
      <c r="E99" s="35">
        <f>253.56*1000</f>
        <v>253560</v>
      </c>
      <c r="F99" s="32" t="s">
        <v>90</v>
      </c>
      <c r="G99" s="37">
        <f>327.58/1.2*1000</f>
        <v>272983.33333333337</v>
      </c>
      <c r="H99" s="38">
        <f>G99*D99</f>
        <v>136491.66666666669</v>
      </c>
      <c r="I99" s="32" t="s">
        <v>148</v>
      </c>
      <c r="J99" s="37">
        <f>286.76/1.2*1000</f>
        <v>238966.66666666666</v>
      </c>
      <c r="K99" s="38">
        <f t="shared" si="11"/>
        <v>119483.33333333333</v>
      </c>
      <c r="L99" s="32" t="s">
        <v>149</v>
      </c>
      <c r="M99" s="37">
        <f>300.53/1.2*1000</f>
        <v>250441.66666666666</v>
      </c>
      <c r="N99" s="38">
        <f t="shared" si="12"/>
        <v>125220.83333333333</v>
      </c>
      <c r="O99" s="39">
        <f t="shared" si="13"/>
        <v>254130.55555555553</v>
      </c>
      <c r="P99" s="40">
        <f t="shared" si="14"/>
        <v>-0.22451277230643996</v>
      </c>
      <c r="Q99" s="39">
        <f t="shared" si="15"/>
        <v>126780</v>
      </c>
      <c r="R99" s="41"/>
      <c r="T99" s="42">
        <f t="shared" si="16"/>
        <v>7</v>
      </c>
      <c r="U99" s="42">
        <f t="shared" si="17"/>
        <v>-6</v>
      </c>
      <c r="V99" s="42">
        <f t="shared" si="18"/>
        <v>-1</v>
      </c>
    </row>
    <row r="100" spans="1:22" s="28" customFormat="1" ht="73.5" customHeight="1" x14ac:dyDescent="0.2">
      <c r="A100" s="30">
        <v>89</v>
      </c>
      <c r="B100" s="31" t="s">
        <v>155</v>
      </c>
      <c r="C100" s="32" t="s">
        <v>25</v>
      </c>
      <c r="D100" s="33">
        <v>4</v>
      </c>
      <c r="E100" s="35">
        <v>122.9</v>
      </c>
      <c r="F100" s="32" t="s">
        <v>27</v>
      </c>
      <c r="G100" s="37">
        <f>142.75/1.2</f>
        <v>118.95833333333334</v>
      </c>
      <c r="H100" s="38">
        <f t="shared" ref="H100:H131" si="19">D100*G100</f>
        <v>475.83333333333337</v>
      </c>
      <c r="I100" s="38" t="s">
        <v>28</v>
      </c>
      <c r="J100" s="37">
        <v>122.36</v>
      </c>
      <c r="K100" s="38">
        <f t="shared" si="11"/>
        <v>489.44</v>
      </c>
      <c r="L100" s="32" t="s">
        <v>29</v>
      </c>
      <c r="M100" s="37">
        <v>129.47</v>
      </c>
      <c r="N100" s="38">
        <f t="shared" si="12"/>
        <v>517.88</v>
      </c>
      <c r="O100" s="39">
        <f t="shared" si="13"/>
        <v>123.5961111111111</v>
      </c>
      <c r="P100" s="40">
        <f t="shared" si="14"/>
        <v>-0.56321441253544435</v>
      </c>
      <c r="Q100" s="39">
        <f t="shared" si="15"/>
        <v>491.6</v>
      </c>
      <c r="R100" s="41"/>
      <c r="T100" s="42">
        <f t="shared" si="16"/>
        <v>-4</v>
      </c>
      <c r="U100" s="42">
        <f t="shared" si="17"/>
        <v>-1</v>
      </c>
      <c r="V100" s="42">
        <f t="shared" si="18"/>
        <v>5</v>
      </c>
    </row>
    <row r="101" spans="1:22" s="28" customFormat="1" ht="73.5" customHeight="1" x14ac:dyDescent="0.2">
      <c r="A101" s="30">
        <v>90</v>
      </c>
      <c r="B101" s="31" t="s">
        <v>156</v>
      </c>
      <c r="C101" s="32" t="s">
        <v>25</v>
      </c>
      <c r="D101" s="33" t="s">
        <v>157</v>
      </c>
      <c r="E101" s="35">
        <v>296587.13</v>
      </c>
      <c r="F101" s="32" t="s">
        <v>56</v>
      </c>
      <c r="G101" s="37">
        <v>291473.5</v>
      </c>
      <c r="H101" s="38">
        <f t="shared" si="19"/>
        <v>1457367.5</v>
      </c>
      <c r="I101" s="32" t="s">
        <v>57</v>
      </c>
      <c r="J101" s="37">
        <v>301685</v>
      </c>
      <c r="K101" s="38">
        <f t="shared" si="11"/>
        <v>1508425</v>
      </c>
      <c r="L101" s="32" t="s">
        <v>119</v>
      </c>
      <c r="M101" s="37">
        <v>298069</v>
      </c>
      <c r="N101" s="38">
        <f t="shared" si="12"/>
        <v>1490345</v>
      </c>
      <c r="O101" s="39">
        <f t="shared" si="13"/>
        <v>297075.83333333331</v>
      </c>
      <c r="P101" s="40">
        <f t="shared" si="14"/>
        <v>-0.16450457374800465</v>
      </c>
      <c r="Q101" s="39">
        <f t="shared" si="15"/>
        <v>1482935.65</v>
      </c>
      <c r="R101" s="41"/>
      <c r="T101" s="42">
        <f t="shared" si="16"/>
        <v>-2</v>
      </c>
      <c r="U101" s="42">
        <f t="shared" si="17"/>
        <v>2</v>
      </c>
      <c r="V101" s="42">
        <f t="shared" si="18"/>
        <v>0</v>
      </c>
    </row>
    <row r="102" spans="1:22" s="28" customFormat="1" ht="73.5" customHeight="1" x14ac:dyDescent="0.2">
      <c r="A102" s="30">
        <v>91</v>
      </c>
      <c r="B102" s="31" t="s">
        <v>158</v>
      </c>
      <c r="C102" s="32" t="s">
        <v>25</v>
      </c>
      <c r="D102" s="33">
        <v>39</v>
      </c>
      <c r="E102" s="35">
        <v>104.2</v>
      </c>
      <c r="F102" s="32" t="s">
        <v>27</v>
      </c>
      <c r="G102" s="37">
        <f>120.19/1.2</f>
        <v>100.15833333333333</v>
      </c>
      <c r="H102" s="38">
        <f t="shared" si="19"/>
        <v>3906.1749999999997</v>
      </c>
      <c r="I102" s="38" t="s">
        <v>28</v>
      </c>
      <c r="J102" s="37">
        <v>97.82</v>
      </c>
      <c r="K102" s="38">
        <f t="shared" si="11"/>
        <v>3814.9799999999996</v>
      </c>
      <c r="L102" s="32" t="s">
        <v>29</v>
      </c>
      <c r="M102" s="37">
        <v>115.39</v>
      </c>
      <c r="N102" s="38">
        <f t="shared" si="12"/>
        <v>4500.21</v>
      </c>
      <c r="O102" s="39">
        <f t="shared" si="13"/>
        <v>104.45611111111111</v>
      </c>
      <c r="P102" s="40">
        <f t="shared" si="14"/>
        <v>-0.24518537822902431</v>
      </c>
      <c r="Q102" s="39">
        <f t="shared" si="15"/>
        <v>4063.8</v>
      </c>
      <c r="R102" s="41"/>
      <c r="T102" s="42">
        <f t="shared" si="16"/>
        <v>-4</v>
      </c>
      <c r="U102" s="42">
        <f t="shared" si="17"/>
        <v>-6</v>
      </c>
      <c r="V102" s="42">
        <f t="shared" si="18"/>
        <v>10</v>
      </c>
    </row>
    <row r="103" spans="1:22" s="28" customFormat="1" ht="73.5" customHeight="1" x14ac:dyDescent="0.2">
      <c r="A103" s="30">
        <v>92</v>
      </c>
      <c r="B103" s="31" t="s">
        <v>159</v>
      </c>
      <c r="C103" s="32" t="s">
        <v>25</v>
      </c>
      <c r="D103" s="33">
        <v>65</v>
      </c>
      <c r="E103" s="35">
        <v>125.1</v>
      </c>
      <c r="F103" s="32" t="s">
        <v>27</v>
      </c>
      <c r="G103" s="37">
        <f>143.32/1.2</f>
        <v>119.43333333333334</v>
      </c>
      <c r="H103" s="38">
        <f t="shared" si="19"/>
        <v>7763.166666666667</v>
      </c>
      <c r="I103" s="38" t="s">
        <v>28</v>
      </c>
      <c r="J103" s="37">
        <v>130.07</v>
      </c>
      <c r="K103" s="38">
        <f t="shared" si="11"/>
        <v>8454.5499999999993</v>
      </c>
      <c r="L103" s="32" t="s">
        <v>29</v>
      </c>
      <c r="M103" s="37">
        <v>127.08</v>
      </c>
      <c r="N103" s="38">
        <f t="shared" si="12"/>
        <v>8260.2000000000007</v>
      </c>
      <c r="O103" s="39">
        <f t="shared" si="13"/>
        <v>125.52777777777777</v>
      </c>
      <c r="P103" s="40">
        <f t="shared" si="14"/>
        <v>-0.34078335915025093</v>
      </c>
      <c r="Q103" s="39">
        <f t="shared" si="15"/>
        <v>8131.5</v>
      </c>
      <c r="R103" s="41"/>
      <c r="T103" s="42">
        <f t="shared" si="16"/>
        <v>-5</v>
      </c>
      <c r="U103" s="42">
        <f t="shared" si="17"/>
        <v>4</v>
      </c>
      <c r="V103" s="42">
        <f t="shared" si="18"/>
        <v>1</v>
      </c>
    </row>
    <row r="104" spans="1:22" s="28" customFormat="1" ht="73.5" customHeight="1" x14ac:dyDescent="0.2">
      <c r="A104" s="30">
        <v>93</v>
      </c>
      <c r="B104" s="31" t="s">
        <v>160</v>
      </c>
      <c r="C104" s="32" t="s">
        <v>25</v>
      </c>
      <c r="D104" s="33">
        <v>8</v>
      </c>
      <c r="E104" s="35">
        <v>19.5</v>
      </c>
      <c r="F104" s="32" t="s">
        <v>27</v>
      </c>
      <c r="G104" s="37">
        <f>1097.79/50/1.2</f>
        <v>18.296500000000002</v>
      </c>
      <c r="H104" s="38">
        <f t="shared" si="19"/>
        <v>146.37200000000001</v>
      </c>
      <c r="I104" s="38" t="s">
        <v>28</v>
      </c>
      <c r="J104" s="37">
        <v>20.51</v>
      </c>
      <c r="K104" s="38">
        <f t="shared" si="11"/>
        <v>164.08</v>
      </c>
      <c r="L104" s="32" t="s">
        <v>29</v>
      </c>
      <c r="M104" s="37">
        <v>21.22</v>
      </c>
      <c r="N104" s="38">
        <f t="shared" si="12"/>
        <v>169.76</v>
      </c>
      <c r="O104" s="39">
        <f t="shared" si="13"/>
        <v>20.008833333333332</v>
      </c>
      <c r="P104" s="40">
        <f t="shared" si="14"/>
        <v>-2.5430434891256226</v>
      </c>
      <c r="Q104" s="39">
        <f t="shared" si="15"/>
        <v>156</v>
      </c>
      <c r="R104" s="41"/>
      <c r="T104" s="42">
        <f t="shared" si="16"/>
        <v>-9</v>
      </c>
      <c r="U104" s="42">
        <f t="shared" si="17"/>
        <v>3</v>
      </c>
      <c r="V104" s="42">
        <f t="shared" si="18"/>
        <v>6</v>
      </c>
    </row>
    <row r="105" spans="1:22" s="28" customFormat="1" ht="73.5" customHeight="1" x14ac:dyDescent="0.2">
      <c r="A105" s="30">
        <v>94</v>
      </c>
      <c r="B105" s="31" t="s">
        <v>161</v>
      </c>
      <c r="C105" s="32" t="s">
        <v>25</v>
      </c>
      <c r="D105" s="33">
        <v>1190</v>
      </c>
      <c r="E105" s="35">
        <v>57.5</v>
      </c>
      <c r="F105" s="32" t="s">
        <v>27</v>
      </c>
      <c r="G105" s="37">
        <f>3253.27/1.2/50</f>
        <v>54.221166666666669</v>
      </c>
      <c r="H105" s="38">
        <f t="shared" si="19"/>
        <v>64523.188333333339</v>
      </c>
      <c r="I105" s="38" t="s">
        <v>28</v>
      </c>
      <c r="J105" s="37">
        <v>59.4</v>
      </c>
      <c r="K105" s="38">
        <f t="shared" si="11"/>
        <v>70686</v>
      </c>
      <c r="L105" s="32" t="s">
        <v>29</v>
      </c>
      <c r="M105" s="37">
        <v>60.13</v>
      </c>
      <c r="N105" s="38">
        <f t="shared" si="12"/>
        <v>71554.7</v>
      </c>
      <c r="O105" s="39">
        <f t="shared" si="13"/>
        <v>57.917055555555557</v>
      </c>
      <c r="P105" s="40">
        <f t="shared" si="14"/>
        <v>-0.72009108811739964</v>
      </c>
      <c r="Q105" s="39">
        <f t="shared" si="15"/>
        <v>68425</v>
      </c>
      <c r="R105" s="41"/>
      <c r="T105" s="42">
        <f t="shared" si="16"/>
        <v>-6</v>
      </c>
      <c r="U105" s="42">
        <f t="shared" si="17"/>
        <v>3</v>
      </c>
      <c r="V105" s="42">
        <f t="shared" si="18"/>
        <v>4</v>
      </c>
    </row>
    <row r="106" spans="1:22" s="28" customFormat="1" ht="73.5" customHeight="1" x14ac:dyDescent="0.2">
      <c r="A106" s="30">
        <v>95</v>
      </c>
      <c r="B106" s="31" t="s">
        <v>162</v>
      </c>
      <c r="C106" s="32" t="s">
        <v>25</v>
      </c>
      <c r="D106" s="33">
        <v>3</v>
      </c>
      <c r="E106" s="35">
        <v>444.12</v>
      </c>
      <c r="F106" s="32" t="s">
        <v>27</v>
      </c>
      <c r="G106" s="37">
        <f>528.04/1.2</f>
        <v>440.0333333333333</v>
      </c>
      <c r="H106" s="38">
        <f t="shared" si="19"/>
        <v>1320.1</v>
      </c>
      <c r="I106" s="38" t="s">
        <v>28</v>
      </c>
      <c r="J106" s="37">
        <v>451.75</v>
      </c>
      <c r="K106" s="38">
        <f t="shared" si="11"/>
        <v>1355.25</v>
      </c>
      <c r="L106" s="32" t="s">
        <v>29</v>
      </c>
      <c r="M106" s="37">
        <v>442.56</v>
      </c>
      <c r="N106" s="38">
        <f t="shared" si="12"/>
        <v>1327.68</v>
      </c>
      <c r="O106" s="39">
        <f t="shared" si="13"/>
        <v>444.7811111111111</v>
      </c>
      <c r="P106" s="40">
        <f t="shared" si="14"/>
        <v>-0.14863740716407392</v>
      </c>
      <c r="Q106" s="39">
        <f t="shared" si="15"/>
        <v>1332.3600000000001</v>
      </c>
      <c r="R106" s="41"/>
      <c r="T106" s="42">
        <f t="shared" si="16"/>
        <v>-1</v>
      </c>
      <c r="U106" s="42">
        <f t="shared" si="17"/>
        <v>2</v>
      </c>
      <c r="V106" s="42">
        <f t="shared" si="18"/>
        <v>0</v>
      </c>
    </row>
    <row r="107" spans="1:22" s="28" customFormat="1" ht="73.5" customHeight="1" x14ac:dyDescent="0.2">
      <c r="A107" s="30">
        <v>96</v>
      </c>
      <c r="B107" s="31" t="s">
        <v>163</v>
      </c>
      <c r="C107" s="32" t="s">
        <v>25</v>
      </c>
      <c r="D107" s="33">
        <v>200</v>
      </c>
      <c r="E107" s="35">
        <v>2749.4</v>
      </c>
      <c r="F107" s="32" t="s">
        <v>56</v>
      </c>
      <c r="G107" s="37">
        <v>2816.22</v>
      </c>
      <c r="H107" s="38">
        <f t="shared" si="19"/>
        <v>563244</v>
      </c>
      <c r="I107" s="32" t="s">
        <v>57</v>
      </c>
      <c r="J107" s="37">
        <v>2697.03</v>
      </c>
      <c r="K107" s="38">
        <f t="shared" si="11"/>
        <v>539406</v>
      </c>
      <c r="L107" s="32" t="s">
        <v>119</v>
      </c>
      <c r="M107" s="37">
        <v>2755.11</v>
      </c>
      <c r="N107" s="38">
        <f t="shared" si="12"/>
        <v>551022</v>
      </c>
      <c r="O107" s="39">
        <f t="shared" si="13"/>
        <v>2756.1200000000003</v>
      </c>
      <c r="P107" s="40">
        <f t="shared" si="14"/>
        <v>-0.24382102375804493</v>
      </c>
      <c r="Q107" s="39">
        <f t="shared" si="15"/>
        <v>549880</v>
      </c>
      <c r="R107" s="41"/>
      <c r="T107" s="42">
        <f t="shared" si="16"/>
        <v>2</v>
      </c>
      <c r="U107" s="42">
        <f t="shared" si="17"/>
        <v>-2</v>
      </c>
      <c r="V107" s="42">
        <f t="shared" si="18"/>
        <v>0</v>
      </c>
    </row>
    <row r="108" spans="1:22" s="28" customFormat="1" ht="73.5" customHeight="1" x14ac:dyDescent="0.2">
      <c r="A108" s="30">
        <v>97</v>
      </c>
      <c r="B108" s="31" t="s">
        <v>164</v>
      </c>
      <c r="C108" s="32" t="s">
        <v>25</v>
      </c>
      <c r="D108" s="33">
        <v>5</v>
      </c>
      <c r="E108" s="35">
        <v>455.3</v>
      </c>
      <c r="F108" s="32" t="s">
        <v>27</v>
      </c>
      <c r="G108" s="37">
        <f>531.76/1.2</f>
        <v>443.13333333333333</v>
      </c>
      <c r="H108" s="38">
        <f t="shared" si="19"/>
        <v>2215.6666666666665</v>
      </c>
      <c r="I108" s="38" t="s">
        <v>28</v>
      </c>
      <c r="J108" s="37">
        <v>458.14</v>
      </c>
      <c r="K108" s="38">
        <f t="shared" si="11"/>
        <v>2290.6999999999998</v>
      </c>
      <c r="L108" s="32" t="s">
        <v>29</v>
      </c>
      <c r="M108" s="37">
        <v>465.87</v>
      </c>
      <c r="N108" s="38">
        <f t="shared" si="12"/>
        <v>2329.35</v>
      </c>
      <c r="O108" s="39">
        <f t="shared" si="13"/>
        <v>455.7144444444445</v>
      </c>
      <c r="P108" s="40">
        <f t="shared" si="14"/>
        <v>-9.0943890301687702E-2</v>
      </c>
      <c r="Q108" s="39">
        <f t="shared" si="15"/>
        <v>2276.5</v>
      </c>
      <c r="R108" s="41"/>
      <c r="T108" s="42">
        <f t="shared" si="16"/>
        <v>-3</v>
      </c>
      <c r="U108" s="42">
        <f t="shared" si="17"/>
        <v>1</v>
      </c>
      <c r="V108" s="42">
        <f t="shared" si="18"/>
        <v>2</v>
      </c>
    </row>
    <row r="109" spans="1:22" s="28" customFormat="1" ht="73.5" customHeight="1" x14ac:dyDescent="0.2">
      <c r="A109" s="30">
        <v>98</v>
      </c>
      <c r="B109" s="31" t="s">
        <v>165</v>
      </c>
      <c r="C109" s="32" t="s">
        <v>25</v>
      </c>
      <c r="D109" s="33">
        <v>2</v>
      </c>
      <c r="E109" s="35">
        <v>578.5</v>
      </c>
      <c r="F109" s="32" t="s">
        <v>27</v>
      </c>
      <c r="G109" s="37">
        <f>704.39/1.2</f>
        <v>586.99166666666667</v>
      </c>
      <c r="H109" s="38">
        <f t="shared" si="19"/>
        <v>1173.9833333333333</v>
      </c>
      <c r="I109" s="38" t="s">
        <v>28</v>
      </c>
      <c r="J109" s="37">
        <v>579.83000000000004</v>
      </c>
      <c r="K109" s="38">
        <f t="shared" si="11"/>
        <v>1159.6600000000001</v>
      </c>
      <c r="L109" s="32" t="s">
        <v>29</v>
      </c>
      <c r="M109" s="37">
        <v>572.21</v>
      </c>
      <c r="N109" s="38">
        <f t="shared" si="12"/>
        <v>1144.42</v>
      </c>
      <c r="O109" s="39">
        <f t="shared" si="13"/>
        <v>579.67722222222221</v>
      </c>
      <c r="P109" s="40">
        <f t="shared" si="14"/>
        <v>-0.20308236671941415</v>
      </c>
      <c r="Q109" s="39">
        <f t="shared" si="15"/>
        <v>1157</v>
      </c>
      <c r="R109" s="41"/>
      <c r="T109" s="42">
        <f t="shared" si="16"/>
        <v>1</v>
      </c>
      <c r="U109" s="42">
        <f t="shared" si="17"/>
        <v>0</v>
      </c>
      <c r="V109" s="42">
        <f t="shared" si="18"/>
        <v>-1</v>
      </c>
    </row>
    <row r="110" spans="1:22" s="28" customFormat="1" ht="73.5" customHeight="1" x14ac:dyDescent="0.2">
      <c r="A110" s="30">
        <v>99</v>
      </c>
      <c r="B110" s="31" t="s">
        <v>166</v>
      </c>
      <c r="C110" s="32" t="s">
        <v>25</v>
      </c>
      <c r="D110" s="33">
        <v>2</v>
      </c>
      <c r="E110" s="35">
        <v>586.44000000000005</v>
      </c>
      <c r="F110" s="32" t="s">
        <v>27</v>
      </c>
      <c r="G110" s="37">
        <f>704.39/1.2</f>
        <v>586.99166666666667</v>
      </c>
      <c r="H110" s="38">
        <f t="shared" si="19"/>
        <v>1173.9833333333333</v>
      </c>
      <c r="I110" s="38" t="s">
        <v>28</v>
      </c>
      <c r="J110" s="37">
        <v>579.83000000000004</v>
      </c>
      <c r="K110" s="38">
        <f t="shared" si="11"/>
        <v>1159.6600000000001</v>
      </c>
      <c r="L110" s="32" t="s">
        <v>29</v>
      </c>
      <c r="M110" s="37">
        <v>594.08000000000004</v>
      </c>
      <c r="N110" s="38">
        <f t="shared" si="12"/>
        <v>1188.1600000000001</v>
      </c>
      <c r="O110" s="39">
        <f t="shared" si="13"/>
        <v>586.96722222222218</v>
      </c>
      <c r="P110" s="40">
        <f t="shared" si="14"/>
        <v>-8.9821407782551432E-2</v>
      </c>
      <c r="Q110" s="39">
        <f t="shared" si="15"/>
        <v>1172.8800000000001</v>
      </c>
      <c r="R110" s="41"/>
      <c r="T110" s="42">
        <f t="shared" si="16"/>
        <v>0</v>
      </c>
      <c r="U110" s="42">
        <f t="shared" si="17"/>
        <v>-1</v>
      </c>
      <c r="V110" s="42">
        <f t="shared" si="18"/>
        <v>1</v>
      </c>
    </row>
    <row r="111" spans="1:22" s="28" customFormat="1" ht="73.5" customHeight="1" x14ac:dyDescent="0.2">
      <c r="A111" s="30">
        <v>100</v>
      </c>
      <c r="B111" s="31" t="s">
        <v>167</v>
      </c>
      <c r="C111" s="32" t="s">
        <v>25</v>
      </c>
      <c r="D111" s="33">
        <v>4</v>
      </c>
      <c r="E111" s="35">
        <v>105450</v>
      </c>
      <c r="F111" s="32" t="s">
        <v>66</v>
      </c>
      <c r="G111" s="37">
        <f>122928.34/1.2</f>
        <v>102440.28333333334</v>
      </c>
      <c r="H111" s="38">
        <f t="shared" si="19"/>
        <v>409761.13333333336</v>
      </c>
      <c r="I111" s="38" t="s">
        <v>67</v>
      </c>
      <c r="J111" s="37">
        <f>126572.83/1.2</f>
        <v>105477.35833333334</v>
      </c>
      <c r="K111" s="38">
        <f t="shared" si="11"/>
        <v>421909.43333333335</v>
      </c>
      <c r="L111" s="38" t="s">
        <v>68</v>
      </c>
      <c r="M111" s="37">
        <v>108459.11</v>
      </c>
      <c r="N111" s="38">
        <f t="shared" si="12"/>
        <v>433836.44</v>
      </c>
      <c r="O111" s="39">
        <f t="shared" si="13"/>
        <v>105458.91722222221</v>
      </c>
      <c r="P111" s="40">
        <f t="shared" si="14"/>
        <v>-8.4556360496463867E-3</v>
      </c>
      <c r="Q111" s="39">
        <f t="shared" si="15"/>
        <v>421800</v>
      </c>
      <c r="R111" s="64"/>
      <c r="T111" s="42">
        <f t="shared" si="16"/>
        <v>-3</v>
      </c>
      <c r="U111" s="42">
        <f t="shared" si="17"/>
        <v>0</v>
      </c>
      <c r="V111" s="42">
        <f t="shared" si="18"/>
        <v>3</v>
      </c>
    </row>
    <row r="112" spans="1:22" s="28" customFormat="1" ht="73.5" customHeight="1" x14ac:dyDescent="0.2">
      <c r="A112" s="30">
        <v>101</v>
      </c>
      <c r="B112" s="31" t="s">
        <v>168</v>
      </c>
      <c r="C112" s="32" t="s">
        <v>25</v>
      </c>
      <c r="D112" s="33">
        <v>9</v>
      </c>
      <c r="E112" s="35">
        <v>115250.4</v>
      </c>
      <c r="F112" s="32" t="s">
        <v>66</v>
      </c>
      <c r="G112" s="37">
        <f>134032.46/1.2</f>
        <v>111693.71666666666</v>
      </c>
      <c r="H112" s="38">
        <f t="shared" si="19"/>
        <v>1005243.45</v>
      </c>
      <c r="I112" s="38" t="s">
        <v>67</v>
      </c>
      <c r="J112" s="37">
        <f>142081.19/1.2</f>
        <v>118400.99166666667</v>
      </c>
      <c r="K112" s="38">
        <f t="shared" si="11"/>
        <v>1065608.925</v>
      </c>
      <c r="L112" s="38" t="s">
        <v>68</v>
      </c>
      <c r="M112" s="37">
        <v>115771.47</v>
      </c>
      <c r="N112" s="38">
        <f t="shared" si="12"/>
        <v>1041943.23</v>
      </c>
      <c r="O112" s="39">
        <f t="shared" si="13"/>
        <v>115288.72611111111</v>
      </c>
      <c r="P112" s="40">
        <f t="shared" si="14"/>
        <v>-3.3243589728087386E-2</v>
      </c>
      <c r="Q112" s="39">
        <f t="shared" si="15"/>
        <v>1037253.6</v>
      </c>
      <c r="R112" s="64"/>
      <c r="T112" s="42">
        <f t="shared" si="16"/>
        <v>-3</v>
      </c>
      <c r="U112" s="42">
        <f t="shared" si="17"/>
        <v>3</v>
      </c>
      <c r="V112" s="42">
        <f t="shared" si="18"/>
        <v>0</v>
      </c>
    </row>
    <row r="113" spans="1:22" s="28" customFormat="1" ht="73.5" customHeight="1" x14ac:dyDescent="0.2">
      <c r="A113" s="30">
        <v>102</v>
      </c>
      <c r="B113" s="31" t="s">
        <v>169</v>
      </c>
      <c r="C113" s="32" t="s">
        <v>25</v>
      </c>
      <c r="D113" s="33">
        <v>4</v>
      </c>
      <c r="E113" s="35">
        <v>105203.9</v>
      </c>
      <c r="F113" s="32" t="s">
        <v>66</v>
      </c>
      <c r="G113" s="37">
        <f>121610.29/1.2</f>
        <v>101341.90833333333</v>
      </c>
      <c r="H113" s="38">
        <f t="shared" si="19"/>
        <v>405367.6333333333</v>
      </c>
      <c r="I113" s="38" t="s">
        <v>67</v>
      </c>
      <c r="J113" s="37">
        <f>125484.62/1.2</f>
        <v>104570.51666666666</v>
      </c>
      <c r="K113" s="38">
        <f t="shared" si="11"/>
        <v>418282.06666666665</v>
      </c>
      <c r="L113" s="38" t="s">
        <v>68</v>
      </c>
      <c r="M113" s="37">
        <v>109702.63</v>
      </c>
      <c r="N113" s="38">
        <f t="shared" si="12"/>
        <v>438810.52</v>
      </c>
      <c r="O113" s="39">
        <f t="shared" si="13"/>
        <v>105205.01833333333</v>
      </c>
      <c r="P113" s="40">
        <f t="shared" si="14"/>
        <v>-1.063003791117012E-3</v>
      </c>
      <c r="Q113" s="39">
        <f t="shared" si="15"/>
        <v>420815.6</v>
      </c>
      <c r="R113" s="64"/>
      <c r="T113" s="42">
        <f t="shared" si="16"/>
        <v>-4</v>
      </c>
      <c r="U113" s="42">
        <f t="shared" si="17"/>
        <v>-1</v>
      </c>
      <c r="V113" s="42">
        <f t="shared" si="18"/>
        <v>4</v>
      </c>
    </row>
    <row r="114" spans="1:22" s="28" customFormat="1" ht="73.5" customHeight="1" x14ac:dyDescent="0.2">
      <c r="A114" s="30">
        <v>103</v>
      </c>
      <c r="B114" s="31" t="s">
        <v>170</v>
      </c>
      <c r="C114" s="32" t="s">
        <v>25</v>
      </c>
      <c r="D114" s="33">
        <v>96</v>
      </c>
      <c r="E114" s="35">
        <v>23801.47</v>
      </c>
      <c r="F114" s="32" t="s">
        <v>56</v>
      </c>
      <c r="G114" s="37">
        <v>23917.54</v>
      </c>
      <c r="H114" s="38">
        <f t="shared" si="19"/>
        <v>2296083.84</v>
      </c>
      <c r="I114" s="32" t="s">
        <v>57</v>
      </c>
      <c r="J114" s="37">
        <v>24571.360000000001</v>
      </c>
      <c r="K114" s="38">
        <f t="shared" si="11"/>
        <v>2358850.5600000001</v>
      </c>
      <c r="L114" s="32" t="s">
        <v>119</v>
      </c>
      <c r="M114" s="37">
        <v>22927.08</v>
      </c>
      <c r="N114" s="38">
        <f t="shared" si="12"/>
        <v>2200999.6800000002</v>
      </c>
      <c r="O114" s="39">
        <f t="shared" si="13"/>
        <v>23805.326666666671</v>
      </c>
      <c r="P114" s="40">
        <f t="shared" si="14"/>
        <v>-1.6200855886893351E-2</v>
      </c>
      <c r="Q114" s="39">
        <f t="shared" si="15"/>
        <v>2284941.12</v>
      </c>
      <c r="R114" s="64"/>
      <c r="T114" s="42">
        <f t="shared" si="16"/>
        <v>0</v>
      </c>
      <c r="U114" s="42">
        <f t="shared" si="17"/>
        <v>3</v>
      </c>
      <c r="V114" s="42">
        <f t="shared" si="18"/>
        <v>-4</v>
      </c>
    </row>
    <row r="115" spans="1:22" s="28" customFormat="1" ht="73.5" customHeight="1" x14ac:dyDescent="0.2">
      <c r="A115" s="30">
        <v>104</v>
      </c>
      <c r="B115" s="31" t="s">
        <v>171</v>
      </c>
      <c r="C115" s="32" t="s">
        <v>25</v>
      </c>
      <c r="D115" s="33">
        <v>2</v>
      </c>
      <c r="E115" s="35">
        <v>26380.87</v>
      </c>
      <c r="F115" s="32" t="s">
        <v>27</v>
      </c>
      <c r="G115" s="37">
        <f>29485.22/1.2</f>
        <v>24571.01666666667</v>
      </c>
      <c r="H115" s="38">
        <f t="shared" si="19"/>
        <v>49142.03333333334</v>
      </c>
      <c r="I115" s="38" t="s">
        <v>28</v>
      </c>
      <c r="J115" s="37">
        <f>33229.52/1.2</f>
        <v>27691.266666666666</v>
      </c>
      <c r="K115" s="38">
        <f t="shared" si="11"/>
        <v>55382.533333333333</v>
      </c>
      <c r="L115" s="32" t="s">
        <v>29</v>
      </c>
      <c r="M115" s="51">
        <v>26942.36</v>
      </c>
      <c r="N115" s="38">
        <f t="shared" si="12"/>
        <v>53884.72</v>
      </c>
      <c r="O115" s="39">
        <f t="shared" si="13"/>
        <v>26401.547777777781</v>
      </c>
      <c r="P115" s="40">
        <f t="shared" si="14"/>
        <v>-7.8320324065188629E-2</v>
      </c>
      <c r="Q115" s="39">
        <f t="shared" si="15"/>
        <v>52761.74</v>
      </c>
      <c r="R115" s="32"/>
      <c r="T115" s="42">
        <f t="shared" si="16"/>
        <v>-7</v>
      </c>
      <c r="U115" s="42">
        <f t="shared" si="17"/>
        <v>5</v>
      </c>
      <c r="V115" s="42">
        <f t="shared" si="18"/>
        <v>2</v>
      </c>
    </row>
    <row r="116" spans="1:22" s="28" customFormat="1" ht="73.5" customHeight="1" x14ac:dyDescent="0.2">
      <c r="A116" s="30">
        <v>105</v>
      </c>
      <c r="B116" s="31" t="s">
        <v>172</v>
      </c>
      <c r="C116" s="32" t="s">
        <v>25</v>
      </c>
      <c r="D116" s="33">
        <v>105</v>
      </c>
      <c r="E116" s="35">
        <v>16</v>
      </c>
      <c r="F116" s="32" t="s">
        <v>27</v>
      </c>
      <c r="G116" s="37">
        <f>15.68/1.2</f>
        <v>13.066666666666666</v>
      </c>
      <c r="H116" s="38">
        <f t="shared" si="19"/>
        <v>1372</v>
      </c>
      <c r="I116" s="38" t="s">
        <v>28</v>
      </c>
      <c r="J116" s="37">
        <f>23.17/1.2</f>
        <v>19.308333333333337</v>
      </c>
      <c r="K116" s="38">
        <f t="shared" si="11"/>
        <v>2027.3750000000005</v>
      </c>
      <c r="L116" s="32" t="s">
        <v>29</v>
      </c>
      <c r="M116" s="37">
        <v>15.88</v>
      </c>
      <c r="N116" s="38">
        <f t="shared" si="12"/>
        <v>1667.4</v>
      </c>
      <c r="O116" s="39">
        <f t="shared" si="13"/>
        <v>16.085000000000001</v>
      </c>
      <c r="P116" s="40">
        <f t="shared" si="14"/>
        <v>-0.52844264843021449</v>
      </c>
      <c r="Q116" s="39">
        <f t="shared" si="15"/>
        <v>1680</v>
      </c>
      <c r="R116" s="41"/>
      <c r="T116" s="42">
        <f t="shared" si="16"/>
        <v>-19</v>
      </c>
      <c r="U116" s="42">
        <f t="shared" si="17"/>
        <v>20</v>
      </c>
      <c r="V116" s="42">
        <f t="shared" si="18"/>
        <v>-1</v>
      </c>
    </row>
    <row r="117" spans="1:22" s="28" customFormat="1" ht="73.5" customHeight="1" x14ac:dyDescent="0.2">
      <c r="A117" s="30">
        <v>106</v>
      </c>
      <c r="B117" s="31" t="s">
        <v>173</v>
      </c>
      <c r="C117" s="32" t="s">
        <v>25</v>
      </c>
      <c r="D117" s="33">
        <v>4</v>
      </c>
      <c r="E117" s="35">
        <v>10739.64</v>
      </c>
      <c r="F117" s="38" t="s">
        <v>67</v>
      </c>
      <c r="G117" s="37">
        <f>12321.9/1.2</f>
        <v>10268.25</v>
      </c>
      <c r="H117" s="38">
        <f t="shared" si="19"/>
        <v>41073</v>
      </c>
      <c r="I117" s="32" t="s">
        <v>46</v>
      </c>
      <c r="J117" s="37">
        <v>11095.36</v>
      </c>
      <c r="K117" s="38">
        <f t="shared" si="11"/>
        <v>44381.440000000002</v>
      </c>
      <c r="L117" s="38" t="s">
        <v>68</v>
      </c>
      <c r="M117" s="37">
        <v>10873.97</v>
      </c>
      <c r="N117" s="38">
        <f t="shared" si="12"/>
        <v>43495.88</v>
      </c>
      <c r="O117" s="39">
        <f t="shared" si="13"/>
        <v>10745.86</v>
      </c>
      <c r="P117" s="40">
        <f t="shared" si="14"/>
        <v>-5.7882756708167449E-2</v>
      </c>
      <c r="Q117" s="39">
        <f t="shared" si="15"/>
        <v>42958.559999999998</v>
      </c>
      <c r="R117" s="41"/>
      <c r="T117" s="42">
        <f t="shared" si="16"/>
        <v>-4</v>
      </c>
      <c r="U117" s="42">
        <f t="shared" si="17"/>
        <v>3</v>
      </c>
      <c r="V117" s="42">
        <f t="shared" si="18"/>
        <v>1</v>
      </c>
    </row>
    <row r="118" spans="1:22" s="28" customFormat="1" ht="73.5" customHeight="1" x14ac:dyDescent="0.2">
      <c r="A118" s="30">
        <v>107</v>
      </c>
      <c r="B118" s="31" t="s">
        <v>174</v>
      </c>
      <c r="C118" s="32" t="s">
        <v>25</v>
      </c>
      <c r="D118" s="33">
        <v>15</v>
      </c>
      <c r="E118" s="35">
        <v>11759.65</v>
      </c>
      <c r="F118" s="38" t="s">
        <v>67</v>
      </c>
      <c r="G118" s="37">
        <f>13514.04/1.2</f>
        <v>11261.7</v>
      </c>
      <c r="H118" s="38">
        <f t="shared" si="19"/>
        <v>168925.5</v>
      </c>
      <c r="I118" s="32" t="s">
        <v>46</v>
      </c>
      <c r="J118" s="37">
        <v>11983.18</v>
      </c>
      <c r="K118" s="38">
        <f t="shared" si="11"/>
        <v>179747.7</v>
      </c>
      <c r="L118" s="38" t="s">
        <v>68</v>
      </c>
      <c r="M118" s="37">
        <v>12054.31</v>
      </c>
      <c r="N118" s="38">
        <f t="shared" si="12"/>
        <v>180814.65</v>
      </c>
      <c r="O118" s="39">
        <f t="shared" si="13"/>
        <v>11766.396666666667</v>
      </c>
      <c r="P118" s="40">
        <f t="shared" si="14"/>
        <v>-5.7338426179185831E-2</v>
      </c>
      <c r="Q118" s="39">
        <f t="shared" si="15"/>
        <v>176394.75</v>
      </c>
      <c r="R118" s="41"/>
      <c r="T118" s="42">
        <f t="shared" si="16"/>
        <v>-4</v>
      </c>
      <c r="U118" s="42">
        <f t="shared" si="17"/>
        <v>2</v>
      </c>
      <c r="V118" s="42">
        <f t="shared" si="18"/>
        <v>2</v>
      </c>
    </row>
    <row r="119" spans="1:22" s="28" customFormat="1" ht="73.5" customHeight="1" x14ac:dyDescent="0.2">
      <c r="A119" s="30">
        <v>108</v>
      </c>
      <c r="B119" s="31" t="s">
        <v>175</v>
      </c>
      <c r="C119" s="32" t="s">
        <v>25</v>
      </c>
      <c r="D119" s="33">
        <v>9</v>
      </c>
      <c r="E119" s="35">
        <v>853.15</v>
      </c>
      <c r="F119" s="32" t="s">
        <v>27</v>
      </c>
      <c r="G119" s="37">
        <f>961.27/1.2</f>
        <v>801.05833333333339</v>
      </c>
      <c r="H119" s="38">
        <f t="shared" si="19"/>
        <v>7209.5250000000005</v>
      </c>
      <c r="I119" s="38" t="s">
        <v>28</v>
      </c>
      <c r="J119" s="37">
        <f>1027.26/1.2</f>
        <v>856.05000000000007</v>
      </c>
      <c r="K119" s="38">
        <f t="shared" si="11"/>
        <v>7704.4500000000007</v>
      </c>
      <c r="L119" s="32" t="s">
        <v>29</v>
      </c>
      <c r="M119" s="37">
        <v>911.61</v>
      </c>
      <c r="N119" s="38">
        <f t="shared" si="12"/>
        <v>8204.49</v>
      </c>
      <c r="O119" s="39">
        <f t="shared" si="13"/>
        <v>856.23944444444453</v>
      </c>
      <c r="P119" s="40">
        <f t="shared" si="14"/>
        <v>-0.36081547801725833</v>
      </c>
      <c r="Q119" s="39">
        <f t="shared" si="15"/>
        <v>7678.3499999999995</v>
      </c>
      <c r="R119" s="41"/>
      <c r="T119" s="42">
        <f t="shared" si="16"/>
        <v>-6</v>
      </c>
      <c r="U119" s="42">
        <f t="shared" si="17"/>
        <v>0</v>
      </c>
      <c r="V119" s="42">
        <f t="shared" si="18"/>
        <v>6</v>
      </c>
    </row>
    <row r="120" spans="1:22" s="28" customFormat="1" ht="73.5" customHeight="1" x14ac:dyDescent="0.2">
      <c r="A120" s="30">
        <v>109</v>
      </c>
      <c r="B120" s="31" t="s">
        <v>176</v>
      </c>
      <c r="C120" s="32" t="s">
        <v>25</v>
      </c>
      <c r="D120" s="33">
        <v>6</v>
      </c>
      <c r="E120" s="35">
        <v>1193.4000000000001</v>
      </c>
      <c r="F120" s="32" t="s">
        <v>27</v>
      </c>
      <c r="G120" s="37">
        <f>1229.06/1.2</f>
        <v>1024.2166666666667</v>
      </c>
      <c r="H120" s="38">
        <f t="shared" si="19"/>
        <v>6145.3</v>
      </c>
      <c r="I120" s="38" t="s">
        <v>28</v>
      </c>
      <c r="J120" s="37">
        <f>1512.89/1.2</f>
        <v>1260.7416666666668</v>
      </c>
      <c r="K120" s="38">
        <f t="shared" si="11"/>
        <v>7564.4500000000007</v>
      </c>
      <c r="L120" s="32" t="s">
        <v>29</v>
      </c>
      <c r="M120" s="37">
        <v>1302.32</v>
      </c>
      <c r="N120" s="38">
        <f t="shared" si="12"/>
        <v>7813.92</v>
      </c>
      <c r="O120" s="39">
        <f t="shared" si="13"/>
        <v>1195.7594444444446</v>
      </c>
      <c r="P120" s="40">
        <f t="shared" si="14"/>
        <v>-0.19731765075380281</v>
      </c>
      <c r="Q120" s="39">
        <f t="shared" si="15"/>
        <v>7160.4000000000005</v>
      </c>
      <c r="R120" s="41"/>
      <c r="T120" s="42">
        <f t="shared" si="16"/>
        <v>-14</v>
      </c>
      <c r="U120" s="42">
        <f t="shared" si="17"/>
        <v>5</v>
      </c>
      <c r="V120" s="42">
        <f t="shared" si="18"/>
        <v>9</v>
      </c>
    </row>
    <row r="121" spans="1:22" s="28" customFormat="1" ht="73.5" customHeight="1" x14ac:dyDescent="0.2">
      <c r="A121" s="30">
        <v>110</v>
      </c>
      <c r="B121" s="31" t="s">
        <v>177</v>
      </c>
      <c r="C121" s="32" t="s">
        <v>25</v>
      </c>
      <c r="D121" s="33">
        <v>1</v>
      </c>
      <c r="E121" s="35">
        <v>1120.3</v>
      </c>
      <c r="F121" s="32" t="s">
        <v>27</v>
      </c>
      <c r="G121" s="37">
        <f>1283.51/1.2</f>
        <v>1069.5916666666667</v>
      </c>
      <c r="H121" s="38">
        <f t="shared" si="19"/>
        <v>1069.5916666666667</v>
      </c>
      <c r="I121" s="38" t="s">
        <v>28</v>
      </c>
      <c r="J121" s="37">
        <f>1330.68/1.2</f>
        <v>1108.9000000000001</v>
      </c>
      <c r="K121" s="38">
        <f t="shared" si="11"/>
        <v>1108.9000000000001</v>
      </c>
      <c r="L121" s="32" t="s">
        <v>29</v>
      </c>
      <c r="M121" s="37">
        <v>1187.8399999999999</v>
      </c>
      <c r="N121" s="38">
        <f t="shared" si="12"/>
        <v>1187.8399999999999</v>
      </c>
      <c r="O121" s="39">
        <f t="shared" si="13"/>
        <v>1122.1105555555557</v>
      </c>
      <c r="P121" s="40">
        <f t="shared" si="14"/>
        <v>-0.16135268905472344</v>
      </c>
      <c r="Q121" s="39">
        <f t="shared" si="15"/>
        <v>1120.3</v>
      </c>
      <c r="R121" s="41"/>
      <c r="T121" s="42">
        <f t="shared" si="16"/>
        <v>-5</v>
      </c>
      <c r="U121" s="42">
        <f t="shared" si="17"/>
        <v>-1</v>
      </c>
      <c r="V121" s="42">
        <f t="shared" si="18"/>
        <v>6</v>
      </c>
    </row>
    <row r="122" spans="1:22" s="28" customFormat="1" ht="73.5" customHeight="1" x14ac:dyDescent="0.2">
      <c r="A122" s="30">
        <v>111</v>
      </c>
      <c r="B122" s="31" t="s">
        <v>178</v>
      </c>
      <c r="C122" s="32" t="s">
        <v>25</v>
      </c>
      <c r="D122" s="33">
        <v>1</v>
      </c>
      <c r="E122" s="35">
        <v>3390.15</v>
      </c>
      <c r="F122" s="32" t="s">
        <v>27</v>
      </c>
      <c r="G122" s="37">
        <f>3848.77/1.2</f>
        <v>3207.3083333333334</v>
      </c>
      <c r="H122" s="38">
        <f t="shared" si="19"/>
        <v>3207.3083333333334</v>
      </c>
      <c r="I122" s="38" t="s">
        <v>28</v>
      </c>
      <c r="J122" s="37">
        <f>4213.88/1.2</f>
        <v>3511.5666666666671</v>
      </c>
      <c r="K122" s="38">
        <f t="shared" si="11"/>
        <v>3511.5666666666671</v>
      </c>
      <c r="L122" s="32" t="s">
        <v>29</v>
      </c>
      <c r="M122" s="37">
        <v>3461.03</v>
      </c>
      <c r="N122" s="38">
        <f t="shared" si="12"/>
        <v>3461.03</v>
      </c>
      <c r="O122" s="39">
        <f t="shared" si="13"/>
        <v>3393.3016666666667</v>
      </c>
      <c r="P122" s="40">
        <f t="shared" si="14"/>
        <v>-9.2879059283959009E-2</v>
      </c>
      <c r="Q122" s="39">
        <f t="shared" si="15"/>
        <v>3390.15</v>
      </c>
      <c r="R122" s="41"/>
      <c r="T122" s="42">
        <f t="shared" si="16"/>
        <v>-5</v>
      </c>
      <c r="U122" s="42">
        <f t="shared" si="17"/>
        <v>3</v>
      </c>
      <c r="V122" s="42">
        <f t="shared" si="18"/>
        <v>2</v>
      </c>
    </row>
    <row r="123" spans="1:22" s="28" customFormat="1" ht="73.5" customHeight="1" x14ac:dyDescent="0.2">
      <c r="A123" s="30">
        <v>112</v>
      </c>
      <c r="B123" s="31" t="s">
        <v>179</v>
      </c>
      <c r="C123" s="32" t="s">
        <v>25</v>
      </c>
      <c r="D123" s="33">
        <v>3</v>
      </c>
      <c r="E123" s="35">
        <v>2777.4</v>
      </c>
      <c r="F123" s="32" t="s">
        <v>27</v>
      </c>
      <c r="G123" s="37">
        <f>3306.94/1.2</f>
        <v>2755.7833333333333</v>
      </c>
      <c r="H123" s="38">
        <f t="shared" si="19"/>
        <v>8267.35</v>
      </c>
      <c r="I123" s="38" t="s">
        <v>28</v>
      </c>
      <c r="J123" s="37">
        <f>3452.2/1.2</f>
        <v>2876.8333333333335</v>
      </c>
      <c r="K123" s="38">
        <f t="shared" si="11"/>
        <v>8630.5</v>
      </c>
      <c r="L123" s="32" t="s">
        <v>29</v>
      </c>
      <c r="M123" s="37">
        <v>2703.98</v>
      </c>
      <c r="N123" s="38">
        <f t="shared" si="12"/>
        <v>8111.9400000000005</v>
      </c>
      <c r="O123" s="39">
        <f t="shared" si="13"/>
        <v>2778.8655555555556</v>
      </c>
      <c r="P123" s="40">
        <f t="shared" si="14"/>
        <v>-5.2739347271611337E-2</v>
      </c>
      <c r="Q123" s="39">
        <f t="shared" si="15"/>
        <v>8332.2000000000007</v>
      </c>
      <c r="R123" s="41"/>
      <c r="T123" s="42">
        <f t="shared" si="16"/>
        <v>-1</v>
      </c>
      <c r="U123" s="42">
        <f t="shared" si="17"/>
        <v>4</v>
      </c>
      <c r="V123" s="42">
        <f t="shared" si="18"/>
        <v>-3</v>
      </c>
    </row>
    <row r="124" spans="1:22" s="28" customFormat="1" ht="73.5" customHeight="1" x14ac:dyDescent="0.2">
      <c r="A124" s="30">
        <v>113</v>
      </c>
      <c r="B124" s="31" t="s">
        <v>180</v>
      </c>
      <c r="C124" s="32" t="s">
        <v>25</v>
      </c>
      <c r="D124" s="33" t="s">
        <v>181</v>
      </c>
      <c r="E124" s="35">
        <v>5200</v>
      </c>
      <c r="F124" s="32" t="s">
        <v>27</v>
      </c>
      <c r="G124" s="37">
        <f>6026.51/1.2</f>
        <v>5022.0916666666672</v>
      </c>
      <c r="H124" s="38">
        <f t="shared" si="19"/>
        <v>140618.56666666668</v>
      </c>
      <c r="I124" s="38" t="s">
        <v>28</v>
      </c>
      <c r="J124" s="37">
        <f>6712.45/1.2</f>
        <v>5593.708333333333</v>
      </c>
      <c r="K124" s="38">
        <f t="shared" si="11"/>
        <v>156623.83333333331</v>
      </c>
      <c r="L124" s="32" t="s">
        <v>29</v>
      </c>
      <c r="M124" s="37">
        <v>5007.33</v>
      </c>
      <c r="N124" s="38">
        <f t="shared" si="12"/>
        <v>140205.24</v>
      </c>
      <c r="O124" s="39">
        <f t="shared" si="13"/>
        <v>5207.71</v>
      </c>
      <c r="P124" s="40">
        <f t="shared" si="14"/>
        <v>-0.14804971859031468</v>
      </c>
      <c r="Q124" s="39">
        <f t="shared" si="15"/>
        <v>145600</v>
      </c>
      <c r="R124" s="41"/>
      <c r="T124" s="42">
        <f t="shared" si="16"/>
        <v>-4</v>
      </c>
      <c r="U124" s="42">
        <f t="shared" si="17"/>
        <v>7</v>
      </c>
      <c r="V124" s="42">
        <f t="shared" si="18"/>
        <v>-4</v>
      </c>
    </row>
    <row r="125" spans="1:22" s="28" customFormat="1" ht="73.5" customHeight="1" x14ac:dyDescent="0.2">
      <c r="A125" s="30">
        <v>114</v>
      </c>
      <c r="B125" s="31" t="s">
        <v>182</v>
      </c>
      <c r="C125" s="32" t="s">
        <v>25</v>
      </c>
      <c r="D125" s="33">
        <v>1</v>
      </c>
      <c r="E125" s="35">
        <v>3320.5</v>
      </c>
      <c r="F125" s="32" t="s">
        <v>27</v>
      </c>
      <c r="G125" s="37">
        <f>3946.52/1.2</f>
        <v>3288.7666666666669</v>
      </c>
      <c r="H125" s="38">
        <f t="shared" si="19"/>
        <v>3288.7666666666669</v>
      </c>
      <c r="I125" s="38" t="s">
        <v>28</v>
      </c>
      <c r="J125" s="37">
        <f>3861.14/1.2</f>
        <v>3217.6166666666668</v>
      </c>
      <c r="K125" s="38">
        <f t="shared" si="11"/>
        <v>3217.6166666666668</v>
      </c>
      <c r="L125" s="32" t="s">
        <v>29</v>
      </c>
      <c r="M125" s="37">
        <v>3471.09</v>
      </c>
      <c r="N125" s="38">
        <f t="shared" si="12"/>
        <v>3471.09</v>
      </c>
      <c r="O125" s="39">
        <f t="shared" si="13"/>
        <v>3325.8244444444445</v>
      </c>
      <c r="P125" s="40">
        <f t="shared" si="14"/>
        <v>-0.16009397168689077</v>
      </c>
      <c r="Q125" s="39">
        <f t="shared" si="15"/>
        <v>3320.5</v>
      </c>
      <c r="R125" s="41"/>
      <c r="T125" s="42">
        <f t="shared" si="16"/>
        <v>-1</v>
      </c>
      <c r="U125" s="42">
        <f t="shared" si="17"/>
        <v>-3</v>
      </c>
      <c r="V125" s="42">
        <f t="shared" si="18"/>
        <v>4</v>
      </c>
    </row>
    <row r="126" spans="1:22" s="28" customFormat="1" ht="73.5" customHeight="1" x14ac:dyDescent="0.2">
      <c r="A126" s="30">
        <v>115</v>
      </c>
      <c r="B126" s="31" t="s">
        <v>183</v>
      </c>
      <c r="C126" s="32" t="s">
        <v>25</v>
      </c>
      <c r="D126" s="33">
        <v>60</v>
      </c>
      <c r="E126" s="75">
        <v>3393.6</v>
      </c>
      <c r="F126" s="32" t="s">
        <v>491</v>
      </c>
      <c r="G126" s="37">
        <v>3389.33</v>
      </c>
      <c r="H126" s="38">
        <f t="shared" si="19"/>
        <v>203359.8</v>
      </c>
      <c r="I126" s="78" t="s">
        <v>492</v>
      </c>
      <c r="J126" s="77">
        <f>4112/1.2</f>
        <v>3426.666666666667</v>
      </c>
      <c r="K126" s="38">
        <f t="shared" si="11"/>
        <v>205600.00000000003</v>
      </c>
      <c r="L126" s="78" t="s">
        <v>493</v>
      </c>
      <c r="M126" s="77">
        <f>4038/1.2</f>
        <v>3365</v>
      </c>
      <c r="N126" s="38">
        <f t="shared" si="12"/>
        <v>201900</v>
      </c>
      <c r="O126" s="39">
        <f t="shared" si="13"/>
        <v>3393.6655555555553</v>
      </c>
      <c r="P126" s="40">
        <f t="shared" si="14"/>
        <v>-1.9317034776094033E-3</v>
      </c>
      <c r="Q126" s="39">
        <f t="shared" si="15"/>
        <v>203616</v>
      </c>
      <c r="R126" s="64" t="s">
        <v>494</v>
      </c>
      <c r="T126" s="42">
        <f t="shared" si="16"/>
        <v>0</v>
      </c>
      <c r="U126" s="42">
        <f t="shared" si="17"/>
        <v>1</v>
      </c>
      <c r="V126" s="42">
        <f t="shared" si="18"/>
        <v>-1</v>
      </c>
    </row>
    <row r="127" spans="1:22" s="28" customFormat="1" ht="73.5" customHeight="1" x14ac:dyDescent="0.2">
      <c r="A127" s="30">
        <v>116</v>
      </c>
      <c r="B127" s="31" t="s">
        <v>184</v>
      </c>
      <c r="C127" s="32" t="s">
        <v>25</v>
      </c>
      <c r="D127" s="33">
        <v>5</v>
      </c>
      <c r="E127" s="35">
        <v>1825</v>
      </c>
      <c r="F127" s="32" t="s">
        <v>27</v>
      </c>
      <c r="G127" s="37">
        <f>2172.67/1.2</f>
        <v>1810.5583333333334</v>
      </c>
      <c r="H127" s="38">
        <f t="shared" si="19"/>
        <v>9052.7916666666679</v>
      </c>
      <c r="I127" s="38" t="s">
        <v>28</v>
      </c>
      <c r="J127" s="37">
        <f>2232.5/1.2</f>
        <v>1860.4166666666667</v>
      </c>
      <c r="K127" s="38">
        <f t="shared" si="11"/>
        <v>9302.0833333333339</v>
      </c>
      <c r="L127" s="32" t="s">
        <v>29</v>
      </c>
      <c r="M127" s="37">
        <v>1807.53</v>
      </c>
      <c r="N127" s="38">
        <f t="shared" si="12"/>
        <v>9037.65</v>
      </c>
      <c r="O127" s="39">
        <f t="shared" si="13"/>
        <v>1826.1683333333333</v>
      </c>
      <c r="P127" s="40">
        <f t="shared" si="14"/>
        <v>-6.3977307677916428E-2</v>
      </c>
      <c r="Q127" s="39">
        <f t="shared" si="15"/>
        <v>9125</v>
      </c>
      <c r="R127" s="41"/>
      <c r="T127" s="42">
        <f t="shared" si="16"/>
        <v>-1</v>
      </c>
      <c r="U127" s="42">
        <f t="shared" si="17"/>
        <v>2</v>
      </c>
      <c r="V127" s="42">
        <f t="shared" si="18"/>
        <v>-1</v>
      </c>
    </row>
    <row r="128" spans="1:22" s="28" customFormat="1" ht="73.5" customHeight="1" x14ac:dyDescent="0.2">
      <c r="A128" s="30">
        <v>117</v>
      </c>
      <c r="B128" s="31" t="s">
        <v>185</v>
      </c>
      <c r="C128" s="32" t="s">
        <v>25</v>
      </c>
      <c r="D128" s="33">
        <v>4</v>
      </c>
      <c r="E128" s="35">
        <v>65.3</v>
      </c>
      <c r="F128" s="32" t="s">
        <v>27</v>
      </c>
      <c r="G128" s="37">
        <f>76.58/1.2</f>
        <v>63.81666666666667</v>
      </c>
      <c r="H128" s="38">
        <f t="shared" si="19"/>
        <v>255.26666666666668</v>
      </c>
      <c r="I128" s="38" t="s">
        <v>28</v>
      </c>
      <c r="J128" s="37">
        <f>75.56/1.2</f>
        <v>62.966666666666669</v>
      </c>
      <c r="K128" s="38">
        <f t="shared" si="11"/>
        <v>251.86666666666667</v>
      </c>
      <c r="L128" s="32" t="s">
        <v>29</v>
      </c>
      <c r="M128" s="37">
        <v>70.62</v>
      </c>
      <c r="N128" s="38">
        <f t="shared" si="12"/>
        <v>282.48</v>
      </c>
      <c r="O128" s="39">
        <f t="shared" si="13"/>
        <v>65.801111111111112</v>
      </c>
      <c r="P128" s="40">
        <f t="shared" si="14"/>
        <v>-0.76155417841644635</v>
      </c>
      <c r="Q128" s="39">
        <f t="shared" si="15"/>
        <v>261.2</v>
      </c>
      <c r="R128" s="41"/>
      <c r="T128" s="42">
        <f t="shared" si="16"/>
        <v>-3</v>
      </c>
      <c r="U128" s="42">
        <f t="shared" si="17"/>
        <v>-4</v>
      </c>
      <c r="V128" s="42">
        <f t="shared" si="18"/>
        <v>7</v>
      </c>
    </row>
    <row r="129" spans="1:22" s="28" customFormat="1" ht="73.5" customHeight="1" x14ac:dyDescent="0.2">
      <c r="A129" s="30">
        <v>118</v>
      </c>
      <c r="B129" s="31" t="s">
        <v>186</v>
      </c>
      <c r="C129" s="32" t="s">
        <v>25</v>
      </c>
      <c r="D129" s="33">
        <v>2</v>
      </c>
      <c r="E129" s="35">
        <v>65.010000000000005</v>
      </c>
      <c r="F129" s="32" t="s">
        <v>27</v>
      </c>
      <c r="G129" s="37">
        <f>74.03/1.2</f>
        <v>61.69166666666667</v>
      </c>
      <c r="H129" s="38">
        <f t="shared" si="19"/>
        <v>123.38333333333334</v>
      </c>
      <c r="I129" s="38" t="s">
        <v>28</v>
      </c>
      <c r="J129" s="37">
        <f>76.66/1.2</f>
        <v>63.883333333333333</v>
      </c>
      <c r="K129" s="38">
        <f t="shared" si="11"/>
        <v>127.76666666666667</v>
      </c>
      <c r="L129" s="32" t="s">
        <v>29</v>
      </c>
      <c r="M129" s="37">
        <v>69.739999999999995</v>
      </c>
      <c r="N129" s="38">
        <f t="shared" si="12"/>
        <v>139.47999999999999</v>
      </c>
      <c r="O129" s="39">
        <f t="shared" si="13"/>
        <v>65.105000000000004</v>
      </c>
      <c r="P129" s="40">
        <f t="shared" si="14"/>
        <v>-0.14591813224789973</v>
      </c>
      <c r="Q129" s="39">
        <f t="shared" si="15"/>
        <v>130.02000000000001</v>
      </c>
      <c r="R129" s="41"/>
      <c r="T129" s="42">
        <f t="shared" si="16"/>
        <v>-5</v>
      </c>
      <c r="U129" s="42">
        <f t="shared" si="17"/>
        <v>-2</v>
      </c>
      <c r="V129" s="42">
        <f t="shared" si="18"/>
        <v>7</v>
      </c>
    </row>
    <row r="130" spans="1:22" s="28" customFormat="1" ht="73.5" customHeight="1" x14ac:dyDescent="0.2">
      <c r="A130" s="30">
        <v>119</v>
      </c>
      <c r="B130" s="31" t="s">
        <v>187</v>
      </c>
      <c r="C130" s="32" t="s">
        <v>25</v>
      </c>
      <c r="D130" s="33">
        <v>4</v>
      </c>
      <c r="E130" s="35">
        <v>133.1</v>
      </c>
      <c r="F130" s="32" t="s">
        <v>27</v>
      </c>
      <c r="G130" s="37">
        <f>149.48/1.2</f>
        <v>124.56666666666666</v>
      </c>
      <c r="H130" s="38">
        <f t="shared" si="19"/>
        <v>498.26666666666665</v>
      </c>
      <c r="I130" s="38" t="s">
        <v>28</v>
      </c>
      <c r="J130" s="37">
        <f>167.56/1.2</f>
        <v>139.63333333333335</v>
      </c>
      <c r="K130" s="38">
        <f t="shared" si="11"/>
        <v>558.53333333333342</v>
      </c>
      <c r="L130" s="32" t="s">
        <v>29</v>
      </c>
      <c r="M130" s="37">
        <v>136.08000000000001</v>
      </c>
      <c r="N130" s="38">
        <f t="shared" si="12"/>
        <v>544.32000000000005</v>
      </c>
      <c r="O130" s="39">
        <f t="shared" si="13"/>
        <v>133.4266666666667</v>
      </c>
      <c r="P130" s="40">
        <f t="shared" si="14"/>
        <v>-0.2448286199660572</v>
      </c>
      <c r="Q130" s="39">
        <f t="shared" si="15"/>
        <v>532.4</v>
      </c>
      <c r="R130" s="41"/>
      <c r="T130" s="42">
        <f t="shared" si="16"/>
        <v>-7</v>
      </c>
      <c r="U130" s="42">
        <f t="shared" si="17"/>
        <v>5</v>
      </c>
      <c r="V130" s="42">
        <f t="shared" si="18"/>
        <v>2</v>
      </c>
    </row>
    <row r="131" spans="1:22" s="28" customFormat="1" ht="73.5" customHeight="1" x14ac:dyDescent="0.2">
      <c r="A131" s="30">
        <v>120</v>
      </c>
      <c r="B131" s="31" t="s">
        <v>188</v>
      </c>
      <c r="C131" s="32" t="s">
        <v>53</v>
      </c>
      <c r="D131" s="33">
        <v>58.65</v>
      </c>
      <c r="E131" s="35">
        <v>1090.4000000000001</v>
      </c>
      <c r="F131" s="32" t="s">
        <v>90</v>
      </c>
      <c r="G131" s="37">
        <f>1238.89/1.2</f>
        <v>1032.4083333333335</v>
      </c>
      <c r="H131" s="38">
        <f t="shared" si="19"/>
        <v>60550.748750000013</v>
      </c>
      <c r="I131" s="32" t="s">
        <v>189</v>
      </c>
      <c r="J131" s="37">
        <f>1320.83/1.2</f>
        <v>1100.6916666666666</v>
      </c>
      <c r="K131" s="38">
        <f t="shared" si="11"/>
        <v>64555.566249999996</v>
      </c>
      <c r="L131" s="32" t="s">
        <v>149</v>
      </c>
      <c r="M131" s="37">
        <f>1385.5/1.2</f>
        <v>1154.5833333333335</v>
      </c>
      <c r="N131" s="38">
        <f t="shared" si="12"/>
        <v>67716.3125</v>
      </c>
      <c r="O131" s="39">
        <f t="shared" si="13"/>
        <v>1095.8944444444446</v>
      </c>
      <c r="P131" s="40">
        <f t="shared" si="14"/>
        <v>-0.50136621024937256</v>
      </c>
      <c r="Q131" s="39">
        <f t="shared" si="15"/>
        <v>63951.960000000006</v>
      </c>
      <c r="R131" s="52"/>
      <c r="S131" s="53"/>
      <c r="T131" s="42">
        <f t="shared" si="16"/>
        <v>-6</v>
      </c>
      <c r="U131" s="42">
        <f t="shared" si="17"/>
        <v>0</v>
      </c>
      <c r="V131" s="42">
        <f t="shared" si="18"/>
        <v>5</v>
      </c>
    </row>
    <row r="132" spans="1:22" s="28" customFormat="1" ht="73.5" customHeight="1" x14ac:dyDescent="0.2">
      <c r="A132" s="30">
        <v>121</v>
      </c>
      <c r="B132" s="31" t="s">
        <v>190</v>
      </c>
      <c r="C132" s="32" t="s">
        <v>53</v>
      </c>
      <c r="D132" s="33" t="s">
        <v>191</v>
      </c>
      <c r="E132" s="35">
        <v>2710.82</v>
      </c>
      <c r="F132" s="32" t="s">
        <v>90</v>
      </c>
      <c r="G132" s="37">
        <f>3111.11/1.2</f>
        <v>2592.5916666666667</v>
      </c>
      <c r="H132" s="38">
        <f t="shared" ref="H132:H163" si="20">D132*G132</f>
        <v>2851.8508333333334</v>
      </c>
      <c r="I132" s="32" t="s">
        <v>189</v>
      </c>
      <c r="J132" s="37">
        <f>3185.77/1.2</f>
        <v>2654.8083333333334</v>
      </c>
      <c r="K132" s="38">
        <f t="shared" si="11"/>
        <v>2920.2891666666669</v>
      </c>
      <c r="L132" s="32" t="s">
        <v>149</v>
      </c>
      <c r="M132" s="37">
        <f>3480.8/1.2</f>
        <v>2900.666666666667</v>
      </c>
      <c r="N132" s="38">
        <f t="shared" si="12"/>
        <v>3190.733333333334</v>
      </c>
      <c r="O132" s="39">
        <f t="shared" si="13"/>
        <v>2716.0222222222224</v>
      </c>
      <c r="P132" s="40">
        <f t="shared" si="14"/>
        <v>-0.19153827901915577</v>
      </c>
      <c r="Q132" s="39">
        <f t="shared" si="15"/>
        <v>2981.9020000000005</v>
      </c>
      <c r="R132" s="52"/>
      <c r="T132" s="42">
        <f t="shared" si="16"/>
        <v>-5</v>
      </c>
      <c r="U132" s="42">
        <f t="shared" si="17"/>
        <v>-2</v>
      </c>
      <c r="V132" s="42">
        <f t="shared" si="18"/>
        <v>7</v>
      </c>
    </row>
    <row r="133" spans="1:22" s="28" customFormat="1" ht="73.5" customHeight="1" x14ac:dyDescent="0.2">
      <c r="A133" s="30">
        <v>122</v>
      </c>
      <c r="B133" s="31" t="s">
        <v>192</v>
      </c>
      <c r="C133" s="32" t="s">
        <v>53</v>
      </c>
      <c r="D133" s="33" t="s">
        <v>193</v>
      </c>
      <c r="E133" s="35">
        <v>2701.65</v>
      </c>
      <c r="F133" s="32" t="s">
        <v>90</v>
      </c>
      <c r="G133" s="37">
        <f>3166.67/1.2</f>
        <v>2638.8916666666669</v>
      </c>
      <c r="H133" s="38">
        <f t="shared" si="20"/>
        <v>8180.5641666666679</v>
      </c>
      <c r="I133" s="32" t="s">
        <v>189</v>
      </c>
      <c r="J133" s="37">
        <f>3135.29/1.2</f>
        <v>2612.7416666666668</v>
      </c>
      <c r="K133" s="38">
        <f t="shared" si="11"/>
        <v>8099.4991666666674</v>
      </c>
      <c r="L133" s="32" t="s">
        <v>149</v>
      </c>
      <c r="M133" s="37">
        <f>3514.09/1.2</f>
        <v>2928.4083333333338</v>
      </c>
      <c r="N133" s="38">
        <f t="shared" si="12"/>
        <v>9078.065833333334</v>
      </c>
      <c r="O133" s="39">
        <f t="shared" si="13"/>
        <v>2726.6805555555557</v>
      </c>
      <c r="P133" s="40">
        <f t="shared" si="14"/>
        <v>-0.91798635907518644</v>
      </c>
      <c r="Q133" s="39">
        <f t="shared" si="15"/>
        <v>8375.1149999999998</v>
      </c>
      <c r="R133" s="52"/>
      <c r="T133" s="42">
        <f t="shared" si="16"/>
        <v>-3</v>
      </c>
      <c r="U133" s="42">
        <f t="shared" si="17"/>
        <v>-4</v>
      </c>
      <c r="V133" s="42">
        <f t="shared" si="18"/>
        <v>7</v>
      </c>
    </row>
    <row r="134" spans="1:22" s="28" customFormat="1" ht="73.5" customHeight="1" x14ac:dyDescent="0.2">
      <c r="A134" s="30">
        <v>123</v>
      </c>
      <c r="B134" s="31" t="s">
        <v>194</v>
      </c>
      <c r="C134" s="32" t="s">
        <v>53</v>
      </c>
      <c r="D134" s="33">
        <v>10</v>
      </c>
      <c r="E134" s="35">
        <v>1478.6</v>
      </c>
      <c r="F134" s="32" t="s">
        <v>90</v>
      </c>
      <c r="G134" s="37">
        <f>1725.55/1.2</f>
        <v>1437.9583333333333</v>
      </c>
      <c r="H134" s="38">
        <f t="shared" si="20"/>
        <v>14379.583333333332</v>
      </c>
      <c r="I134" s="32" t="s">
        <v>189</v>
      </c>
      <c r="J134" s="37">
        <f>1741.12/1.2</f>
        <v>1450.9333333333334</v>
      </c>
      <c r="K134" s="38">
        <f t="shared" si="11"/>
        <v>14509.333333333334</v>
      </c>
      <c r="L134" s="32" t="s">
        <v>149</v>
      </c>
      <c r="M134" s="37">
        <f>1865.66/1.2</f>
        <v>1554.7166666666667</v>
      </c>
      <c r="N134" s="38">
        <f t="shared" si="12"/>
        <v>15547.166666666668</v>
      </c>
      <c r="O134" s="39">
        <f t="shared" si="13"/>
        <v>1481.2027777777778</v>
      </c>
      <c r="P134" s="40">
        <f t="shared" si="14"/>
        <v>-0.17572055742986947</v>
      </c>
      <c r="Q134" s="39">
        <f t="shared" si="15"/>
        <v>14786</v>
      </c>
      <c r="R134" s="52"/>
      <c r="T134" s="42">
        <f t="shared" si="16"/>
        <v>-3</v>
      </c>
      <c r="U134" s="42">
        <f t="shared" si="17"/>
        <v>-2</v>
      </c>
      <c r="V134" s="42">
        <f t="shared" si="18"/>
        <v>5</v>
      </c>
    </row>
    <row r="135" spans="1:22" s="28" customFormat="1" ht="73.5" customHeight="1" x14ac:dyDescent="0.2">
      <c r="A135" s="30">
        <v>124</v>
      </c>
      <c r="B135" s="31" t="s">
        <v>195</v>
      </c>
      <c r="C135" s="32" t="s">
        <v>53</v>
      </c>
      <c r="D135" s="33">
        <v>15</v>
      </c>
      <c r="E135" s="35">
        <v>1369.87</v>
      </c>
      <c r="F135" s="32" t="s">
        <v>90</v>
      </c>
      <c r="G135" s="37">
        <f>1505.56/1.2</f>
        <v>1254.6333333333334</v>
      </c>
      <c r="H135" s="38">
        <f t="shared" si="20"/>
        <v>18819.5</v>
      </c>
      <c r="I135" s="32" t="s">
        <v>189</v>
      </c>
      <c r="J135" s="37">
        <f>1637.46/1.2</f>
        <v>1364.5500000000002</v>
      </c>
      <c r="K135" s="38">
        <f t="shared" si="11"/>
        <v>20468.250000000004</v>
      </c>
      <c r="L135" s="32" t="s">
        <v>149</v>
      </c>
      <c r="M135" s="37">
        <f>1805.2/1.2</f>
        <v>1504.3333333333335</v>
      </c>
      <c r="N135" s="38">
        <f t="shared" si="12"/>
        <v>22565.000000000004</v>
      </c>
      <c r="O135" s="39">
        <f t="shared" si="13"/>
        <v>1374.5055555555555</v>
      </c>
      <c r="P135" s="40">
        <f t="shared" si="14"/>
        <v>-0.33725258779924161</v>
      </c>
      <c r="Q135" s="39">
        <f t="shared" si="15"/>
        <v>20548.05</v>
      </c>
      <c r="R135" s="52"/>
      <c r="T135" s="42">
        <f t="shared" si="16"/>
        <v>-9</v>
      </c>
      <c r="U135" s="42">
        <f t="shared" si="17"/>
        <v>-1</v>
      </c>
      <c r="V135" s="42">
        <f t="shared" si="18"/>
        <v>9</v>
      </c>
    </row>
    <row r="136" spans="1:22" s="28" customFormat="1" ht="73.5" customHeight="1" x14ac:dyDescent="0.2">
      <c r="A136" s="30">
        <v>125</v>
      </c>
      <c r="B136" s="31" t="s">
        <v>196</v>
      </c>
      <c r="C136" s="32" t="s">
        <v>53</v>
      </c>
      <c r="D136" s="33" t="s">
        <v>191</v>
      </c>
      <c r="E136" s="35">
        <v>1878.3</v>
      </c>
      <c r="F136" s="32" t="s">
        <v>90</v>
      </c>
      <c r="G136" s="37">
        <f>2222.22/1.2</f>
        <v>1851.85</v>
      </c>
      <c r="H136" s="38">
        <f t="shared" si="20"/>
        <v>2037.0350000000001</v>
      </c>
      <c r="I136" s="32" t="s">
        <v>189</v>
      </c>
      <c r="J136" s="37">
        <f>2269.73/1.2</f>
        <v>1891.4416666666668</v>
      </c>
      <c r="K136" s="38">
        <f t="shared" si="11"/>
        <v>2080.5858333333335</v>
      </c>
      <c r="L136" s="32" t="s">
        <v>149</v>
      </c>
      <c r="M136" s="37">
        <f>2294.14/1.2</f>
        <v>1911.7833333333333</v>
      </c>
      <c r="N136" s="38">
        <f t="shared" si="12"/>
        <v>2102.9616666666666</v>
      </c>
      <c r="O136" s="39">
        <f t="shared" si="13"/>
        <v>1885.0250000000003</v>
      </c>
      <c r="P136" s="40">
        <f t="shared" si="14"/>
        <v>-0.35675919417515445</v>
      </c>
      <c r="Q136" s="39">
        <f t="shared" si="15"/>
        <v>2066.13</v>
      </c>
      <c r="R136" s="52"/>
      <c r="T136" s="42">
        <f t="shared" si="16"/>
        <v>-2</v>
      </c>
      <c r="U136" s="42">
        <f t="shared" si="17"/>
        <v>0</v>
      </c>
      <c r="V136" s="42">
        <f t="shared" si="18"/>
        <v>1</v>
      </c>
    </row>
    <row r="137" spans="1:22" s="28" customFormat="1" ht="73.5" customHeight="1" x14ac:dyDescent="0.2">
      <c r="A137" s="30">
        <v>126</v>
      </c>
      <c r="B137" s="31" t="s">
        <v>197</v>
      </c>
      <c r="C137" s="32" t="s">
        <v>45</v>
      </c>
      <c r="D137" s="33">
        <v>450</v>
      </c>
      <c r="E137" s="35">
        <v>452.31</v>
      </c>
      <c r="F137" s="32" t="s">
        <v>198</v>
      </c>
      <c r="G137" s="37">
        <f>12465/1.2/25</f>
        <v>415.5</v>
      </c>
      <c r="H137" s="38">
        <f t="shared" si="20"/>
        <v>186975</v>
      </c>
      <c r="I137" s="32" t="s">
        <v>189</v>
      </c>
      <c r="J137" s="37">
        <f>526.16/1.2</f>
        <v>438.46666666666664</v>
      </c>
      <c r="K137" s="38">
        <f t="shared" si="11"/>
        <v>197310</v>
      </c>
      <c r="L137" s="38" t="s">
        <v>41</v>
      </c>
      <c r="M137" s="37">
        <v>509.48</v>
      </c>
      <c r="N137" s="38">
        <f t="shared" si="12"/>
        <v>229266</v>
      </c>
      <c r="O137" s="39">
        <f t="shared" si="13"/>
        <v>454.48222222222222</v>
      </c>
      <c r="P137" s="40">
        <f t="shared" si="14"/>
        <v>-0.47795537779255426</v>
      </c>
      <c r="Q137" s="39">
        <f t="shared" si="15"/>
        <v>203539.5</v>
      </c>
      <c r="R137" s="41"/>
      <c r="T137" s="42">
        <f t="shared" si="16"/>
        <v>-9</v>
      </c>
      <c r="U137" s="42">
        <f t="shared" si="17"/>
        <v>-4</v>
      </c>
      <c r="V137" s="42">
        <f t="shared" si="18"/>
        <v>12</v>
      </c>
    </row>
    <row r="138" spans="1:22" s="28" customFormat="1" ht="73.5" customHeight="1" x14ac:dyDescent="0.2">
      <c r="A138" s="30">
        <v>127</v>
      </c>
      <c r="B138" s="31" t="s">
        <v>199</v>
      </c>
      <c r="C138" s="32" t="s">
        <v>25</v>
      </c>
      <c r="D138" s="33">
        <v>2</v>
      </c>
      <c r="E138" s="35">
        <v>789.34</v>
      </c>
      <c r="F138" s="32" t="s">
        <v>27</v>
      </c>
      <c r="G138" s="37">
        <f>898.07/1.2</f>
        <v>748.39166666666677</v>
      </c>
      <c r="H138" s="38">
        <f t="shared" si="20"/>
        <v>1496.7833333333335</v>
      </c>
      <c r="I138" s="38" t="s">
        <v>28</v>
      </c>
      <c r="J138" s="37">
        <f>987.35/1.2</f>
        <v>822.79166666666674</v>
      </c>
      <c r="K138" s="38">
        <f t="shared" si="11"/>
        <v>1645.5833333333335</v>
      </c>
      <c r="L138" s="32" t="s">
        <v>29</v>
      </c>
      <c r="M138" s="37">
        <v>801.16</v>
      </c>
      <c r="N138" s="38">
        <f t="shared" si="12"/>
        <v>1602.32</v>
      </c>
      <c r="O138" s="39">
        <f t="shared" si="13"/>
        <v>790.78111111111104</v>
      </c>
      <c r="P138" s="40">
        <f t="shared" si="14"/>
        <v>-0.18223893955764936</v>
      </c>
      <c r="Q138" s="39">
        <f t="shared" si="15"/>
        <v>1578.68</v>
      </c>
      <c r="R138" s="41"/>
      <c r="T138" s="42">
        <f t="shared" si="16"/>
        <v>-5</v>
      </c>
      <c r="U138" s="42">
        <f t="shared" si="17"/>
        <v>4</v>
      </c>
      <c r="V138" s="42">
        <f t="shared" si="18"/>
        <v>1</v>
      </c>
    </row>
    <row r="139" spans="1:22" s="28" customFormat="1" ht="73.5" customHeight="1" x14ac:dyDescent="0.2">
      <c r="A139" s="30">
        <v>128</v>
      </c>
      <c r="B139" s="31" t="s">
        <v>200</v>
      </c>
      <c r="C139" s="32" t="s">
        <v>25</v>
      </c>
      <c r="D139" s="33">
        <v>36</v>
      </c>
      <c r="E139" s="35">
        <v>329.75</v>
      </c>
      <c r="F139" s="32" t="s">
        <v>27</v>
      </c>
      <c r="G139" s="37">
        <f>356.62/1.2</f>
        <v>297.18333333333334</v>
      </c>
      <c r="H139" s="38">
        <f t="shared" si="20"/>
        <v>10698.6</v>
      </c>
      <c r="I139" s="38" t="s">
        <v>28</v>
      </c>
      <c r="J139" s="37">
        <f>442.12/1.2</f>
        <v>368.43333333333334</v>
      </c>
      <c r="K139" s="38">
        <f t="shared" si="11"/>
        <v>13263.6</v>
      </c>
      <c r="L139" s="32" t="s">
        <v>29</v>
      </c>
      <c r="M139" s="37">
        <v>335.45</v>
      </c>
      <c r="N139" s="38">
        <f t="shared" si="12"/>
        <v>12076.199999999999</v>
      </c>
      <c r="O139" s="39">
        <f t="shared" si="13"/>
        <v>333.68888888888887</v>
      </c>
      <c r="P139" s="40">
        <f t="shared" si="14"/>
        <v>-1.1804075652637067</v>
      </c>
      <c r="Q139" s="39">
        <f t="shared" si="15"/>
        <v>11871</v>
      </c>
      <c r="R139" s="41"/>
      <c r="T139" s="42">
        <f t="shared" si="16"/>
        <v>-11</v>
      </c>
      <c r="U139" s="42">
        <f t="shared" si="17"/>
        <v>10</v>
      </c>
      <c r="V139" s="42">
        <f t="shared" si="18"/>
        <v>1</v>
      </c>
    </row>
    <row r="140" spans="1:22" s="28" customFormat="1" ht="99.75" customHeight="1" x14ac:dyDescent="0.2">
      <c r="A140" s="30">
        <v>129</v>
      </c>
      <c r="B140" s="31" t="s">
        <v>201</v>
      </c>
      <c r="C140" s="32" t="s">
        <v>45</v>
      </c>
      <c r="D140" s="33">
        <v>140</v>
      </c>
      <c r="E140" s="35">
        <v>429.98</v>
      </c>
      <c r="F140" s="32" t="s">
        <v>202</v>
      </c>
      <c r="G140" s="37">
        <f>10220/25</f>
        <v>408.8</v>
      </c>
      <c r="H140" s="38">
        <f t="shared" si="20"/>
        <v>57232</v>
      </c>
      <c r="I140" s="32" t="s">
        <v>46</v>
      </c>
      <c r="J140" s="37">
        <v>456.73</v>
      </c>
      <c r="K140" s="38">
        <f t="shared" ref="K140:K203" si="21">D140*J140</f>
        <v>63942.200000000004</v>
      </c>
      <c r="L140" s="32" t="s">
        <v>57</v>
      </c>
      <c r="M140" s="37">
        <v>428.41</v>
      </c>
      <c r="N140" s="38">
        <f t="shared" ref="N140:N203" si="22">D140*M140</f>
        <v>59977.4</v>
      </c>
      <c r="O140" s="39">
        <f t="shared" ref="O140:O203" si="23">AVERAGE(G140,J140,M140)</f>
        <v>431.31333333333333</v>
      </c>
      <c r="P140" s="40">
        <f t="shared" ref="P140:P203" si="24">E140*100/O140-100</f>
        <v>-0.30913334466822562</v>
      </c>
      <c r="Q140" s="39">
        <f t="shared" ref="Q140:Q203" si="25">D140*E140</f>
        <v>60197.200000000004</v>
      </c>
      <c r="R140" s="41"/>
      <c r="T140" s="42">
        <f t="shared" ref="T140:T203" si="26">ROUND(G140*100/O140-100,0)</f>
        <v>-5</v>
      </c>
      <c r="U140" s="42">
        <f t="shared" ref="U140:U203" si="27">ROUND(J140*100/O140-100,0)</f>
        <v>6</v>
      </c>
      <c r="V140" s="42">
        <f t="shared" ref="V140:V203" si="28">ROUND(M140*100/O140-100,0)</f>
        <v>-1</v>
      </c>
    </row>
    <row r="141" spans="1:22" s="28" customFormat="1" ht="95.25" customHeight="1" x14ac:dyDescent="0.2">
      <c r="A141" s="30">
        <v>130</v>
      </c>
      <c r="B141" s="31" t="s">
        <v>203</v>
      </c>
      <c r="C141" s="32" t="s">
        <v>45</v>
      </c>
      <c r="D141" s="33">
        <v>12</v>
      </c>
      <c r="E141" s="35">
        <v>905.66</v>
      </c>
      <c r="F141" s="32" t="s">
        <v>202</v>
      </c>
      <c r="G141" s="37">
        <f>21931.67/25</f>
        <v>877.26679999999988</v>
      </c>
      <c r="H141" s="38">
        <f t="shared" si="20"/>
        <v>10527.201599999999</v>
      </c>
      <c r="I141" s="32" t="s">
        <v>46</v>
      </c>
      <c r="J141" s="37">
        <v>954.02</v>
      </c>
      <c r="K141" s="38">
        <f t="shared" si="21"/>
        <v>11448.24</v>
      </c>
      <c r="L141" s="32" t="s">
        <v>57</v>
      </c>
      <c r="M141" s="37">
        <v>893.4</v>
      </c>
      <c r="N141" s="38">
        <f t="shared" si="22"/>
        <v>10720.8</v>
      </c>
      <c r="O141" s="39">
        <f t="shared" si="23"/>
        <v>908.22893333333332</v>
      </c>
      <c r="P141" s="40">
        <f t="shared" si="24"/>
        <v>-0.28285085830782464</v>
      </c>
      <c r="Q141" s="39">
        <f t="shared" si="25"/>
        <v>10867.92</v>
      </c>
      <c r="R141" s="41"/>
      <c r="T141" s="42">
        <f t="shared" si="26"/>
        <v>-3</v>
      </c>
      <c r="U141" s="42">
        <f t="shared" si="27"/>
        <v>5</v>
      </c>
      <c r="V141" s="42">
        <f t="shared" si="28"/>
        <v>-2</v>
      </c>
    </row>
    <row r="142" spans="1:22" s="28" customFormat="1" ht="73.5" customHeight="1" x14ac:dyDescent="0.2">
      <c r="A142" s="30">
        <v>131</v>
      </c>
      <c r="B142" s="31" t="s">
        <v>204</v>
      </c>
      <c r="C142" s="32" t="s">
        <v>25</v>
      </c>
      <c r="D142" s="33">
        <v>12</v>
      </c>
      <c r="E142" s="35">
        <v>653.71</v>
      </c>
      <c r="F142" s="32" t="s">
        <v>27</v>
      </c>
      <c r="G142" s="37">
        <f>723.24/1.2</f>
        <v>602.70000000000005</v>
      </c>
      <c r="H142" s="38">
        <f t="shared" si="20"/>
        <v>7232.4000000000005</v>
      </c>
      <c r="I142" s="38" t="s">
        <v>28</v>
      </c>
      <c r="J142" s="37">
        <f>857.27/1.2</f>
        <v>714.39166666666665</v>
      </c>
      <c r="K142" s="38">
        <f t="shared" si="21"/>
        <v>8572.7000000000007</v>
      </c>
      <c r="L142" s="32" t="s">
        <v>29</v>
      </c>
      <c r="M142" s="37">
        <v>652.02</v>
      </c>
      <c r="N142" s="38">
        <f t="shared" si="22"/>
        <v>7824.24</v>
      </c>
      <c r="O142" s="39">
        <f t="shared" si="23"/>
        <v>656.3705555555556</v>
      </c>
      <c r="P142" s="40">
        <f t="shared" si="24"/>
        <v>-0.4053435263109435</v>
      </c>
      <c r="Q142" s="39">
        <f t="shared" si="25"/>
        <v>7844.52</v>
      </c>
      <c r="R142" s="41"/>
      <c r="T142" s="42">
        <f t="shared" si="26"/>
        <v>-8</v>
      </c>
      <c r="U142" s="42">
        <f t="shared" si="27"/>
        <v>9</v>
      </c>
      <c r="V142" s="42">
        <f t="shared" si="28"/>
        <v>-1</v>
      </c>
    </row>
    <row r="143" spans="1:22" s="28" customFormat="1" ht="73.5" customHeight="1" x14ac:dyDescent="0.2">
      <c r="A143" s="30">
        <v>132</v>
      </c>
      <c r="B143" s="31" t="s">
        <v>205</v>
      </c>
      <c r="C143" s="32" t="s">
        <v>25</v>
      </c>
      <c r="D143" s="33">
        <v>35</v>
      </c>
      <c r="E143" s="35">
        <v>113.54</v>
      </c>
      <c r="F143" s="32" t="s">
        <v>27</v>
      </c>
      <c r="G143" s="37">
        <f>118.77/1.2</f>
        <v>98.974999999999994</v>
      </c>
      <c r="H143" s="38">
        <f t="shared" si="20"/>
        <v>3464.125</v>
      </c>
      <c r="I143" s="38" t="s">
        <v>28</v>
      </c>
      <c r="J143" s="37">
        <f>135.22/1.2</f>
        <v>112.68333333333334</v>
      </c>
      <c r="K143" s="38">
        <f t="shared" si="21"/>
        <v>3943.916666666667</v>
      </c>
      <c r="L143" s="32" t="s">
        <v>29</v>
      </c>
      <c r="M143" s="37">
        <v>135.37</v>
      </c>
      <c r="N143" s="38">
        <f t="shared" si="22"/>
        <v>4737.95</v>
      </c>
      <c r="O143" s="39">
        <f t="shared" si="23"/>
        <v>115.6761111111111</v>
      </c>
      <c r="P143" s="40">
        <f t="shared" si="24"/>
        <v>-1.846631158839088</v>
      </c>
      <c r="Q143" s="39">
        <f t="shared" si="25"/>
        <v>3973.9</v>
      </c>
      <c r="R143" s="41"/>
      <c r="T143" s="42">
        <f t="shared" si="26"/>
        <v>-14</v>
      </c>
      <c r="U143" s="42">
        <f t="shared" si="27"/>
        <v>-3</v>
      </c>
      <c r="V143" s="42">
        <f t="shared" si="28"/>
        <v>17</v>
      </c>
    </row>
    <row r="144" spans="1:22" s="28" customFormat="1" ht="73.5" customHeight="1" x14ac:dyDescent="0.2">
      <c r="A144" s="30">
        <v>133</v>
      </c>
      <c r="B144" s="31" t="s">
        <v>206</v>
      </c>
      <c r="C144" s="32" t="s">
        <v>25</v>
      </c>
      <c r="D144" s="33">
        <v>20</v>
      </c>
      <c r="E144" s="35">
        <v>242.64</v>
      </c>
      <c r="F144" s="32" t="s">
        <v>27</v>
      </c>
      <c r="G144" s="37">
        <f>283.32/1.2</f>
        <v>236.1</v>
      </c>
      <c r="H144" s="38">
        <f t="shared" si="20"/>
        <v>4722</v>
      </c>
      <c r="I144" s="38" t="s">
        <v>28</v>
      </c>
      <c r="J144" s="37">
        <f>320.12/1.2</f>
        <v>266.76666666666671</v>
      </c>
      <c r="K144" s="38">
        <f t="shared" si="21"/>
        <v>5335.3333333333339</v>
      </c>
      <c r="L144" s="32" t="s">
        <v>29</v>
      </c>
      <c r="M144" s="37">
        <v>231.89</v>
      </c>
      <c r="N144" s="38">
        <f t="shared" si="22"/>
        <v>4637.7999999999993</v>
      </c>
      <c r="O144" s="39">
        <f t="shared" si="23"/>
        <v>244.91888888888889</v>
      </c>
      <c r="P144" s="40">
        <f t="shared" si="24"/>
        <v>-0.93046677584868576</v>
      </c>
      <c r="Q144" s="39">
        <f t="shared" si="25"/>
        <v>4852.7999999999993</v>
      </c>
      <c r="R144" s="41"/>
      <c r="T144" s="42">
        <f t="shared" si="26"/>
        <v>-4</v>
      </c>
      <c r="U144" s="42">
        <f t="shared" si="27"/>
        <v>9</v>
      </c>
      <c r="V144" s="42">
        <f t="shared" si="28"/>
        <v>-5</v>
      </c>
    </row>
    <row r="145" spans="1:22" s="28" customFormat="1" ht="73.5" customHeight="1" x14ac:dyDescent="0.2">
      <c r="A145" s="30">
        <v>134</v>
      </c>
      <c r="B145" s="31" t="s">
        <v>207</v>
      </c>
      <c r="C145" s="32" t="s">
        <v>25</v>
      </c>
      <c r="D145" s="33">
        <v>356</v>
      </c>
      <c r="E145" s="35">
        <v>228.33</v>
      </c>
      <c r="F145" s="32" t="s">
        <v>27</v>
      </c>
      <c r="G145" s="37">
        <f>219.61/1.2</f>
        <v>183.00833333333335</v>
      </c>
      <c r="H145" s="38">
        <f t="shared" si="20"/>
        <v>65150.966666666674</v>
      </c>
      <c r="I145" s="38" t="s">
        <v>28</v>
      </c>
      <c r="J145" s="37">
        <f>287.78/1.2</f>
        <v>239.81666666666666</v>
      </c>
      <c r="K145" s="38">
        <f t="shared" si="21"/>
        <v>85374.733333333337</v>
      </c>
      <c r="L145" s="32" t="s">
        <v>29</v>
      </c>
      <c r="M145" s="37">
        <v>266.51</v>
      </c>
      <c r="N145" s="38">
        <f t="shared" si="22"/>
        <v>94877.56</v>
      </c>
      <c r="O145" s="39">
        <f t="shared" si="23"/>
        <v>229.77833333333334</v>
      </c>
      <c r="P145" s="40">
        <f t="shared" si="24"/>
        <v>-0.63031762495738519</v>
      </c>
      <c r="Q145" s="39">
        <f t="shared" si="25"/>
        <v>81285.48000000001</v>
      </c>
      <c r="R145" s="41"/>
      <c r="T145" s="42">
        <f t="shared" si="26"/>
        <v>-20</v>
      </c>
      <c r="U145" s="42">
        <f t="shared" si="27"/>
        <v>4</v>
      </c>
      <c r="V145" s="42">
        <f t="shared" si="28"/>
        <v>16</v>
      </c>
    </row>
    <row r="146" spans="1:22" s="28" customFormat="1" ht="73.5" customHeight="1" x14ac:dyDescent="0.2">
      <c r="A146" s="30">
        <v>135</v>
      </c>
      <c r="B146" s="31" t="s">
        <v>208</v>
      </c>
      <c r="C146" s="32" t="s">
        <v>25</v>
      </c>
      <c r="D146" s="33" t="s">
        <v>209</v>
      </c>
      <c r="E146" s="35">
        <v>233.64</v>
      </c>
      <c r="F146" s="32" t="s">
        <v>27</v>
      </c>
      <c r="G146" s="37">
        <f>276.58/1.2</f>
        <v>230.48333333333332</v>
      </c>
      <c r="H146" s="38">
        <f t="shared" si="20"/>
        <v>61769.533333333333</v>
      </c>
      <c r="I146" s="38" t="s">
        <v>28</v>
      </c>
      <c r="J146" s="37">
        <f>267.66/1.2</f>
        <v>223.05000000000004</v>
      </c>
      <c r="K146" s="38">
        <f t="shared" si="21"/>
        <v>59777.400000000009</v>
      </c>
      <c r="L146" s="32" t="s">
        <v>29</v>
      </c>
      <c r="M146" s="37">
        <v>248.97</v>
      </c>
      <c r="N146" s="38">
        <f t="shared" si="22"/>
        <v>66723.960000000006</v>
      </c>
      <c r="O146" s="39">
        <f t="shared" si="23"/>
        <v>234.16777777777779</v>
      </c>
      <c r="P146" s="40">
        <f t="shared" si="24"/>
        <v>-0.22538445843673571</v>
      </c>
      <c r="Q146" s="39">
        <f t="shared" si="25"/>
        <v>62615.519999999997</v>
      </c>
      <c r="R146" s="41"/>
      <c r="T146" s="42">
        <f t="shared" si="26"/>
        <v>-2</v>
      </c>
      <c r="U146" s="42">
        <f t="shared" si="27"/>
        <v>-5</v>
      </c>
      <c r="V146" s="42">
        <f t="shared" si="28"/>
        <v>6</v>
      </c>
    </row>
    <row r="147" spans="1:22" s="28" customFormat="1" ht="73.5" customHeight="1" x14ac:dyDescent="0.2">
      <c r="A147" s="30">
        <v>136</v>
      </c>
      <c r="B147" s="31" t="s">
        <v>210</v>
      </c>
      <c r="C147" s="32" t="s">
        <v>25</v>
      </c>
      <c r="D147" s="33">
        <v>200</v>
      </c>
      <c r="E147" s="35">
        <v>325.77999999999997</v>
      </c>
      <c r="F147" s="32" t="s">
        <v>27</v>
      </c>
      <c r="G147" s="37">
        <f>364.29/1.2</f>
        <v>303.57500000000005</v>
      </c>
      <c r="H147" s="38">
        <f t="shared" si="20"/>
        <v>60715.000000000007</v>
      </c>
      <c r="I147" s="38" t="s">
        <v>28</v>
      </c>
      <c r="J147" s="37">
        <f>361.37/1.2</f>
        <v>301.14166666666671</v>
      </c>
      <c r="K147" s="38">
        <f t="shared" si="21"/>
        <v>60228.333333333343</v>
      </c>
      <c r="L147" s="32" t="s">
        <v>29</v>
      </c>
      <c r="M147" s="37">
        <v>374.02</v>
      </c>
      <c r="N147" s="38">
        <f t="shared" si="22"/>
        <v>74804</v>
      </c>
      <c r="O147" s="39">
        <f t="shared" si="23"/>
        <v>326.24555555555554</v>
      </c>
      <c r="P147" s="40">
        <f t="shared" si="24"/>
        <v>-0.14270096484925432</v>
      </c>
      <c r="Q147" s="39">
        <f t="shared" si="25"/>
        <v>65155.999999999993</v>
      </c>
      <c r="R147" s="41"/>
      <c r="T147" s="42">
        <f t="shared" si="26"/>
        <v>-7</v>
      </c>
      <c r="U147" s="42">
        <f t="shared" si="27"/>
        <v>-8</v>
      </c>
      <c r="V147" s="42">
        <f t="shared" si="28"/>
        <v>15</v>
      </c>
    </row>
    <row r="148" spans="1:22" s="28" customFormat="1" ht="73.5" customHeight="1" x14ac:dyDescent="0.2">
      <c r="A148" s="30">
        <v>137</v>
      </c>
      <c r="B148" s="31" t="s">
        <v>211</v>
      </c>
      <c r="C148" s="32" t="s">
        <v>25</v>
      </c>
      <c r="D148" s="33">
        <v>40</v>
      </c>
      <c r="E148" s="35">
        <v>1233.75</v>
      </c>
      <c r="F148" s="32" t="s">
        <v>27</v>
      </c>
      <c r="G148" s="37">
        <f>1201.84/1.2</f>
        <v>1001.5333333333333</v>
      </c>
      <c r="H148" s="38">
        <f t="shared" si="20"/>
        <v>40061.333333333328</v>
      </c>
      <c r="I148" s="38" t="s">
        <v>28</v>
      </c>
      <c r="J148" s="37">
        <f>1674.32/1.2</f>
        <v>1395.2666666666667</v>
      </c>
      <c r="K148" s="38">
        <f t="shared" si="21"/>
        <v>55810.666666666664</v>
      </c>
      <c r="L148" s="32" t="s">
        <v>29</v>
      </c>
      <c r="M148" s="37">
        <v>1306.33</v>
      </c>
      <c r="N148" s="38">
        <f t="shared" si="22"/>
        <v>52253.2</v>
      </c>
      <c r="O148" s="39">
        <f t="shared" si="23"/>
        <v>1234.3766666666668</v>
      </c>
      <c r="P148" s="40">
        <f t="shared" si="24"/>
        <v>-5.0767863942127178E-2</v>
      </c>
      <c r="Q148" s="39">
        <f t="shared" si="25"/>
        <v>49350</v>
      </c>
      <c r="R148" s="41"/>
      <c r="T148" s="42">
        <f t="shared" si="26"/>
        <v>-19</v>
      </c>
      <c r="U148" s="42">
        <f t="shared" si="27"/>
        <v>13</v>
      </c>
      <c r="V148" s="42">
        <f t="shared" si="28"/>
        <v>6</v>
      </c>
    </row>
    <row r="149" spans="1:22" s="28" customFormat="1" ht="73.5" customHeight="1" x14ac:dyDescent="0.2">
      <c r="A149" s="30">
        <v>138</v>
      </c>
      <c r="B149" s="31" t="s">
        <v>212</v>
      </c>
      <c r="C149" s="32" t="s">
        <v>25</v>
      </c>
      <c r="D149" s="33">
        <v>30</v>
      </c>
      <c r="E149" s="35">
        <v>1098.76</v>
      </c>
      <c r="F149" s="32" t="s">
        <v>27</v>
      </c>
      <c r="G149" s="37">
        <f>1199.31/1.2</f>
        <v>999.42499999999995</v>
      </c>
      <c r="H149" s="38">
        <f t="shared" si="20"/>
        <v>29982.75</v>
      </c>
      <c r="I149" s="38" t="s">
        <v>28</v>
      </c>
      <c r="J149" s="37">
        <f>1269.16/1.2</f>
        <v>1057.6333333333334</v>
      </c>
      <c r="K149" s="38">
        <f t="shared" si="21"/>
        <v>31729.000000000004</v>
      </c>
      <c r="L149" s="32" t="s">
        <v>29</v>
      </c>
      <c r="M149" s="37">
        <v>1244.25</v>
      </c>
      <c r="N149" s="38">
        <f t="shared" si="22"/>
        <v>37327.5</v>
      </c>
      <c r="O149" s="39">
        <f t="shared" si="23"/>
        <v>1100.4361111111111</v>
      </c>
      <c r="P149" s="40">
        <f t="shared" si="24"/>
        <v>-0.15231335051507244</v>
      </c>
      <c r="Q149" s="39">
        <f t="shared" si="25"/>
        <v>32962.800000000003</v>
      </c>
      <c r="R149" s="41"/>
      <c r="T149" s="42">
        <f t="shared" si="26"/>
        <v>-9</v>
      </c>
      <c r="U149" s="42">
        <f t="shared" si="27"/>
        <v>-4</v>
      </c>
      <c r="V149" s="42">
        <f t="shared" si="28"/>
        <v>13</v>
      </c>
    </row>
    <row r="150" spans="1:22" s="28" customFormat="1" ht="73.5" customHeight="1" x14ac:dyDescent="0.2">
      <c r="A150" s="30">
        <v>139</v>
      </c>
      <c r="B150" s="31" t="s">
        <v>213</v>
      </c>
      <c r="C150" s="32" t="s">
        <v>25</v>
      </c>
      <c r="D150" s="33">
        <v>118</v>
      </c>
      <c r="E150" s="35">
        <v>951.47</v>
      </c>
      <c r="F150" s="32" t="s">
        <v>27</v>
      </c>
      <c r="G150" s="37">
        <f>1115.69/1.2</f>
        <v>929.74166666666679</v>
      </c>
      <c r="H150" s="38">
        <f t="shared" si="20"/>
        <v>109709.51666666668</v>
      </c>
      <c r="I150" s="38" t="s">
        <v>28</v>
      </c>
      <c r="J150" s="37">
        <f>1208.38/1.2</f>
        <v>1006.9833333333335</v>
      </c>
      <c r="K150" s="38">
        <f t="shared" si="21"/>
        <v>118824.03333333335</v>
      </c>
      <c r="L150" s="32" t="s">
        <v>29</v>
      </c>
      <c r="M150" s="37">
        <v>921.17</v>
      </c>
      <c r="N150" s="38">
        <f t="shared" si="22"/>
        <v>108698.06</v>
      </c>
      <c r="O150" s="39">
        <f t="shared" si="23"/>
        <v>952.63166666666677</v>
      </c>
      <c r="P150" s="40">
        <f t="shared" si="24"/>
        <v>-0.12194289853196949</v>
      </c>
      <c r="Q150" s="39">
        <f t="shared" si="25"/>
        <v>112273.46</v>
      </c>
      <c r="R150" s="41"/>
      <c r="T150" s="42">
        <f t="shared" si="26"/>
        <v>-2</v>
      </c>
      <c r="U150" s="42">
        <f t="shared" si="27"/>
        <v>6</v>
      </c>
      <c r="V150" s="42">
        <f t="shared" si="28"/>
        <v>-3</v>
      </c>
    </row>
    <row r="151" spans="1:22" s="28" customFormat="1" ht="73.5" customHeight="1" x14ac:dyDescent="0.2">
      <c r="A151" s="30">
        <v>140</v>
      </c>
      <c r="B151" s="31" t="s">
        <v>214</v>
      </c>
      <c r="C151" s="32" t="s">
        <v>25</v>
      </c>
      <c r="D151" s="33">
        <v>425</v>
      </c>
      <c r="E151" s="35">
        <v>1254.32</v>
      </c>
      <c r="F151" s="32" t="s">
        <v>27</v>
      </c>
      <c r="G151" s="37">
        <f>1382.75/1.2</f>
        <v>1152.2916666666667</v>
      </c>
      <c r="H151" s="38">
        <f t="shared" si="20"/>
        <v>489723.95833333337</v>
      </c>
      <c r="I151" s="38" t="s">
        <v>28</v>
      </c>
      <c r="J151" s="37">
        <f>1595.17/1.2</f>
        <v>1329.3083333333334</v>
      </c>
      <c r="K151" s="38">
        <f t="shared" si="21"/>
        <v>564956.04166666674</v>
      </c>
      <c r="L151" s="32" t="s">
        <v>29</v>
      </c>
      <c r="M151" s="37">
        <v>1288.6300000000001</v>
      </c>
      <c r="N151" s="38">
        <f t="shared" si="22"/>
        <v>547667.75</v>
      </c>
      <c r="O151" s="39">
        <f t="shared" si="23"/>
        <v>1256.7433333333336</v>
      </c>
      <c r="P151" s="40">
        <f t="shared" si="24"/>
        <v>-0.19282643233968599</v>
      </c>
      <c r="Q151" s="39">
        <f t="shared" si="25"/>
        <v>533086</v>
      </c>
      <c r="R151" s="41"/>
      <c r="T151" s="42">
        <f t="shared" si="26"/>
        <v>-8</v>
      </c>
      <c r="U151" s="42">
        <f t="shared" si="27"/>
        <v>6</v>
      </c>
      <c r="V151" s="42">
        <f t="shared" si="28"/>
        <v>3</v>
      </c>
    </row>
    <row r="152" spans="1:22" s="28" customFormat="1" ht="73.5" customHeight="1" x14ac:dyDescent="0.2">
      <c r="A152" s="30">
        <v>141</v>
      </c>
      <c r="B152" s="31" t="s">
        <v>215</v>
      </c>
      <c r="C152" s="32" t="s">
        <v>25</v>
      </c>
      <c r="D152" s="33">
        <v>20</v>
      </c>
      <c r="E152" s="35">
        <v>1529.66</v>
      </c>
      <c r="F152" s="32" t="s">
        <v>27</v>
      </c>
      <c r="G152" s="37">
        <f>1801.3/1.2</f>
        <v>1501.0833333333333</v>
      </c>
      <c r="H152" s="38">
        <f t="shared" si="20"/>
        <v>30021.666666666664</v>
      </c>
      <c r="I152" s="38" t="s">
        <v>28</v>
      </c>
      <c r="J152" s="37">
        <f>1933.26/1.2</f>
        <v>1611.05</v>
      </c>
      <c r="K152" s="38">
        <f t="shared" si="21"/>
        <v>32221</v>
      </c>
      <c r="L152" s="32" t="s">
        <v>29</v>
      </c>
      <c r="M152" s="37">
        <v>1482.09</v>
      </c>
      <c r="N152" s="38">
        <f t="shared" si="22"/>
        <v>29641.8</v>
      </c>
      <c r="O152" s="39">
        <f t="shared" si="23"/>
        <v>1531.4077777777777</v>
      </c>
      <c r="P152" s="40">
        <f t="shared" si="24"/>
        <v>-0.11412882990015305</v>
      </c>
      <c r="Q152" s="39">
        <f t="shared" si="25"/>
        <v>30593.200000000001</v>
      </c>
      <c r="R152" s="41"/>
      <c r="T152" s="42">
        <f t="shared" si="26"/>
        <v>-2</v>
      </c>
      <c r="U152" s="42">
        <f t="shared" si="27"/>
        <v>5</v>
      </c>
      <c r="V152" s="42">
        <f t="shared" si="28"/>
        <v>-3</v>
      </c>
    </row>
    <row r="153" spans="1:22" s="28" customFormat="1" ht="73.5" customHeight="1" x14ac:dyDescent="0.2">
      <c r="A153" s="30">
        <v>142</v>
      </c>
      <c r="B153" s="31" t="s">
        <v>216</v>
      </c>
      <c r="C153" s="32" t="s">
        <v>25</v>
      </c>
      <c r="D153" s="33">
        <v>250</v>
      </c>
      <c r="E153" s="35">
        <v>469.64</v>
      </c>
      <c r="F153" s="32" t="s">
        <v>27</v>
      </c>
      <c r="G153" s="37">
        <f>508.15/1.2</f>
        <v>423.45833333333331</v>
      </c>
      <c r="H153" s="38">
        <f t="shared" si="20"/>
        <v>105864.58333333333</v>
      </c>
      <c r="I153" s="38" t="s">
        <v>28</v>
      </c>
      <c r="J153" s="37">
        <f>585.8/1.2</f>
        <v>488.16666666666663</v>
      </c>
      <c r="K153" s="38">
        <f t="shared" si="21"/>
        <v>122041.66666666666</v>
      </c>
      <c r="L153" s="32" t="s">
        <v>29</v>
      </c>
      <c r="M153" s="37">
        <v>501.33</v>
      </c>
      <c r="N153" s="38">
        <f t="shared" si="22"/>
        <v>125332.5</v>
      </c>
      <c r="O153" s="39">
        <f t="shared" si="23"/>
        <v>470.98499999999996</v>
      </c>
      <c r="P153" s="40">
        <f t="shared" si="24"/>
        <v>-0.28557172733738412</v>
      </c>
      <c r="Q153" s="39">
        <f t="shared" si="25"/>
        <v>117410</v>
      </c>
      <c r="R153" s="41"/>
      <c r="T153" s="42">
        <f t="shared" si="26"/>
        <v>-10</v>
      </c>
      <c r="U153" s="42">
        <f t="shared" si="27"/>
        <v>4</v>
      </c>
      <c r="V153" s="42">
        <f t="shared" si="28"/>
        <v>6</v>
      </c>
    </row>
    <row r="154" spans="1:22" s="28" customFormat="1" ht="73.5" customHeight="1" x14ac:dyDescent="0.2">
      <c r="A154" s="30">
        <v>143</v>
      </c>
      <c r="B154" s="31" t="s">
        <v>217</v>
      </c>
      <c r="C154" s="32" t="s">
        <v>25</v>
      </c>
      <c r="D154" s="33">
        <v>15</v>
      </c>
      <c r="E154" s="35">
        <v>1847.48</v>
      </c>
      <c r="F154" s="32" t="s">
        <v>27</v>
      </c>
      <c r="G154" s="37">
        <f>2200.3/1.2</f>
        <v>1833.5833333333335</v>
      </c>
      <c r="H154" s="38">
        <f t="shared" si="20"/>
        <v>27503.750000000004</v>
      </c>
      <c r="I154" s="38" t="s">
        <v>28</v>
      </c>
      <c r="J154" s="37">
        <f>2162.38/1.2</f>
        <v>1801.9833333333336</v>
      </c>
      <c r="K154" s="38">
        <f t="shared" si="21"/>
        <v>27029.750000000004</v>
      </c>
      <c r="L154" s="32" t="s">
        <v>29</v>
      </c>
      <c r="M154" s="37">
        <v>1912.41</v>
      </c>
      <c r="N154" s="38">
        <f t="shared" si="22"/>
        <v>28686.15</v>
      </c>
      <c r="O154" s="39">
        <f t="shared" si="23"/>
        <v>1849.3255555555559</v>
      </c>
      <c r="P154" s="40">
        <f t="shared" si="24"/>
        <v>-9.9796141896788981E-2</v>
      </c>
      <c r="Q154" s="39">
        <f t="shared" si="25"/>
        <v>27712.2</v>
      </c>
      <c r="R154" s="41"/>
      <c r="T154" s="42">
        <f t="shared" si="26"/>
        <v>-1</v>
      </c>
      <c r="U154" s="42">
        <f t="shared" si="27"/>
        <v>-3</v>
      </c>
      <c r="V154" s="42">
        <f t="shared" si="28"/>
        <v>3</v>
      </c>
    </row>
    <row r="155" spans="1:22" s="28" customFormat="1" ht="73.5" customHeight="1" x14ac:dyDescent="0.2">
      <c r="A155" s="30">
        <v>144</v>
      </c>
      <c r="B155" s="31" t="s">
        <v>218</v>
      </c>
      <c r="C155" s="32" t="s">
        <v>25</v>
      </c>
      <c r="D155" s="33">
        <v>14</v>
      </c>
      <c r="E155" s="35">
        <v>130.55000000000001</v>
      </c>
      <c r="F155" s="32" t="s">
        <v>27</v>
      </c>
      <c r="G155" s="37">
        <f>149.23/1.2</f>
        <v>124.35833333333333</v>
      </c>
      <c r="H155" s="38">
        <f t="shared" si="20"/>
        <v>1741.0166666666667</v>
      </c>
      <c r="I155" s="38" t="s">
        <v>28</v>
      </c>
      <c r="J155" s="37">
        <f>144.07/1.2</f>
        <v>120.05833333333334</v>
      </c>
      <c r="K155" s="38">
        <f t="shared" si="21"/>
        <v>1680.8166666666666</v>
      </c>
      <c r="L155" s="32" t="s">
        <v>29</v>
      </c>
      <c r="M155" s="37">
        <v>151.36000000000001</v>
      </c>
      <c r="N155" s="38">
        <f t="shared" si="22"/>
        <v>2119.04</v>
      </c>
      <c r="O155" s="39">
        <f t="shared" si="23"/>
        <v>131.92555555555558</v>
      </c>
      <c r="P155" s="40">
        <f t="shared" si="24"/>
        <v>-1.0426755830308423</v>
      </c>
      <c r="Q155" s="39">
        <f t="shared" si="25"/>
        <v>1827.7000000000003</v>
      </c>
      <c r="R155" s="41"/>
      <c r="T155" s="42">
        <f t="shared" si="26"/>
        <v>-6</v>
      </c>
      <c r="U155" s="42">
        <f t="shared" si="27"/>
        <v>-9</v>
      </c>
      <c r="V155" s="42">
        <f t="shared" si="28"/>
        <v>15</v>
      </c>
    </row>
    <row r="156" spans="1:22" s="28" customFormat="1" ht="73.5" customHeight="1" x14ac:dyDescent="0.2">
      <c r="A156" s="30">
        <v>145</v>
      </c>
      <c r="B156" s="31" t="s">
        <v>219</v>
      </c>
      <c r="C156" s="32" t="s">
        <v>25</v>
      </c>
      <c r="D156" s="33" t="s">
        <v>220</v>
      </c>
      <c r="E156" s="35">
        <v>275.68</v>
      </c>
      <c r="F156" s="32" t="s">
        <v>27</v>
      </c>
      <c r="G156" s="37">
        <f>326.58/1.2</f>
        <v>272.14999999999998</v>
      </c>
      <c r="H156" s="38">
        <f t="shared" si="20"/>
        <v>339643.19999999995</v>
      </c>
      <c r="I156" s="38" t="s">
        <v>28</v>
      </c>
      <c r="J156" s="37">
        <f>350.12/1.2</f>
        <v>291.76666666666671</v>
      </c>
      <c r="K156" s="38">
        <f t="shared" si="21"/>
        <v>364124.80000000005</v>
      </c>
      <c r="L156" s="32" t="s">
        <v>29</v>
      </c>
      <c r="M156" s="37">
        <v>265.08999999999997</v>
      </c>
      <c r="N156" s="38">
        <f t="shared" si="22"/>
        <v>330832.31999999995</v>
      </c>
      <c r="O156" s="39">
        <f t="shared" si="23"/>
        <v>276.33555555555557</v>
      </c>
      <c r="P156" s="40">
        <f t="shared" si="24"/>
        <v>-0.23723170702287177</v>
      </c>
      <c r="Q156" s="39">
        <f t="shared" si="25"/>
        <v>344048.64000000001</v>
      </c>
      <c r="R156" s="64"/>
      <c r="T156" s="42">
        <f t="shared" si="26"/>
        <v>-2</v>
      </c>
      <c r="U156" s="42">
        <f t="shared" si="27"/>
        <v>6</v>
      </c>
      <c r="V156" s="42">
        <f t="shared" si="28"/>
        <v>-4</v>
      </c>
    </row>
    <row r="157" spans="1:22" s="28" customFormat="1" ht="73.5" customHeight="1" x14ac:dyDescent="0.2">
      <c r="A157" s="30">
        <v>146</v>
      </c>
      <c r="B157" s="31" t="s">
        <v>221</v>
      </c>
      <c r="C157" s="32" t="s">
        <v>25</v>
      </c>
      <c r="D157" s="33">
        <v>20</v>
      </c>
      <c r="E157" s="35">
        <v>264.47000000000003</v>
      </c>
      <c r="F157" s="32" t="s">
        <v>27</v>
      </c>
      <c r="G157" s="37">
        <f>307.21/1.2</f>
        <v>256.00833333333333</v>
      </c>
      <c r="H157" s="38">
        <f t="shared" si="20"/>
        <v>5120.1666666666661</v>
      </c>
      <c r="I157" s="38" t="s">
        <v>28</v>
      </c>
      <c r="J157" s="37">
        <f>304.61/1.2</f>
        <v>253.8416666666667</v>
      </c>
      <c r="K157" s="38">
        <f t="shared" si="21"/>
        <v>5076.8333333333339</v>
      </c>
      <c r="L157" s="32" t="s">
        <v>29</v>
      </c>
      <c r="M157" s="37">
        <v>287.67</v>
      </c>
      <c r="N157" s="38">
        <f t="shared" si="22"/>
        <v>5753.4000000000005</v>
      </c>
      <c r="O157" s="39">
        <f t="shared" si="23"/>
        <v>265.83999999999997</v>
      </c>
      <c r="P157" s="40">
        <f t="shared" si="24"/>
        <v>-0.51534757749020343</v>
      </c>
      <c r="Q157" s="39">
        <f t="shared" si="25"/>
        <v>5289.4000000000005</v>
      </c>
      <c r="R157" s="41"/>
      <c r="T157" s="42">
        <f t="shared" si="26"/>
        <v>-4</v>
      </c>
      <c r="U157" s="42">
        <f t="shared" si="27"/>
        <v>-5</v>
      </c>
      <c r="V157" s="42">
        <f t="shared" si="28"/>
        <v>8</v>
      </c>
    </row>
    <row r="158" spans="1:22" s="28" customFormat="1" ht="73.5" customHeight="1" x14ac:dyDescent="0.2">
      <c r="A158" s="30">
        <v>147</v>
      </c>
      <c r="B158" s="31" t="s">
        <v>222</v>
      </c>
      <c r="C158" s="32" t="s">
        <v>25</v>
      </c>
      <c r="D158" s="33">
        <v>100</v>
      </c>
      <c r="E158" s="35">
        <v>398.01</v>
      </c>
      <c r="F158" s="32" t="s">
        <v>27</v>
      </c>
      <c r="G158" s="37">
        <f>463.67/1.2</f>
        <v>386.39166666666671</v>
      </c>
      <c r="H158" s="38">
        <f t="shared" si="20"/>
        <v>38639.166666666672</v>
      </c>
      <c r="I158" s="38" t="s">
        <v>28</v>
      </c>
      <c r="J158" s="37">
        <f>475.33/1.2</f>
        <v>396.10833333333335</v>
      </c>
      <c r="K158" s="38">
        <f t="shared" si="21"/>
        <v>39610.833333333336</v>
      </c>
      <c r="L158" s="32" t="s">
        <v>29</v>
      </c>
      <c r="M158" s="37">
        <v>412.28</v>
      </c>
      <c r="N158" s="38">
        <f t="shared" si="22"/>
        <v>41228</v>
      </c>
      <c r="O158" s="39">
        <f t="shared" si="23"/>
        <v>398.26</v>
      </c>
      <c r="P158" s="40">
        <f t="shared" si="24"/>
        <v>-6.2773062823282544E-2</v>
      </c>
      <c r="Q158" s="39">
        <f t="shared" si="25"/>
        <v>39801</v>
      </c>
      <c r="R158" s="41"/>
      <c r="T158" s="42">
        <f t="shared" si="26"/>
        <v>-3</v>
      </c>
      <c r="U158" s="42">
        <f t="shared" si="27"/>
        <v>-1</v>
      </c>
      <c r="V158" s="42">
        <f t="shared" si="28"/>
        <v>4</v>
      </c>
    </row>
    <row r="159" spans="1:22" s="28" customFormat="1" ht="73.5" customHeight="1" x14ac:dyDescent="0.2">
      <c r="A159" s="30">
        <v>148</v>
      </c>
      <c r="B159" s="31" t="s">
        <v>223</v>
      </c>
      <c r="C159" s="32" t="s">
        <v>25</v>
      </c>
      <c r="D159" s="33">
        <v>35</v>
      </c>
      <c r="E159" s="35">
        <v>560.24</v>
      </c>
      <c r="F159" s="32" t="s">
        <v>27</v>
      </c>
      <c r="G159" s="37">
        <f>628.4/1.2</f>
        <v>523.66666666666663</v>
      </c>
      <c r="H159" s="38">
        <f t="shared" si="20"/>
        <v>18328.333333333332</v>
      </c>
      <c r="I159" s="38" t="s">
        <v>28</v>
      </c>
      <c r="J159" s="37">
        <f>707.8/1.2</f>
        <v>589.83333333333337</v>
      </c>
      <c r="K159" s="38">
        <f t="shared" si="21"/>
        <v>20644.166666666668</v>
      </c>
      <c r="L159" s="32" t="s">
        <v>29</v>
      </c>
      <c r="M159" s="37">
        <v>574.41</v>
      </c>
      <c r="N159" s="38">
        <f t="shared" si="22"/>
        <v>20104.349999999999</v>
      </c>
      <c r="O159" s="39">
        <f t="shared" si="23"/>
        <v>562.63666666666666</v>
      </c>
      <c r="P159" s="40">
        <f t="shared" si="24"/>
        <v>-0.42597057900006519</v>
      </c>
      <c r="Q159" s="39">
        <f t="shared" si="25"/>
        <v>19608.400000000001</v>
      </c>
      <c r="R159" s="41"/>
      <c r="T159" s="42">
        <f t="shared" si="26"/>
        <v>-7</v>
      </c>
      <c r="U159" s="42">
        <f t="shared" si="27"/>
        <v>5</v>
      </c>
      <c r="V159" s="42">
        <f t="shared" si="28"/>
        <v>2</v>
      </c>
    </row>
    <row r="160" spans="1:22" s="28" customFormat="1" ht="73.5" customHeight="1" x14ac:dyDescent="0.2">
      <c r="A160" s="30">
        <v>149</v>
      </c>
      <c r="B160" s="31" t="s">
        <v>224</v>
      </c>
      <c r="C160" s="32" t="s">
        <v>25</v>
      </c>
      <c r="D160" s="33">
        <v>20</v>
      </c>
      <c r="E160" s="35">
        <v>662.34</v>
      </c>
      <c r="F160" s="32" t="s">
        <v>27</v>
      </c>
      <c r="G160" s="37">
        <f>786.17/1.2</f>
        <v>655.14166666666665</v>
      </c>
      <c r="H160" s="38">
        <f t="shared" si="20"/>
        <v>13102.833333333332</v>
      </c>
      <c r="I160" s="38" t="s">
        <v>28</v>
      </c>
      <c r="J160" s="37">
        <f>780.48/1.2</f>
        <v>650.40000000000009</v>
      </c>
      <c r="K160" s="38">
        <f t="shared" si="21"/>
        <v>13008.000000000002</v>
      </c>
      <c r="L160" s="32" t="s">
        <v>29</v>
      </c>
      <c r="M160" s="37">
        <v>688.63</v>
      </c>
      <c r="N160" s="38">
        <f t="shared" si="22"/>
        <v>13772.6</v>
      </c>
      <c r="O160" s="39">
        <f t="shared" si="23"/>
        <v>664.72388888888884</v>
      </c>
      <c r="P160" s="40">
        <f t="shared" si="24"/>
        <v>-0.35862843636830632</v>
      </c>
      <c r="Q160" s="39">
        <f t="shared" si="25"/>
        <v>13246.800000000001</v>
      </c>
      <c r="R160" s="41"/>
      <c r="T160" s="42">
        <f t="shared" si="26"/>
        <v>-1</v>
      </c>
      <c r="U160" s="42">
        <f t="shared" si="27"/>
        <v>-2</v>
      </c>
      <c r="V160" s="42">
        <f t="shared" si="28"/>
        <v>4</v>
      </c>
    </row>
    <row r="161" spans="1:22" s="28" customFormat="1" ht="73.5" customHeight="1" x14ac:dyDescent="0.2">
      <c r="A161" s="30">
        <v>150</v>
      </c>
      <c r="B161" s="31" t="s">
        <v>225</v>
      </c>
      <c r="C161" s="32" t="s">
        <v>25</v>
      </c>
      <c r="D161" s="33">
        <v>40</v>
      </c>
      <c r="E161" s="35">
        <v>244.58</v>
      </c>
      <c r="F161" s="32" t="s">
        <v>27</v>
      </c>
      <c r="G161" s="37">
        <f>242.87/1.2</f>
        <v>202.39166666666668</v>
      </c>
      <c r="H161" s="38">
        <f t="shared" si="20"/>
        <v>8095.666666666667</v>
      </c>
      <c r="I161" s="38" t="s">
        <v>28</v>
      </c>
      <c r="J161" s="37">
        <f>341.51/1.2</f>
        <v>284.5916666666667</v>
      </c>
      <c r="K161" s="38">
        <f t="shared" si="21"/>
        <v>11383.666666666668</v>
      </c>
      <c r="L161" s="32" t="s">
        <v>29</v>
      </c>
      <c r="M161" s="37">
        <v>251.07</v>
      </c>
      <c r="N161" s="38">
        <f t="shared" si="22"/>
        <v>10042.799999999999</v>
      </c>
      <c r="O161" s="39">
        <f t="shared" si="23"/>
        <v>246.01777777777775</v>
      </c>
      <c r="P161" s="40">
        <f t="shared" si="24"/>
        <v>-0.58442027676409225</v>
      </c>
      <c r="Q161" s="39">
        <f t="shared" si="25"/>
        <v>9783.2000000000007</v>
      </c>
      <c r="R161" s="41"/>
      <c r="T161" s="42">
        <f t="shared" si="26"/>
        <v>-18</v>
      </c>
      <c r="U161" s="42">
        <f t="shared" si="27"/>
        <v>16</v>
      </c>
      <c r="V161" s="42">
        <f t="shared" si="28"/>
        <v>2</v>
      </c>
    </row>
    <row r="162" spans="1:22" s="28" customFormat="1" ht="73.5" customHeight="1" x14ac:dyDescent="0.2">
      <c r="A162" s="30">
        <v>151</v>
      </c>
      <c r="B162" s="31" t="s">
        <v>226</v>
      </c>
      <c r="C162" s="32" t="s">
        <v>25</v>
      </c>
      <c r="D162" s="33">
        <v>25</v>
      </c>
      <c r="E162" s="35">
        <v>205.99</v>
      </c>
      <c r="F162" s="32" t="s">
        <v>27</v>
      </c>
      <c r="G162" s="37">
        <f>222.01/1.2</f>
        <v>185.00833333333333</v>
      </c>
      <c r="H162" s="38">
        <f t="shared" si="20"/>
        <v>4625.208333333333</v>
      </c>
      <c r="I162" s="38" t="s">
        <v>28</v>
      </c>
      <c r="J162" s="37">
        <f>280.49/1.2</f>
        <v>233.74166666666667</v>
      </c>
      <c r="K162" s="38">
        <f t="shared" si="21"/>
        <v>5843.541666666667</v>
      </c>
      <c r="L162" s="32" t="s">
        <v>29</v>
      </c>
      <c r="M162" s="37">
        <v>203.98</v>
      </c>
      <c r="N162" s="38">
        <f t="shared" si="22"/>
        <v>5099.5</v>
      </c>
      <c r="O162" s="39">
        <f t="shared" si="23"/>
        <v>207.57666666666668</v>
      </c>
      <c r="P162" s="40">
        <f t="shared" si="24"/>
        <v>-0.76437621441074555</v>
      </c>
      <c r="Q162" s="39">
        <f t="shared" si="25"/>
        <v>5149.75</v>
      </c>
      <c r="R162" s="41"/>
      <c r="T162" s="42">
        <f t="shared" si="26"/>
        <v>-11</v>
      </c>
      <c r="U162" s="42">
        <f t="shared" si="27"/>
        <v>13</v>
      </c>
      <c r="V162" s="42">
        <f t="shared" si="28"/>
        <v>-2</v>
      </c>
    </row>
    <row r="163" spans="1:22" s="28" customFormat="1" ht="73.5" customHeight="1" x14ac:dyDescent="0.2">
      <c r="A163" s="30">
        <v>152</v>
      </c>
      <c r="B163" s="31" t="s">
        <v>227</v>
      </c>
      <c r="C163" s="32" t="s">
        <v>25</v>
      </c>
      <c r="D163" s="33">
        <v>60</v>
      </c>
      <c r="E163" s="35">
        <v>48.03</v>
      </c>
      <c r="F163" s="32" t="s">
        <v>27</v>
      </c>
      <c r="G163" s="37">
        <f>48.91/1.2</f>
        <v>40.758333333333333</v>
      </c>
      <c r="H163" s="38">
        <f t="shared" si="20"/>
        <v>2445.5</v>
      </c>
      <c r="I163" s="38" t="s">
        <v>28</v>
      </c>
      <c r="J163" s="37">
        <f>69.67/1.2</f>
        <v>58.058333333333337</v>
      </c>
      <c r="K163" s="38">
        <f t="shared" si="21"/>
        <v>3483.5</v>
      </c>
      <c r="L163" s="32" t="s">
        <v>29</v>
      </c>
      <c r="M163" s="37">
        <v>49.5</v>
      </c>
      <c r="N163" s="38">
        <f t="shared" si="22"/>
        <v>2970</v>
      </c>
      <c r="O163" s="39">
        <f t="shared" si="23"/>
        <v>49.43888888888889</v>
      </c>
      <c r="P163" s="40">
        <f t="shared" si="24"/>
        <v>-2.8497583998202032</v>
      </c>
      <c r="Q163" s="39">
        <f t="shared" si="25"/>
        <v>2881.8</v>
      </c>
      <c r="R163" s="41"/>
      <c r="T163" s="42">
        <f t="shared" si="26"/>
        <v>-18</v>
      </c>
      <c r="U163" s="42">
        <f t="shared" si="27"/>
        <v>17</v>
      </c>
      <c r="V163" s="42">
        <f t="shared" si="28"/>
        <v>0</v>
      </c>
    </row>
    <row r="164" spans="1:22" s="28" customFormat="1" ht="73.5" customHeight="1" x14ac:dyDescent="0.2">
      <c r="A164" s="30">
        <v>153</v>
      </c>
      <c r="B164" s="31" t="s">
        <v>228</v>
      </c>
      <c r="C164" s="32" t="s">
        <v>25</v>
      </c>
      <c r="D164" s="33">
        <v>19</v>
      </c>
      <c r="E164" s="35">
        <v>321.56</v>
      </c>
      <c r="F164" s="32" t="s">
        <v>27</v>
      </c>
      <c r="G164" s="37">
        <f>369.48/1.2</f>
        <v>307.90000000000003</v>
      </c>
      <c r="H164" s="38">
        <f t="shared" ref="H164:H195" si="29">D164*G164</f>
        <v>5850.1</v>
      </c>
      <c r="I164" s="38" t="s">
        <v>28</v>
      </c>
      <c r="J164" s="37">
        <f>366.65/1.2</f>
        <v>305.54166666666669</v>
      </c>
      <c r="K164" s="38">
        <f t="shared" si="21"/>
        <v>5805.291666666667</v>
      </c>
      <c r="L164" s="32" t="s">
        <v>29</v>
      </c>
      <c r="M164" s="37">
        <v>361.22</v>
      </c>
      <c r="N164" s="38">
        <f t="shared" si="22"/>
        <v>6863.18</v>
      </c>
      <c r="O164" s="39">
        <f t="shared" si="23"/>
        <v>324.88722222222225</v>
      </c>
      <c r="P164" s="40">
        <f t="shared" si="24"/>
        <v>-1.0241160607869091</v>
      </c>
      <c r="Q164" s="39">
        <f t="shared" si="25"/>
        <v>6109.64</v>
      </c>
      <c r="R164" s="41"/>
      <c r="T164" s="42">
        <f t="shared" si="26"/>
        <v>-5</v>
      </c>
      <c r="U164" s="42">
        <f t="shared" si="27"/>
        <v>-6</v>
      </c>
      <c r="V164" s="42">
        <f t="shared" si="28"/>
        <v>11</v>
      </c>
    </row>
    <row r="165" spans="1:22" s="28" customFormat="1" ht="73.5" customHeight="1" x14ac:dyDescent="0.2">
      <c r="A165" s="30">
        <v>154</v>
      </c>
      <c r="B165" s="31" t="s">
        <v>229</v>
      </c>
      <c r="C165" s="32" t="s">
        <v>45</v>
      </c>
      <c r="D165" s="33" t="s">
        <v>230</v>
      </c>
      <c r="E165" s="35">
        <v>8050.5</v>
      </c>
      <c r="F165" s="32" t="s">
        <v>231</v>
      </c>
      <c r="G165" s="37">
        <f>9362.18/1.2</f>
        <v>7801.8166666666675</v>
      </c>
      <c r="H165" s="38">
        <f t="shared" si="29"/>
        <v>429099.91666666669</v>
      </c>
      <c r="I165" s="32" t="s">
        <v>46</v>
      </c>
      <c r="J165" s="37">
        <v>7956.2</v>
      </c>
      <c r="K165" s="38">
        <f t="shared" si="21"/>
        <v>437591</v>
      </c>
      <c r="L165" s="32" t="s">
        <v>58</v>
      </c>
      <c r="M165" s="37">
        <v>8400.2999999999993</v>
      </c>
      <c r="N165" s="38">
        <f t="shared" si="22"/>
        <v>462016.49999999994</v>
      </c>
      <c r="O165" s="39">
        <f t="shared" si="23"/>
        <v>8052.7722222222219</v>
      </c>
      <c r="P165" s="40">
        <f t="shared" si="24"/>
        <v>-2.8216645889372671E-2</v>
      </c>
      <c r="Q165" s="39">
        <f t="shared" si="25"/>
        <v>442777.5</v>
      </c>
      <c r="R165" s="41"/>
      <c r="T165" s="42">
        <f t="shared" si="26"/>
        <v>-3</v>
      </c>
      <c r="U165" s="42">
        <f t="shared" si="27"/>
        <v>-1</v>
      </c>
      <c r="V165" s="42">
        <f t="shared" si="28"/>
        <v>4</v>
      </c>
    </row>
    <row r="166" spans="1:22" s="28" customFormat="1" ht="73.5" customHeight="1" x14ac:dyDescent="0.2">
      <c r="A166" s="30">
        <v>155</v>
      </c>
      <c r="B166" s="31" t="s">
        <v>232</v>
      </c>
      <c r="C166" s="32" t="s">
        <v>25</v>
      </c>
      <c r="D166" s="33" t="s">
        <v>233</v>
      </c>
      <c r="E166" s="35">
        <v>164.05</v>
      </c>
      <c r="F166" s="32" t="s">
        <v>39</v>
      </c>
      <c r="G166" s="37">
        <v>153.05000000000001</v>
      </c>
      <c r="H166" s="38">
        <f t="shared" si="29"/>
        <v>26324.600000000002</v>
      </c>
      <c r="I166" s="38" t="s">
        <v>28</v>
      </c>
      <c r="J166" s="37">
        <v>159.37</v>
      </c>
      <c r="K166" s="38">
        <f t="shared" si="21"/>
        <v>27411.64</v>
      </c>
      <c r="L166" s="38" t="s">
        <v>46</v>
      </c>
      <c r="M166" s="37">
        <v>181.06</v>
      </c>
      <c r="N166" s="38">
        <f t="shared" si="22"/>
        <v>31142.32</v>
      </c>
      <c r="O166" s="39">
        <f t="shared" si="23"/>
        <v>164.49333333333334</v>
      </c>
      <c r="P166" s="40">
        <f t="shared" si="24"/>
        <v>-0.26951446867147411</v>
      </c>
      <c r="Q166" s="39">
        <f t="shared" si="25"/>
        <v>28216.600000000002</v>
      </c>
      <c r="R166" s="41"/>
      <c r="T166" s="42">
        <f t="shared" si="26"/>
        <v>-7</v>
      </c>
      <c r="U166" s="42">
        <f t="shared" si="27"/>
        <v>-3</v>
      </c>
      <c r="V166" s="42">
        <f t="shared" si="28"/>
        <v>10</v>
      </c>
    </row>
    <row r="167" spans="1:22" s="28" customFormat="1" ht="73.5" customHeight="1" x14ac:dyDescent="0.2">
      <c r="A167" s="30">
        <v>156</v>
      </c>
      <c r="B167" s="31" t="s">
        <v>234</v>
      </c>
      <c r="C167" s="32" t="s">
        <v>45</v>
      </c>
      <c r="D167" s="33" t="s">
        <v>235</v>
      </c>
      <c r="E167" s="35">
        <v>6388.4</v>
      </c>
      <c r="F167" s="32" t="s">
        <v>231</v>
      </c>
      <c r="G167" s="37">
        <f>7648.2/1.2</f>
        <v>6373.5</v>
      </c>
      <c r="H167" s="38">
        <f t="shared" si="29"/>
        <v>236456.85</v>
      </c>
      <c r="I167" s="32" t="s">
        <v>236</v>
      </c>
      <c r="J167" s="37">
        <f>7548/1.2</f>
        <v>6290</v>
      </c>
      <c r="K167" s="38">
        <f t="shared" si="21"/>
        <v>233359</v>
      </c>
      <c r="L167" s="32" t="s">
        <v>58</v>
      </c>
      <c r="M167" s="37">
        <v>6504.5</v>
      </c>
      <c r="N167" s="38">
        <f t="shared" si="22"/>
        <v>241316.95</v>
      </c>
      <c r="O167" s="39">
        <f t="shared" si="23"/>
        <v>6389.333333333333</v>
      </c>
      <c r="P167" s="40">
        <f t="shared" si="24"/>
        <v>-1.4607679465768797E-2</v>
      </c>
      <c r="Q167" s="39">
        <f t="shared" si="25"/>
        <v>237009.63999999998</v>
      </c>
      <c r="R167" s="41"/>
      <c r="T167" s="42">
        <f t="shared" si="26"/>
        <v>0</v>
      </c>
      <c r="U167" s="42">
        <f t="shared" si="27"/>
        <v>-2</v>
      </c>
      <c r="V167" s="42">
        <f t="shared" si="28"/>
        <v>2</v>
      </c>
    </row>
    <row r="168" spans="1:22" s="28" customFormat="1" ht="73.5" customHeight="1" x14ac:dyDescent="0.2">
      <c r="A168" s="30">
        <v>157</v>
      </c>
      <c r="B168" s="31" t="s">
        <v>237</v>
      </c>
      <c r="C168" s="32" t="s">
        <v>147</v>
      </c>
      <c r="D168" s="33" t="s">
        <v>238</v>
      </c>
      <c r="E168" s="35">
        <v>14.72</v>
      </c>
      <c r="F168" s="32" t="s">
        <v>231</v>
      </c>
      <c r="G168" s="37">
        <f>18.73/1.2</f>
        <v>15.608333333333334</v>
      </c>
      <c r="H168" s="38">
        <f t="shared" si="29"/>
        <v>38240.416666666672</v>
      </c>
      <c r="I168" s="32" t="s">
        <v>236</v>
      </c>
      <c r="J168" s="37">
        <f>16.5/1.2</f>
        <v>13.75</v>
      </c>
      <c r="K168" s="38">
        <f t="shared" si="21"/>
        <v>33687.5</v>
      </c>
      <c r="L168" s="32" t="s">
        <v>58</v>
      </c>
      <c r="M168" s="37">
        <v>15.03</v>
      </c>
      <c r="N168" s="38">
        <f t="shared" si="22"/>
        <v>36823.5</v>
      </c>
      <c r="O168" s="39">
        <f t="shared" si="23"/>
        <v>14.796111111111111</v>
      </c>
      <c r="P168" s="40">
        <f t="shared" si="24"/>
        <v>-0.51439942927946447</v>
      </c>
      <c r="Q168" s="39">
        <f t="shared" si="25"/>
        <v>36064</v>
      </c>
      <c r="R168" s="41"/>
      <c r="T168" s="42">
        <f t="shared" si="26"/>
        <v>5</v>
      </c>
      <c r="U168" s="42">
        <f t="shared" si="27"/>
        <v>-7</v>
      </c>
      <c r="V168" s="42">
        <f t="shared" si="28"/>
        <v>2</v>
      </c>
    </row>
    <row r="169" spans="1:22" s="28" customFormat="1" ht="73.5" customHeight="1" x14ac:dyDescent="0.2">
      <c r="A169" s="30">
        <v>158</v>
      </c>
      <c r="B169" s="31" t="s">
        <v>239</v>
      </c>
      <c r="C169" s="32" t="s">
        <v>147</v>
      </c>
      <c r="D169" s="33">
        <v>65</v>
      </c>
      <c r="E169" s="35">
        <v>6</v>
      </c>
      <c r="F169" s="32" t="s">
        <v>231</v>
      </c>
      <c r="G169" s="37">
        <f>7.12/1.2</f>
        <v>5.9333333333333336</v>
      </c>
      <c r="H169" s="38">
        <f t="shared" si="29"/>
        <v>385.66666666666669</v>
      </c>
      <c r="I169" s="32" t="s">
        <v>236</v>
      </c>
      <c r="J169" s="37">
        <f>6.91/1.2</f>
        <v>5.7583333333333337</v>
      </c>
      <c r="K169" s="38">
        <f t="shared" si="21"/>
        <v>374.29166666666669</v>
      </c>
      <c r="L169" s="32" t="s">
        <v>58</v>
      </c>
      <c r="M169" s="37">
        <v>6.37</v>
      </c>
      <c r="N169" s="38">
        <f t="shared" si="22"/>
        <v>414.05</v>
      </c>
      <c r="O169" s="39">
        <f t="shared" si="23"/>
        <v>6.0205555555555561</v>
      </c>
      <c r="P169" s="40">
        <f t="shared" si="24"/>
        <v>-0.34142290301744538</v>
      </c>
      <c r="Q169" s="39">
        <f t="shared" si="25"/>
        <v>390</v>
      </c>
      <c r="R169" s="41"/>
      <c r="T169" s="42">
        <f t="shared" si="26"/>
        <v>-1</v>
      </c>
      <c r="U169" s="42">
        <f t="shared" si="27"/>
        <v>-4</v>
      </c>
      <c r="V169" s="42">
        <f t="shared" si="28"/>
        <v>6</v>
      </c>
    </row>
    <row r="170" spans="1:22" s="28" customFormat="1" ht="73.5" customHeight="1" x14ac:dyDescent="0.2">
      <c r="A170" s="30">
        <v>159</v>
      </c>
      <c r="B170" s="31" t="s">
        <v>240</v>
      </c>
      <c r="C170" s="32" t="s">
        <v>147</v>
      </c>
      <c r="D170" s="33" t="s">
        <v>241</v>
      </c>
      <c r="E170" s="35">
        <v>7.6</v>
      </c>
      <c r="F170" s="32" t="s">
        <v>231</v>
      </c>
      <c r="G170" s="37">
        <f>8.7/1.2</f>
        <v>7.25</v>
      </c>
      <c r="H170" s="38">
        <f t="shared" si="29"/>
        <v>2900</v>
      </c>
      <c r="I170" s="32" t="s">
        <v>236</v>
      </c>
      <c r="J170" s="37">
        <f>9.03/1.2</f>
        <v>7.5249999999999995</v>
      </c>
      <c r="K170" s="38">
        <f t="shared" si="21"/>
        <v>3010</v>
      </c>
      <c r="L170" s="32" t="s">
        <v>58</v>
      </c>
      <c r="M170" s="37">
        <v>8.1199999999999992</v>
      </c>
      <c r="N170" s="38">
        <f t="shared" si="22"/>
        <v>3247.9999999999995</v>
      </c>
      <c r="O170" s="39">
        <f t="shared" si="23"/>
        <v>7.631666666666665</v>
      </c>
      <c r="P170" s="40">
        <f t="shared" si="24"/>
        <v>-0.4149377593360839</v>
      </c>
      <c r="Q170" s="39">
        <f t="shared" si="25"/>
        <v>3040</v>
      </c>
      <c r="R170" s="41"/>
      <c r="T170" s="42">
        <f t="shared" si="26"/>
        <v>-5</v>
      </c>
      <c r="U170" s="42">
        <f t="shared" si="27"/>
        <v>-1</v>
      </c>
      <c r="V170" s="42">
        <f t="shared" si="28"/>
        <v>6</v>
      </c>
    </row>
    <row r="171" spans="1:22" s="28" customFormat="1" ht="73.5" customHeight="1" x14ac:dyDescent="0.2">
      <c r="A171" s="30">
        <v>160</v>
      </c>
      <c r="B171" s="31" t="s">
        <v>242</v>
      </c>
      <c r="C171" s="32" t="s">
        <v>147</v>
      </c>
      <c r="D171" s="33" t="s">
        <v>243</v>
      </c>
      <c r="E171" s="35">
        <v>9.52</v>
      </c>
      <c r="F171" s="32" t="s">
        <v>231</v>
      </c>
      <c r="G171" s="37">
        <f>11.28/1.2</f>
        <v>9.4</v>
      </c>
      <c r="H171" s="38">
        <f t="shared" si="29"/>
        <v>188</v>
      </c>
      <c r="I171" s="32" t="s">
        <v>236</v>
      </c>
      <c r="J171" s="37">
        <f>11.14/1.2</f>
        <v>9.283333333333335</v>
      </c>
      <c r="K171" s="38">
        <f t="shared" si="21"/>
        <v>185.66666666666669</v>
      </c>
      <c r="L171" s="32" t="s">
        <v>58</v>
      </c>
      <c r="M171" s="37">
        <v>9.9700000000000006</v>
      </c>
      <c r="N171" s="38">
        <f t="shared" si="22"/>
        <v>199.4</v>
      </c>
      <c r="O171" s="39">
        <f t="shared" si="23"/>
        <v>9.551111111111112</v>
      </c>
      <c r="P171" s="40">
        <f t="shared" si="24"/>
        <v>-0.32573289902281033</v>
      </c>
      <c r="Q171" s="39">
        <f t="shared" si="25"/>
        <v>190.39999999999998</v>
      </c>
      <c r="R171" s="41"/>
      <c r="T171" s="42">
        <f t="shared" si="26"/>
        <v>-2</v>
      </c>
      <c r="U171" s="42">
        <f t="shared" si="27"/>
        <v>-3</v>
      </c>
      <c r="V171" s="42">
        <f t="shared" si="28"/>
        <v>4</v>
      </c>
    </row>
    <row r="172" spans="1:22" s="28" customFormat="1" ht="73.5" customHeight="1" x14ac:dyDescent="0.2">
      <c r="A172" s="30">
        <v>161</v>
      </c>
      <c r="B172" s="31" t="s">
        <v>244</v>
      </c>
      <c r="C172" s="32" t="s">
        <v>147</v>
      </c>
      <c r="D172" s="33" t="s">
        <v>245</v>
      </c>
      <c r="E172" s="35">
        <v>6.79</v>
      </c>
      <c r="F172" s="32" t="s">
        <v>231</v>
      </c>
      <c r="G172" s="37">
        <f>6.62/1.2</f>
        <v>5.5166666666666666</v>
      </c>
      <c r="H172" s="38">
        <f t="shared" si="29"/>
        <v>3310</v>
      </c>
      <c r="I172" s="32" t="s">
        <v>236</v>
      </c>
      <c r="J172" s="37">
        <f>8.58/1.2</f>
        <v>7.15</v>
      </c>
      <c r="K172" s="38">
        <f t="shared" si="21"/>
        <v>4290</v>
      </c>
      <c r="L172" s="32" t="s">
        <v>58</v>
      </c>
      <c r="M172" s="37">
        <v>7.83</v>
      </c>
      <c r="N172" s="38">
        <f t="shared" si="22"/>
        <v>4698</v>
      </c>
      <c r="O172" s="39">
        <f t="shared" si="23"/>
        <v>6.8322222222222235</v>
      </c>
      <c r="P172" s="40">
        <f t="shared" si="24"/>
        <v>-0.61798666449831785</v>
      </c>
      <c r="Q172" s="39">
        <f t="shared" si="25"/>
        <v>4074</v>
      </c>
      <c r="R172" s="41"/>
      <c r="T172" s="42">
        <f t="shared" si="26"/>
        <v>-19</v>
      </c>
      <c r="U172" s="42">
        <f t="shared" si="27"/>
        <v>5</v>
      </c>
      <c r="V172" s="42">
        <f t="shared" si="28"/>
        <v>15</v>
      </c>
    </row>
    <row r="173" spans="1:22" s="28" customFormat="1" ht="73.5" customHeight="1" x14ac:dyDescent="0.2">
      <c r="A173" s="30">
        <v>162</v>
      </c>
      <c r="B173" s="31" t="s">
        <v>246</v>
      </c>
      <c r="C173" s="32" t="s">
        <v>45</v>
      </c>
      <c r="D173" s="33" t="s">
        <v>247</v>
      </c>
      <c r="E173" s="35">
        <v>2210.44</v>
      </c>
      <c r="F173" s="32" t="s">
        <v>248</v>
      </c>
      <c r="G173" s="37">
        <f>8990/4</f>
        <v>2247.5</v>
      </c>
      <c r="H173" s="38">
        <f t="shared" si="29"/>
        <v>26970</v>
      </c>
      <c r="I173" s="32" t="s">
        <v>249</v>
      </c>
      <c r="J173" s="37">
        <f>10015/4</f>
        <v>2503.75</v>
      </c>
      <c r="K173" s="38">
        <f t="shared" si="21"/>
        <v>30045</v>
      </c>
      <c r="L173" s="32" t="s">
        <v>250</v>
      </c>
      <c r="M173" s="37">
        <v>1898.75</v>
      </c>
      <c r="N173" s="38">
        <f t="shared" si="22"/>
        <v>22785</v>
      </c>
      <c r="O173" s="39">
        <f t="shared" si="23"/>
        <v>2216.6666666666665</v>
      </c>
      <c r="P173" s="40">
        <f t="shared" si="24"/>
        <v>-0.28090225563909144</v>
      </c>
      <c r="Q173" s="39">
        <f t="shared" si="25"/>
        <v>26525.279999999999</v>
      </c>
      <c r="R173" s="41"/>
      <c r="T173" s="42">
        <f t="shared" si="26"/>
        <v>1</v>
      </c>
      <c r="U173" s="42">
        <f t="shared" si="27"/>
        <v>13</v>
      </c>
      <c r="V173" s="42">
        <f t="shared" si="28"/>
        <v>-14</v>
      </c>
    </row>
    <row r="174" spans="1:22" s="28" customFormat="1" ht="64.5" customHeight="1" x14ac:dyDescent="0.2">
      <c r="A174" s="30">
        <v>163</v>
      </c>
      <c r="B174" s="31" t="s">
        <v>251</v>
      </c>
      <c r="C174" s="32" t="s">
        <v>147</v>
      </c>
      <c r="D174" s="33">
        <v>60</v>
      </c>
      <c r="E174" s="35">
        <v>480.56</v>
      </c>
      <c r="F174" s="32" t="s">
        <v>27</v>
      </c>
      <c r="G174" s="37">
        <f>542.05/1.2</f>
        <v>451.70833333333331</v>
      </c>
      <c r="H174" s="38">
        <f t="shared" si="29"/>
        <v>27102.5</v>
      </c>
      <c r="I174" s="38" t="s">
        <v>28</v>
      </c>
      <c r="J174" s="37">
        <f>586.87/1.2</f>
        <v>489.05833333333334</v>
      </c>
      <c r="K174" s="38">
        <f t="shared" si="21"/>
        <v>29343.5</v>
      </c>
      <c r="L174" s="38" t="s">
        <v>29</v>
      </c>
      <c r="M174" s="37">
        <v>506.22</v>
      </c>
      <c r="N174" s="38">
        <f t="shared" si="22"/>
        <v>30373.200000000001</v>
      </c>
      <c r="O174" s="39">
        <f t="shared" si="23"/>
        <v>482.32888888888891</v>
      </c>
      <c r="P174" s="40">
        <f t="shared" si="24"/>
        <v>-0.36673915447275363</v>
      </c>
      <c r="Q174" s="39">
        <f t="shared" si="25"/>
        <v>28833.599999999999</v>
      </c>
      <c r="R174" s="47" t="s">
        <v>116</v>
      </c>
      <c r="T174" s="42">
        <f t="shared" si="26"/>
        <v>-6</v>
      </c>
      <c r="U174" s="42">
        <f t="shared" si="27"/>
        <v>1</v>
      </c>
      <c r="V174" s="42">
        <f t="shared" si="28"/>
        <v>5</v>
      </c>
    </row>
    <row r="175" spans="1:22" s="28" customFormat="1" ht="73.5" customHeight="1" x14ac:dyDescent="0.2">
      <c r="A175" s="30">
        <v>164</v>
      </c>
      <c r="B175" s="31" t="s">
        <v>252</v>
      </c>
      <c r="C175" s="32" t="s">
        <v>45</v>
      </c>
      <c r="D175" s="33">
        <v>180</v>
      </c>
      <c r="E175" s="35">
        <v>383.82</v>
      </c>
      <c r="F175" s="32" t="s">
        <v>253</v>
      </c>
      <c r="G175" s="37">
        <v>385.11</v>
      </c>
      <c r="H175" s="38">
        <f t="shared" si="29"/>
        <v>69319.8</v>
      </c>
      <c r="I175" s="32" t="s">
        <v>254</v>
      </c>
      <c r="J175" s="37">
        <f>462/1.2</f>
        <v>385</v>
      </c>
      <c r="K175" s="38">
        <f t="shared" si="21"/>
        <v>69300</v>
      </c>
      <c r="L175" s="32" t="s">
        <v>255</v>
      </c>
      <c r="M175" s="37">
        <f>462.13/1.2</f>
        <v>385.10833333333335</v>
      </c>
      <c r="N175" s="38">
        <f t="shared" si="22"/>
        <v>69319.5</v>
      </c>
      <c r="O175" s="39">
        <f t="shared" si="23"/>
        <v>385.07277777777773</v>
      </c>
      <c r="P175" s="40">
        <f t="shared" si="24"/>
        <v>-0.32533532622258576</v>
      </c>
      <c r="Q175" s="39">
        <f t="shared" si="25"/>
        <v>69087.600000000006</v>
      </c>
      <c r="R175" s="41"/>
      <c r="T175" s="42">
        <f t="shared" si="26"/>
        <v>0</v>
      </c>
      <c r="U175" s="42">
        <f t="shared" si="27"/>
        <v>0</v>
      </c>
      <c r="V175" s="42">
        <f t="shared" si="28"/>
        <v>0</v>
      </c>
    </row>
    <row r="176" spans="1:22" s="28" customFormat="1" ht="73.5" customHeight="1" x14ac:dyDescent="0.2">
      <c r="A176" s="30">
        <v>165</v>
      </c>
      <c r="B176" s="31" t="s">
        <v>256</v>
      </c>
      <c r="C176" s="32" t="s">
        <v>25</v>
      </c>
      <c r="D176" s="33">
        <v>1580</v>
      </c>
      <c r="E176" s="35">
        <v>254.67</v>
      </c>
      <c r="F176" s="32" t="s">
        <v>27</v>
      </c>
      <c r="G176" s="37">
        <f>246.91/1.2</f>
        <v>205.75833333333333</v>
      </c>
      <c r="H176" s="38">
        <f t="shared" si="29"/>
        <v>325098.16666666663</v>
      </c>
      <c r="I176" s="38" t="s">
        <v>28</v>
      </c>
      <c r="J176" s="37">
        <f>350.39/1.2</f>
        <v>291.99166666666667</v>
      </c>
      <c r="K176" s="38">
        <f t="shared" si="21"/>
        <v>461346.83333333337</v>
      </c>
      <c r="L176" s="38" t="s">
        <v>29</v>
      </c>
      <c r="M176" s="37">
        <v>268.85000000000002</v>
      </c>
      <c r="N176" s="38">
        <f t="shared" si="22"/>
        <v>424783.00000000006</v>
      </c>
      <c r="O176" s="39">
        <f t="shared" si="23"/>
        <v>255.53333333333333</v>
      </c>
      <c r="P176" s="40">
        <f t="shared" si="24"/>
        <v>-0.33785546569266955</v>
      </c>
      <c r="Q176" s="39">
        <f t="shared" si="25"/>
        <v>402378.6</v>
      </c>
      <c r="R176" s="64"/>
      <c r="T176" s="42">
        <f t="shared" si="26"/>
        <v>-19</v>
      </c>
      <c r="U176" s="42">
        <f t="shared" si="27"/>
        <v>14</v>
      </c>
      <c r="V176" s="42">
        <f t="shared" si="28"/>
        <v>5</v>
      </c>
    </row>
    <row r="177" spans="1:22" s="28" customFormat="1" ht="73.5" customHeight="1" x14ac:dyDescent="0.2">
      <c r="A177" s="30">
        <v>166</v>
      </c>
      <c r="B177" s="31" t="s">
        <v>257</v>
      </c>
      <c r="C177" s="32" t="s">
        <v>45</v>
      </c>
      <c r="D177" s="33">
        <v>13</v>
      </c>
      <c r="E177" s="35">
        <v>98.56</v>
      </c>
      <c r="F177" s="32" t="s">
        <v>258</v>
      </c>
      <c r="G177" s="37">
        <v>98.67</v>
      </c>
      <c r="H177" s="38">
        <f t="shared" si="29"/>
        <v>1282.71</v>
      </c>
      <c r="I177" s="32" t="s">
        <v>259</v>
      </c>
      <c r="J177" s="37">
        <f>117.62/1.2</f>
        <v>98.01666666666668</v>
      </c>
      <c r="K177" s="38">
        <f t="shared" si="21"/>
        <v>1274.2166666666669</v>
      </c>
      <c r="L177" s="38" t="s">
        <v>68</v>
      </c>
      <c r="M177" s="37">
        <v>100.23</v>
      </c>
      <c r="N177" s="38">
        <f t="shared" si="22"/>
        <v>1302.99</v>
      </c>
      <c r="O177" s="39">
        <f t="shared" si="23"/>
        <v>98.972222222222229</v>
      </c>
      <c r="P177" s="40">
        <f t="shared" si="24"/>
        <v>-0.4165029469548216</v>
      </c>
      <c r="Q177" s="39">
        <f t="shared" si="25"/>
        <v>1281.28</v>
      </c>
      <c r="R177" s="41"/>
      <c r="T177" s="42">
        <f t="shared" si="26"/>
        <v>0</v>
      </c>
      <c r="U177" s="42">
        <f t="shared" si="27"/>
        <v>-1</v>
      </c>
      <c r="V177" s="42">
        <f t="shared" si="28"/>
        <v>1</v>
      </c>
    </row>
    <row r="178" spans="1:22" s="28" customFormat="1" ht="73.5" customHeight="1" x14ac:dyDescent="0.2">
      <c r="A178" s="30">
        <v>167</v>
      </c>
      <c r="B178" s="31" t="s">
        <v>260</v>
      </c>
      <c r="C178" s="32" t="s">
        <v>45</v>
      </c>
      <c r="D178" s="33">
        <v>3</v>
      </c>
      <c r="E178" s="35">
        <v>395.42</v>
      </c>
      <c r="F178" s="32" t="s">
        <v>261</v>
      </c>
      <c r="G178" s="37">
        <f>460/1.2</f>
        <v>383.33333333333337</v>
      </c>
      <c r="H178" s="38">
        <f t="shared" si="29"/>
        <v>1150</v>
      </c>
      <c r="I178" s="32" t="s">
        <v>46</v>
      </c>
      <c r="J178" s="37">
        <v>426.92</v>
      </c>
      <c r="K178" s="38">
        <f t="shared" si="21"/>
        <v>1280.76</v>
      </c>
      <c r="L178" s="32" t="s">
        <v>57</v>
      </c>
      <c r="M178" s="37">
        <v>378.8</v>
      </c>
      <c r="N178" s="38">
        <f t="shared" si="22"/>
        <v>1136.4000000000001</v>
      </c>
      <c r="O178" s="39">
        <f t="shared" si="23"/>
        <v>396.35111111111109</v>
      </c>
      <c r="P178" s="40">
        <f t="shared" si="24"/>
        <v>-0.23492077731303596</v>
      </c>
      <c r="Q178" s="39">
        <f t="shared" si="25"/>
        <v>1186.26</v>
      </c>
      <c r="R178" s="41"/>
      <c r="T178" s="42">
        <f t="shared" si="26"/>
        <v>-3</v>
      </c>
      <c r="U178" s="42">
        <f t="shared" si="27"/>
        <v>8</v>
      </c>
      <c r="V178" s="42">
        <f t="shared" si="28"/>
        <v>-4</v>
      </c>
    </row>
    <row r="179" spans="1:22" s="28" customFormat="1" ht="73.5" customHeight="1" x14ac:dyDescent="0.2">
      <c r="A179" s="30">
        <v>168</v>
      </c>
      <c r="B179" s="31" t="s">
        <v>262</v>
      </c>
      <c r="C179" s="32" t="s">
        <v>45</v>
      </c>
      <c r="D179" s="33">
        <v>26.4</v>
      </c>
      <c r="E179" s="35">
        <v>12311.49</v>
      </c>
      <c r="F179" s="32" t="s">
        <v>90</v>
      </c>
      <c r="G179" s="37">
        <f>13658.48/1.2</f>
        <v>11382.066666666668</v>
      </c>
      <c r="H179" s="38">
        <f t="shared" si="29"/>
        <v>300486.56</v>
      </c>
      <c r="I179" s="32" t="s">
        <v>46</v>
      </c>
      <c r="J179" s="37">
        <v>13004.1</v>
      </c>
      <c r="K179" s="38">
        <f t="shared" si="21"/>
        <v>343308.24</v>
      </c>
      <c r="L179" s="32" t="s">
        <v>58</v>
      </c>
      <c r="M179" s="37">
        <v>12560.4</v>
      </c>
      <c r="N179" s="38">
        <f t="shared" si="22"/>
        <v>331594.56</v>
      </c>
      <c r="O179" s="39">
        <f t="shared" si="23"/>
        <v>12315.522222222222</v>
      </c>
      <c r="P179" s="40">
        <f t="shared" si="24"/>
        <v>-3.2740976383010434E-2</v>
      </c>
      <c r="Q179" s="39">
        <f t="shared" si="25"/>
        <v>325023.33599999995</v>
      </c>
      <c r="R179" s="41"/>
      <c r="T179" s="42">
        <f t="shared" si="26"/>
        <v>-8</v>
      </c>
      <c r="U179" s="42">
        <f t="shared" si="27"/>
        <v>6</v>
      </c>
      <c r="V179" s="42">
        <f t="shared" si="28"/>
        <v>2</v>
      </c>
    </row>
    <row r="180" spans="1:22" s="28" customFormat="1" ht="73.5" customHeight="1" x14ac:dyDescent="0.2">
      <c r="A180" s="30">
        <v>169</v>
      </c>
      <c r="B180" s="31" t="s">
        <v>263</v>
      </c>
      <c r="C180" s="32" t="s">
        <v>25</v>
      </c>
      <c r="D180" s="33">
        <v>69</v>
      </c>
      <c r="E180" s="35">
        <v>1431.87</v>
      </c>
      <c r="F180" s="32" t="s">
        <v>27</v>
      </c>
      <c r="G180" s="37">
        <f>1609.9/1.2</f>
        <v>1341.5833333333335</v>
      </c>
      <c r="H180" s="38">
        <f t="shared" si="29"/>
        <v>92569.250000000015</v>
      </c>
      <c r="I180" s="38" t="s">
        <v>28</v>
      </c>
      <c r="J180" s="37">
        <f>1748.87/1.2</f>
        <v>1457.3916666666667</v>
      </c>
      <c r="K180" s="38">
        <f t="shared" si="21"/>
        <v>100560.02499999999</v>
      </c>
      <c r="L180" s="38" t="s">
        <v>29</v>
      </c>
      <c r="M180" s="37">
        <v>1503.09</v>
      </c>
      <c r="N180" s="38">
        <f t="shared" si="22"/>
        <v>103713.20999999999</v>
      </c>
      <c r="O180" s="39">
        <f t="shared" si="23"/>
        <v>1434.0216666666668</v>
      </c>
      <c r="P180" s="40">
        <f t="shared" si="24"/>
        <v>-0.15004422294875042</v>
      </c>
      <c r="Q180" s="39">
        <f t="shared" si="25"/>
        <v>98799.03</v>
      </c>
      <c r="R180" s="41"/>
      <c r="T180" s="42">
        <f t="shared" si="26"/>
        <v>-6</v>
      </c>
      <c r="U180" s="42">
        <f t="shared" si="27"/>
        <v>2</v>
      </c>
      <c r="V180" s="42">
        <f t="shared" si="28"/>
        <v>5</v>
      </c>
    </row>
    <row r="181" spans="1:22" s="28" customFormat="1" ht="73.5" customHeight="1" x14ac:dyDescent="0.2">
      <c r="A181" s="81">
        <v>170</v>
      </c>
      <c r="B181" s="82" t="s">
        <v>264</v>
      </c>
      <c r="C181" s="83" t="s">
        <v>25</v>
      </c>
      <c r="D181" s="84">
        <v>78</v>
      </c>
      <c r="E181" s="85">
        <v>40.01</v>
      </c>
      <c r="F181" s="83" t="s">
        <v>27</v>
      </c>
      <c r="G181" s="86">
        <f>45.64/1.2</f>
        <v>38.033333333333339</v>
      </c>
      <c r="H181" s="87">
        <f t="shared" si="29"/>
        <v>2966.6000000000004</v>
      </c>
      <c r="I181" s="87" t="s">
        <v>28</v>
      </c>
      <c r="J181" s="86">
        <f>44.54/1.2</f>
        <v>37.116666666666667</v>
      </c>
      <c r="K181" s="87">
        <f t="shared" si="21"/>
        <v>2895.1</v>
      </c>
      <c r="L181" s="87" t="s">
        <v>29</v>
      </c>
      <c r="M181" s="86">
        <v>45.47</v>
      </c>
      <c r="N181" s="87">
        <f t="shared" si="22"/>
        <v>3546.66</v>
      </c>
      <c r="O181" s="88">
        <f t="shared" si="23"/>
        <v>40.206666666666671</v>
      </c>
      <c r="P181" s="89">
        <f t="shared" si="24"/>
        <v>-0.48913944619467031</v>
      </c>
      <c r="Q181" s="88">
        <f t="shared" si="25"/>
        <v>3120.7799999999997</v>
      </c>
      <c r="R181" s="90" t="s">
        <v>480</v>
      </c>
      <c r="T181" s="42">
        <f t="shared" si="26"/>
        <v>-5</v>
      </c>
      <c r="U181" s="42">
        <f t="shared" si="27"/>
        <v>-8</v>
      </c>
      <c r="V181" s="42">
        <f t="shared" si="28"/>
        <v>13</v>
      </c>
    </row>
    <row r="182" spans="1:22" s="28" customFormat="1" ht="73.5" customHeight="1" x14ac:dyDescent="0.2">
      <c r="A182" s="30">
        <v>171</v>
      </c>
      <c r="B182" s="31" t="s">
        <v>265</v>
      </c>
      <c r="C182" s="32" t="s">
        <v>25</v>
      </c>
      <c r="D182" s="33">
        <v>1</v>
      </c>
      <c r="E182" s="35">
        <v>539.74</v>
      </c>
      <c r="F182" s="32" t="s">
        <v>27</v>
      </c>
      <c r="G182" s="37">
        <f>628.74/1.2</f>
        <v>523.95000000000005</v>
      </c>
      <c r="H182" s="38">
        <f t="shared" si="29"/>
        <v>523.95000000000005</v>
      </c>
      <c r="I182" s="38" t="s">
        <v>28</v>
      </c>
      <c r="J182" s="37">
        <f>697.44/1.2</f>
        <v>581.20000000000005</v>
      </c>
      <c r="K182" s="38">
        <f t="shared" si="21"/>
        <v>581.20000000000005</v>
      </c>
      <c r="L182" s="38" t="s">
        <v>29</v>
      </c>
      <c r="M182" s="37">
        <v>520.80999999999995</v>
      </c>
      <c r="N182" s="38">
        <f t="shared" si="22"/>
        <v>520.80999999999995</v>
      </c>
      <c r="O182" s="39">
        <f t="shared" si="23"/>
        <v>541.98666666666668</v>
      </c>
      <c r="P182" s="40">
        <f t="shared" si="24"/>
        <v>-0.41452434254225068</v>
      </c>
      <c r="Q182" s="39">
        <f t="shared" si="25"/>
        <v>539.74</v>
      </c>
      <c r="R182" s="41"/>
      <c r="T182" s="42">
        <f t="shared" si="26"/>
        <v>-3</v>
      </c>
      <c r="U182" s="42">
        <f t="shared" si="27"/>
        <v>7</v>
      </c>
      <c r="V182" s="42">
        <f t="shared" si="28"/>
        <v>-4</v>
      </c>
    </row>
    <row r="183" spans="1:22" s="28" customFormat="1" ht="73.5" customHeight="1" x14ac:dyDescent="0.2">
      <c r="A183" s="30">
        <v>172</v>
      </c>
      <c r="B183" s="31" t="s">
        <v>266</v>
      </c>
      <c r="C183" s="32" t="s">
        <v>25</v>
      </c>
      <c r="D183" s="33">
        <v>100</v>
      </c>
      <c r="E183" s="35">
        <v>1.28</v>
      </c>
      <c r="F183" s="32" t="s">
        <v>27</v>
      </c>
      <c r="G183" s="37">
        <f>62.47/50/1.2</f>
        <v>1.0411666666666668</v>
      </c>
      <c r="H183" s="38">
        <f t="shared" si="29"/>
        <v>104.11666666666667</v>
      </c>
      <c r="I183" s="38" t="s">
        <v>28</v>
      </c>
      <c r="J183" s="37">
        <f>1.66/1.2</f>
        <v>1.3833333333333333</v>
      </c>
      <c r="K183" s="38">
        <f t="shared" si="21"/>
        <v>138.33333333333334</v>
      </c>
      <c r="L183" s="38" t="s">
        <v>29</v>
      </c>
      <c r="M183" s="37">
        <v>1.46</v>
      </c>
      <c r="N183" s="38">
        <f t="shared" si="22"/>
        <v>146</v>
      </c>
      <c r="O183" s="39">
        <f t="shared" si="23"/>
        <v>1.2948333333333333</v>
      </c>
      <c r="P183" s="40">
        <f t="shared" si="24"/>
        <v>-1.1455785815420256</v>
      </c>
      <c r="Q183" s="39">
        <f t="shared" si="25"/>
        <v>128</v>
      </c>
      <c r="R183" s="41"/>
      <c r="T183" s="42">
        <f t="shared" si="26"/>
        <v>-20</v>
      </c>
      <c r="U183" s="42">
        <f t="shared" si="27"/>
        <v>7</v>
      </c>
      <c r="V183" s="42">
        <f t="shared" si="28"/>
        <v>13</v>
      </c>
    </row>
    <row r="184" spans="1:22" s="28" customFormat="1" ht="73.5" customHeight="1" x14ac:dyDescent="0.2">
      <c r="A184" s="30">
        <v>173</v>
      </c>
      <c r="B184" s="31" t="s">
        <v>267</v>
      </c>
      <c r="C184" s="32" t="s">
        <v>25</v>
      </c>
      <c r="D184" s="33">
        <v>26</v>
      </c>
      <c r="E184" s="35">
        <v>22.15</v>
      </c>
      <c r="F184" s="32" t="s">
        <v>27</v>
      </c>
      <c r="G184" s="37">
        <f>21.83/1.2</f>
        <v>18.191666666666666</v>
      </c>
      <c r="H184" s="38">
        <f t="shared" si="29"/>
        <v>472.98333333333335</v>
      </c>
      <c r="I184" s="38" t="s">
        <v>28</v>
      </c>
      <c r="J184" s="37">
        <f>27.18/1.2</f>
        <v>22.650000000000002</v>
      </c>
      <c r="K184" s="38">
        <f t="shared" si="21"/>
        <v>588.90000000000009</v>
      </c>
      <c r="L184" s="38" t="s">
        <v>29</v>
      </c>
      <c r="M184" s="37">
        <v>26.07</v>
      </c>
      <c r="N184" s="38">
        <f t="shared" si="22"/>
        <v>677.82</v>
      </c>
      <c r="O184" s="39">
        <f t="shared" si="23"/>
        <v>22.303888888888888</v>
      </c>
      <c r="P184" s="40">
        <f t="shared" si="24"/>
        <v>-0.68996438090019296</v>
      </c>
      <c r="Q184" s="39">
        <f t="shared" si="25"/>
        <v>575.9</v>
      </c>
      <c r="R184" s="41"/>
      <c r="T184" s="42">
        <f t="shared" si="26"/>
        <v>-18</v>
      </c>
      <c r="U184" s="42">
        <f t="shared" si="27"/>
        <v>2</v>
      </c>
      <c r="V184" s="42">
        <f t="shared" si="28"/>
        <v>17</v>
      </c>
    </row>
    <row r="185" spans="1:22" s="28" customFormat="1" ht="73.5" customHeight="1" x14ac:dyDescent="0.2">
      <c r="A185" s="30">
        <v>174</v>
      </c>
      <c r="B185" s="31" t="s">
        <v>268</v>
      </c>
      <c r="C185" s="32" t="s">
        <v>25</v>
      </c>
      <c r="D185" s="33">
        <v>8</v>
      </c>
      <c r="E185" s="35">
        <v>569.91</v>
      </c>
      <c r="F185" s="32" t="s">
        <v>57</v>
      </c>
      <c r="G185" s="37">
        <v>518.54</v>
      </c>
      <c r="H185" s="38">
        <f t="shared" si="29"/>
        <v>4148.32</v>
      </c>
      <c r="I185" s="32" t="s">
        <v>46</v>
      </c>
      <c r="J185" s="37">
        <v>554.70000000000005</v>
      </c>
      <c r="K185" s="38">
        <f t="shared" si="21"/>
        <v>4437.6000000000004</v>
      </c>
      <c r="L185" s="38" t="s">
        <v>41</v>
      </c>
      <c r="M185" s="37">
        <v>640.79999999999995</v>
      </c>
      <c r="N185" s="38">
        <f t="shared" si="22"/>
        <v>5126.3999999999996</v>
      </c>
      <c r="O185" s="39">
        <f t="shared" si="23"/>
        <v>571.34666666666669</v>
      </c>
      <c r="P185" s="40">
        <f t="shared" si="24"/>
        <v>-0.25145270822152099</v>
      </c>
      <c r="Q185" s="39">
        <f t="shared" si="25"/>
        <v>4559.28</v>
      </c>
      <c r="R185" s="41"/>
      <c r="T185" s="42">
        <f t="shared" si="26"/>
        <v>-9</v>
      </c>
      <c r="U185" s="42">
        <f t="shared" si="27"/>
        <v>-3</v>
      </c>
      <c r="V185" s="42">
        <f t="shared" si="28"/>
        <v>12</v>
      </c>
    </row>
    <row r="186" spans="1:22" s="28" customFormat="1" ht="73.5" customHeight="1" x14ac:dyDescent="0.2">
      <c r="A186" s="30">
        <v>175</v>
      </c>
      <c r="B186" s="31" t="s">
        <v>269</v>
      </c>
      <c r="C186" s="32" t="s">
        <v>45</v>
      </c>
      <c r="D186" s="33">
        <v>48</v>
      </c>
      <c r="E186" s="35">
        <v>4556.9399999999996</v>
      </c>
      <c r="F186" s="32" t="s">
        <v>270</v>
      </c>
      <c r="G186" s="37">
        <v>4125</v>
      </c>
      <c r="H186" s="38">
        <f t="shared" si="29"/>
        <v>198000</v>
      </c>
      <c r="I186" s="32" t="s">
        <v>271</v>
      </c>
      <c r="J186" s="37">
        <v>4583.33</v>
      </c>
      <c r="K186" s="38">
        <f t="shared" si="21"/>
        <v>219999.84</v>
      </c>
      <c r="L186" s="32" t="s">
        <v>272</v>
      </c>
      <c r="M186" s="37">
        <v>4970.33</v>
      </c>
      <c r="N186" s="38">
        <f t="shared" si="22"/>
        <v>238575.84</v>
      </c>
      <c r="O186" s="39">
        <f t="shared" si="23"/>
        <v>4559.5533333333333</v>
      </c>
      <c r="P186" s="40">
        <f t="shared" si="24"/>
        <v>-5.7315555763508996E-2</v>
      </c>
      <c r="Q186" s="39">
        <f t="shared" si="25"/>
        <v>218733.12</v>
      </c>
      <c r="R186" s="41"/>
      <c r="T186" s="42">
        <f t="shared" si="26"/>
        <v>-10</v>
      </c>
      <c r="U186" s="42">
        <f t="shared" si="27"/>
        <v>1</v>
      </c>
      <c r="V186" s="42">
        <f t="shared" si="28"/>
        <v>9</v>
      </c>
    </row>
    <row r="187" spans="1:22" s="28" customFormat="1" ht="73.5" customHeight="1" x14ac:dyDescent="0.2">
      <c r="A187" s="30">
        <v>176</v>
      </c>
      <c r="B187" s="31" t="s">
        <v>273</v>
      </c>
      <c r="C187" s="32" t="s">
        <v>45</v>
      </c>
      <c r="D187" s="33">
        <v>16</v>
      </c>
      <c r="E187" s="35">
        <v>1229.54</v>
      </c>
      <c r="F187" s="32" t="s">
        <v>274</v>
      </c>
      <c r="G187" s="37">
        <v>980</v>
      </c>
      <c r="H187" s="38">
        <f t="shared" si="29"/>
        <v>15680</v>
      </c>
      <c r="I187" s="32" t="s">
        <v>275</v>
      </c>
      <c r="J187" s="37">
        <v>1450</v>
      </c>
      <c r="K187" s="38">
        <f t="shared" si="21"/>
        <v>23200</v>
      </c>
      <c r="L187" s="38" t="s">
        <v>41</v>
      </c>
      <c r="M187" s="37">
        <v>1263</v>
      </c>
      <c r="N187" s="38">
        <f t="shared" si="22"/>
        <v>20208</v>
      </c>
      <c r="O187" s="39">
        <f t="shared" si="23"/>
        <v>1231</v>
      </c>
      <c r="P187" s="40">
        <f t="shared" si="24"/>
        <v>-0.11860276198213171</v>
      </c>
      <c r="Q187" s="39">
        <f t="shared" si="25"/>
        <v>19672.64</v>
      </c>
      <c r="R187" s="41"/>
      <c r="T187" s="42">
        <f t="shared" si="26"/>
        <v>-20</v>
      </c>
      <c r="U187" s="42">
        <f t="shared" si="27"/>
        <v>18</v>
      </c>
      <c r="V187" s="42">
        <f t="shared" si="28"/>
        <v>3</v>
      </c>
    </row>
    <row r="188" spans="1:22" s="28" customFormat="1" ht="73.5" customHeight="1" x14ac:dyDescent="0.2">
      <c r="A188" s="30">
        <v>177</v>
      </c>
      <c r="B188" s="31" t="s">
        <v>276</v>
      </c>
      <c r="C188" s="32" t="s">
        <v>53</v>
      </c>
      <c r="D188" s="33">
        <v>500</v>
      </c>
      <c r="E188" s="35">
        <v>482.37</v>
      </c>
      <c r="F188" s="32" t="s">
        <v>277</v>
      </c>
      <c r="G188" s="37">
        <f>625/1.2</f>
        <v>520.83333333333337</v>
      </c>
      <c r="H188" s="38">
        <f t="shared" si="29"/>
        <v>260416.66666666669</v>
      </c>
      <c r="I188" s="32" t="s">
        <v>46</v>
      </c>
      <c r="J188" s="37">
        <v>479</v>
      </c>
      <c r="K188" s="38">
        <f t="shared" si="21"/>
        <v>239500</v>
      </c>
      <c r="L188" s="32" t="s">
        <v>278</v>
      </c>
      <c r="M188" s="37">
        <f>10800/20/1.2</f>
        <v>450</v>
      </c>
      <c r="N188" s="38">
        <f t="shared" si="22"/>
        <v>225000</v>
      </c>
      <c r="O188" s="39">
        <f t="shared" si="23"/>
        <v>483.27777777777783</v>
      </c>
      <c r="P188" s="40">
        <f t="shared" si="24"/>
        <v>-0.18783768249224408</v>
      </c>
      <c r="Q188" s="39">
        <f t="shared" si="25"/>
        <v>241185</v>
      </c>
      <c r="R188" s="64"/>
      <c r="T188" s="42">
        <f t="shared" si="26"/>
        <v>8</v>
      </c>
      <c r="U188" s="42">
        <f t="shared" si="27"/>
        <v>-1</v>
      </c>
      <c r="V188" s="42">
        <f t="shared" si="28"/>
        <v>-7</v>
      </c>
    </row>
    <row r="189" spans="1:22" s="28" customFormat="1" ht="73.5" customHeight="1" x14ac:dyDescent="0.2">
      <c r="A189" s="30">
        <v>178</v>
      </c>
      <c r="B189" s="31" t="s">
        <v>279</v>
      </c>
      <c r="C189" s="32" t="s">
        <v>45</v>
      </c>
      <c r="D189" s="33" t="s">
        <v>280</v>
      </c>
      <c r="E189" s="35">
        <v>28855.3</v>
      </c>
      <c r="F189" s="32" t="s">
        <v>281</v>
      </c>
      <c r="G189" s="37">
        <f>(1630*1000/50)/1.2</f>
        <v>27166.666666666668</v>
      </c>
      <c r="H189" s="38">
        <f t="shared" si="29"/>
        <v>13583.333333333334</v>
      </c>
      <c r="I189" s="32" t="s">
        <v>58</v>
      </c>
      <c r="J189" s="37">
        <v>30052.39</v>
      </c>
      <c r="K189" s="54">
        <f t="shared" si="21"/>
        <v>15026.195</v>
      </c>
      <c r="L189" s="38" t="s">
        <v>29</v>
      </c>
      <c r="M189" s="37">
        <v>29361.09</v>
      </c>
      <c r="N189" s="38">
        <f t="shared" si="22"/>
        <v>14680.545</v>
      </c>
      <c r="O189" s="39">
        <f t="shared" si="23"/>
        <v>28860.04888888889</v>
      </c>
      <c r="P189" s="40">
        <f t="shared" si="24"/>
        <v>-1.6454888580312854E-2</v>
      </c>
      <c r="Q189" s="39">
        <f t="shared" si="25"/>
        <v>14427.65</v>
      </c>
      <c r="R189" s="41"/>
      <c r="T189" s="42">
        <f t="shared" si="26"/>
        <v>-6</v>
      </c>
      <c r="U189" s="42">
        <f t="shared" si="27"/>
        <v>4</v>
      </c>
      <c r="V189" s="42">
        <f t="shared" si="28"/>
        <v>2</v>
      </c>
    </row>
    <row r="190" spans="1:22" s="28" customFormat="1" ht="73.5" customHeight="1" x14ac:dyDescent="0.2">
      <c r="A190" s="30">
        <v>179</v>
      </c>
      <c r="B190" s="31" t="s">
        <v>282</v>
      </c>
      <c r="C190" s="32" t="s">
        <v>25</v>
      </c>
      <c r="D190" s="33">
        <v>10</v>
      </c>
      <c r="E190" s="35">
        <v>154.38</v>
      </c>
      <c r="F190" s="32" t="s">
        <v>27</v>
      </c>
      <c r="G190" s="37">
        <f>159.09/1.2</f>
        <v>132.57500000000002</v>
      </c>
      <c r="H190" s="38">
        <f t="shared" si="29"/>
        <v>1325.7500000000002</v>
      </c>
      <c r="I190" s="38" t="s">
        <v>28</v>
      </c>
      <c r="J190" s="37">
        <v>173.53</v>
      </c>
      <c r="K190" s="38">
        <f t="shared" si="21"/>
        <v>1735.3</v>
      </c>
      <c r="L190" s="38" t="s">
        <v>29</v>
      </c>
      <c r="M190" s="37">
        <v>159.82</v>
      </c>
      <c r="N190" s="38">
        <f t="shared" si="22"/>
        <v>1598.1999999999998</v>
      </c>
      <c r="O190" s="39">
        <f t="shared" si="23"/>
        <v>155.30833333333334</v>
      </c>
      <c r="P190" s="40">
        <f t="shared" si="24"/>
        <v>-0.59773568707410618</v>
      </c>
      <c r="Q190" s="39">
        <f t="shared" si="25"/>
        <v>1543.8</v>
      </c>
      <c r="R190" s="41"/>
      <c r="T190" s="42">
        <f t="shared" si="26"/>
        <v>-15</v>
      </c>
      <c r="U190" s="42">
        <f t="shared" si="27"/>
        <v>12</v>
      </c>
      <c r="V190" s="42">
        <f t="shared" si="28"/>
        <v>3</v>
      </c>
    </row>
    <row r="191" spans="1:22" s="28" customFormat="1" ht="73.5" customHeight="1" x14ac:dyDescent="0.2">
      <c r="A191" s="30">
        <v>180</v>
      </c>
      <c r="B191" s="31" t="s">
        <v>283</v>
      </c>
      <c r="C191" s="32" t="s">
        <v>25</v>
      </c>
      <c r="D191" s="33">
        <v>5</v>
      </c>
      <c r="E191" s="35">
        <v>38.659999999999997</v>
      </c>
      <c r="F191" s="32" t="s">
        <v>27</v>
      </c>
      <c r="G191" s="37">
        <f>41.96/1.2</f>
        <v>34.966666666666669</v>
      </c>
      <c r="H191" s="38">
        <f t="shared" si="29"/>
        <v>174.83333333333334</v>
      </c>
      <c r="I191" s="38" t="s">
        <v>28</v>
      </c>
      <c r="J191" s="37">
        <v>40.11</v>
      </c>
      <c r="K191" s="38">
        <f t="shared" si="21"/>
        <v>200.55</v>
      </c>
      <c r="L191" s="38" t="s">
        <v>29</v>
      </c>
      <c r="M191" s="37">
        <v>42.43</v>
      </c>
      <c r="N191" s="38">
        <f t="shared" si="22"/>
        <v>212.15</v>
      </c>
      <c r="O191" s="39">
        <f t="shared" si="23"/>
        <v>39.168888888888887</v>
      </c>
      <c r="P191" s="40">
        <f t="shared" si="24"/>
        <v>-1.2992170656984001</v>
      </c>
      <c r="Q191" s="39">
        <f t="shared" si="25"/>
        <v>193.29999999999998</v>
      </c>
      <c r="R191" s="41"/>
      <c r="T191" s="42">
        <f t="shared" si="26"/>
        <v>-11</v>
      </c>
      <c r="U191" s="42">
        <f t="shared" si="27"/>
        <v>2</v>
      </c>
      <c r="V191" s="42">
        <f t="shared" si="28"/>
        <v>8</v>
      </c>
    </row>
    <row r="192" spans="1:22" s="28" customFormat="1" ht="73.5" customHeight="1" x14ac:dyDescent="0.2">
      <c r="A192" s="30">
        <v>181</v>
      </c>
      <c r="B192" s="31" t="s">
        <v>284</v>
      </c>
      <c r="C192" s="32" t="s">
        <v>25</v>
      </c>
      <c r="D192" s="33">
        <v>51</v>
      </c>
      <c r="E192" s="35">
        <v>37.020000000000003</v>
      </c>
      <c r="F192" s="32" t="s">
        <v>27</v>
      </c>
      <c r="G192" s="37">
        <f>42.95/1.2</f>
        <v>35.791666666666671</v>
      </c>
      <c r="H192" s="38">
        <f t="shared" si="29"/>
        <v>1825.3750000000002</v>
      </c>
      <c r="I192" s="38" t="s">
        <v>28</v>
      </c>
      <c r="J192" s="37">
        <v>42.57</v>
      </c>
      <c r="K192" s="38">
        <f t="shared" si="21"/>
        <v>2171.0700000000002</v>
      </c>
      <c r="L192" s="38" t="s">
        <v>29</v>
      </c>
      <c r="M192" s="37">
        <v>34.21</v>
      </c>
      <c r="N192" s="38">
        <f t="shared" si="22"/>
        <v>1744.71</v>
      </c>
      <c r="O192" s="39">
        <f t="shared" si="23"/>
        <v>37.523888888888898</v>
      </c>
      <c r="P192" s="40">
        <f t="shared" si="24"/>
        <v>-1.3428482596272175</v>
      </c>
      <c r="Q192" s="39">
        <f t="shared" si="25"/>
        <v>1888.0200000000002</v>
      </c>
      <c r="R192" s="41"/>
      <c r="T192" s="42">
        <f t="shared" si="26"/>
        <v>-5</v>
      </c>
      <c r="U192" s="42">
        <f t="shared" si="27"/>
        <v>13</v>
      </c>
      <c r="V192" s="42">
        <f t="shared" si="28"/>
        <v>-9</v>
      </c>
    </row>
    <row r="193" spans="1:22" s="28" customFormat="1" ht="73.5" customHeight="1" x14ac:dyDescent="0.2">
      <c r="A193" s="30">
        <v>182</v>
      </c>
      <c r="B193" s="31" t="s">
        <v>285</v>
      </c>
      <c r="C193" s="32" t="s">
        <v>25</v>
      </c>
      <c r="D193" s="33">
        <v>65</v>
      </c>
      <c r="E193" s="35">
        <v>128.97999999999999</v>
      </c>
      <c r="F193" s="32" t="s">
        <v>27</v>
      </c>
      <c r="G193" s="37">
        <f>152.58/1.2</f>
        <v>127.15000000000002</v>
      </c>
      <c r="H193" s="38">
        <f t="shared" si="29"/>
        <v>8264.7500000000018</v>
      </c>
      <c r="I193" s="38" t="s">
        <v>28</v>
      </c>
      <c r="J193" s="37">
        <v>124.64</v>
      </c>
      <c r="K193" s="38">
        <f t="shared" si="21"/>
        <v>8101.6</v>
      </c>
      <c r="L193" s="38" t="s">
        <v>29</v>
      </c>
      <c r="M193" s="37">
        <v>140.51</v>
      </c>
      <c r="N193" s="38">
        <f t="shared" si="22"/>
        <v>9133.15</v>
      </c>
      <c r="O193" s="39">
        <f t="shared" si="23"/>
        <v>130.76666666666668</v>
      </c>
      <c r="P193" s="40">
        <f t="shared" si="24"/>
        <v>-1.366301300025512</v>
      </c>
      <c r="Q193" s="39">
        <f t="shared" si="25"/>
        <v>8383.6999999999989</v>
      </c>
      <c r="R193" s="41"/>
      <c r="T193" s="42">
        <f t="shared" si="26"/>
        <v>-3</v>
      </c>
      <c r="U193" s="42">
        <f t="shared" si="27"/>
        <v>-5</v>
      </c>
      <c r="V193" s="42">
        <f t="shared" si="28"/>
        <v>7</v>
      </c>
    </row>
    <row r="194" spans="1:22" s="28" customFormat="1" ht="73.5" customHeight="1" x14ac:dyDescent="0.2">
      <c r="A194" s="30">
        <v>183</v>
      </c>
      <c r="B194" s="31" t="s">
        <v>286</v>
      </c>
      <c r="C194" s="32" t="s">
        <v>25</v>
      </c>
      <c r="D194" s="33">
        <v>17</v>
      </c>
      <c r="E194" s="35">
        <v>825.64</v>
      </c>
      <c r="F194" s="32" t="s">
        <v>27</v>
      </c>
      <c r="G194" s="37">
        <f>964.79/1.2</f>
        <v>803.99166666666667</v>
      </c>
      <c r="H194" s="38">
        <f t="shared" si="29"/>
        <v>13667.858333333334</v>
      </c>
      <c r="I194" s="38" t="s">
        <v>28</v>
      </c>
      <c r="J194" s="37">
        <v>800.97</v>
      </c>
      <c r="K194" s="38">
        <f t="shared" si="21"/>
        <v>13616.49</v>
      </c>
      <c r="L194" s="38" t="s">
        <v>29</v>
      </c>
      <c r="M194" s="37">
        <v>877.17</v>
      </c>
      <c r="N194" s="38">
        <f t="shared" si="22"/>
        <v>14911.89</v>
      </c>
      <c r="O194" s="39">
        <f t="shared" si="23"/>
        <v>827.37722222222226</v>
      </c>
      <c r="P194" s="40">
        <f t="shared" si="24"/>
        <v>-0.20996737347401506</v>
      </c>
      <c r="Q194" s="39">
        <f t="shared" si="25"/>
        <v>14035.88</v>
      </c>
      <c r="R194" s="41"/>
      <c r="T194" s="42">
        <f t="shared" si="26"/>
        <v>-3</v>
      </c>
      <c r="U194" s="42">
        <f t="shared" si="27"/>
        <v>-3</v>
      </c>
      <c r="V194" s="42">
        <f t="shared" si="28"/>
        <v>6</v>
      </c>
    </row>
    <row r="195" spans="1:22" s="28" customFormat="1" ht="73.5" customHeight="1" x14ac:dyDescent="0.2">
      <c r="A195" s="30">
        <v>184</v>
      </c>
      <c r="B195" s="31" t="s">
        <v>287</v>
      </c>
      <c r="C195" s="32" t="s">
        <v>25</v>
      </c>
      <c r="D195" s="33">
        <v>1</v>
      </c>
      <c r="E195" s="35">
        <v>1705.34</v>
      </c>
      <c r="F195" s="32" t="s">
        <v>27</v>
      </c>
      <c r="G195" s="37">
        <f>1922.48/1.2</f>
        <v>1602.0666666666668</v>
      </c>
      <c r="H195" s="38">
        <f t="shared" si="29"/>
        <v>1602.0666666666668</v>
      </c>
      <c r="I195" s="38" t="s">
        <v>28</v>
      </c>
      <c r="J195" s="37">
        <v>1722.42</v>
      </c>
      <c r="K195" s="38">
        <f t="shared" si="21"/>
        <v>1722.42</v>
      </c>
      <c r="L195" s="38" t="s">
        <v>29</v>
      </c>
      <c r="M195" s="37">
        <v>1806.95</v>
      </c>
      <c r="N195" s="38">
        <f t="shared" si="22"/>
        <v>1806.95</v>
      </c>
      <c r="O195" s="39">
        <f t="shared" si="23"/>
        <v>1710.4788888888888</v>
      </c>
      <c r="P195" s="40">
        <f t="shared" si="24"/>
        <v>-0.30043568045596203</v>
      </c>
      <c r="Q195" s="39">
        <f t="shared" si="25"/>
        <v>1705.34</v>
      </c>
      <c r="R195" s="41"/>
      <c r="T195" s="42">
        <f t="shared" si="26"/>
        <v>-6</v>
      </c>
      <c r="U195" s="42">
        <f t="shared" si="27"/>
        <v>1</v>
      </c>
      <c r="V195" s="42">
        <f t="shared" si="28"/>
        <v>6</v>
      </c>
    </row>
    <row r="196" spans="1:22" s="28" customFormat="1" ht="73.5" customHeight="1" x14ac:dyDescent="0.2">
      <c r="A196" s="30">
        <v>185</v>
      </c>
      <c r="B196" s="31" t="s">
        <v>288</v>
      </c>
      <c r="C196" s="32" t="s">
        <v>25</v>
      </c>
      <c r="D196" s="33">
        <v>1</v>
      </c>
      <c r="E196" s="35">
        <v>246.37</v>
      </c>
      <c r="F196" s="32" t="s">
        <v>27</v>
      </c>
      <c r="G196" s="37">
        <f>272.92/1.2</f>
        <v>227.43333333333337</v>
      </c>
      <c r="H196" s="38">
        <f t="shared" ref="H196:H226" si="30">D196*G196</f>
        <v>227.43333333333337</v>
      </c>
      <c r="I196" s="38" t="s">
        <v>28</v>
      </c>
      <c r="J196" s="37">
        <v>218.37</v>
      </c>
      <c r="K196" s="38">
        <f t="shared" si="21"/>
        <v>218.37</v>
      </c>
      <c r="L196" s="38" t="s">
        <v>29</v>
      </c>
      <c r="M196" s="37">
        <v>299.05</v>
      </c>
      <c r="N196" s="38">
        <f t="shared" si="22"/>
        <v>299.05</v>
      </c>
      <c r="O196" s="39">
        <f t="shared" si="23"/>
        <v>248.28444444444449</v>
      </c>
      <c r="P196" s="40">
        <f t="shared" si="24"/>
        <v>-0.77106902477447647</v>
      </c>
      <c r="Q196" s="39">
        <f t="shared" si="25"/>
        <v>246.37</v>
      </c>
      <c r="R196" s="41"/>
      <c r="T196" s="42">
        <f t="shared" si="26"/>
        <v>-8</v>
      </c>
      <c r="U196" s="42">
        <f t="shared" si="27"/>
        <v>-12</v>
      </c>
      <c r="V196" s="42">
        <f t="shared" si="28"/>
        <v>20</v>
      </c>
    </row>
    <row r="197" spans="1:22" s="28" customFormat="1" ht="73.5" customHeight="1" x14ac:dyDescent="0.2">
      <c r="A197" s="30">
        <v>186</v>
      </c>
      <c r="B197" s="31" t="s">
        <v>289</v>
      </c>
      <c r="C197" s="32" t="s">
        <v>25</v>
      </c>
      <c r="D197" s="33">
        <v>36</v>
      </c>
      <c r="E197" s="35">
        <v>39.04</v>
      </c>
      <c r="F197" s="32" t="s">
        <v>27</v>
      </c>
      <c r="G197" s="37">
        <f>42.98/1.2</f>
        <v>35.816666666666663</v>
      </c>
      <c r="H197" s="38">
        <f t="shared" si="30"/>
        <v>1289.3999999999999</v>
      </c>
      <c r="I197" s="38" t="s">
        <v>28</v>
      </c>
      <c r="J197" s="37">
        <v>44.2</v>
      </c>
      <c r="K197" s="38">
        <f t="shared" si="21"/>
        <v>1591.2</v>
      </c>
      <c r="L197" s="38" t="s">
        <v>29</v>
      </c>
      <c r="M197" s="37">
        <v>38.46</v>
      </c>
      <c r="N197" s="38">
        <f t="shared" si="22"/>
        <v>1384.56</v>
      </c>
      <c r="O197" s="39">
        <f t="shared" si="23"/>
        <v>39.492222222222217</v>
      </c>
      <c r="P197" s="40">
        <f t="shared" si="24"/>
        <v>-1.1450918605632552</v>
      </c>
      <c r="Q197" s="39">
        <f t="shared" si="25"/>
        <v>1405.44</v>
      </c>
      <c r="R197" s="41"/>
      <c r="T197" s="42">
        <f t="shared" si="26"/>
        <v>-9</v>
      </c>
      <c r="U197" s="42">
        <f t="shared" si="27"/>
        <v>12</v>
      </c>
      <c r="V197" s="42">
        <f t="shared" si="28"/>
        <v>-3</v>
      </c>
    </row>
    <row r="198" spans="1:22" s="28" customFormat="1" ht="73.5" customHeight="1" x14ac:dyDescent="0.2">
      <c r="A198" s="30">
        <v>187</v>
      </c>
      <c r="B198" s="31" t="s">
        <v>290</v>
      </c>
      <c r="C198" s="32" t="s">
        <v>45</v>
      </c>
      <c r="D198" s="33">
        <v>8</v>
      </c>
      <c r="E198" s="35">
        <v>592.47</v>
      </c>
      <c r="F198" s="32" t="s">
        <v>56</v>
      </c>
      <c r="G198" s="37">
        <v>597.5</v>
      </c>
      <c r="H198" s="38">
        <f t="shared" si="30"/>
        <v>4780</v>
      </c>
      <c r="I198" s="38" t="s">
        <v>57</v>
      </c>
      <c r="J198" s="37">
        <v>549.78</v>
      </c>
      <c r="K198" s="38">
        <f t="shared" si="21"/>
        <v>4398.24</v>
      </c>
      <c r="L198" s="32" t="s">
        <v>58</v>
      </c>
      <c r="M198" s="37">
        <v>634.45000000000005</v>
      </c>
      <c r="N198" s="38">
        <f t="shared" si="22"/>
        <v>5075.6000000000004</v>
      </c>
      <c r="O198" s="39">
        <f t="shared" si="23"/>
        <v>593.91</v>
      </c>
      <c r="P198" s="40">
        <f t="shared" si="24"/>
        <v>-0.24246097893619378</v>
      </c>
      <c r="Q198" s="39">
        <f t="shared" si="25"/>
        <v>4739.76</v>
      </c>
      <c r="R198" s="41"/>
      <c r="T198" s="42">
        <f t="shared" si="26"/>
        <v>1</v>
      </c>
      <c r="U198" s="42">
        <f t="shared" si="27"/>
        <v>-7</v>
      </c>
      <c r="V198" s="42">
        <f t="shared" si="28"/>
        <v>7</v>
      </c>
    </row>
    <row r="199" spans="1:22" s="28" customFormat="1" ht="73.5" customHeight="1" x14ac:dyDescent="0.2">
      <c r="A199" s="30">
        <v>188</v>
      </c>
      <c r="B199" s="31" t="s">
        <v>291</v>
      </c>
      <c r="C199" s="32" t="s">
        <v>292</v>
      </c>
      <c r="D199" s="33">
        <v>532</v>
      </c>
      <c r="E199" s="35">
        <v>53.08</v>
      </c>
      <c r="F199" s="32" t="s">
        <v>90</v>
      </c>
      <c r="G199" s="37">
        <f>61.72/1.2</f>
        <v>51.433333333333337</v>
      </c>
      <c r="H199" s="38">
        <f t="shared" si="30"/>
        <v>27362.533333333336</v>
      </c>
      <c r="I199" s="32" t="s">
        <v>46</v>
      </c>
      <c r="J199" s="37">
        <v>55.09</v>
      </c>
      <c r="K199" s="38">
        <f t="shared" si="21"/>
        <v>29307.88</v>
      </c>
      <c r="L199" s="32" t="s">
        <v>58</v>
      </c>
      <c r="M199" s="37">
        <v>53.87</v>
      </c>
      <c r="N199" s="38">
        <f t="shared" si="22"/>
        <v>28658.84</v>
      </c>
      <c r="O199" s="39">
        <f t="shared" si="23"/>
        <v>53.464444444444446</v>
      </c>
      <c r="P199" s="40">
        <f t="shared" si="24"/>
        <v>-0.71906563032545989</v>
      </c>
      <c r="Q199" s="39">
        <f t="shared" si="25"/>
        <v>28238.559999999998</v>
      </c>
      <c r="R199" s="41"/>
      <c r="T199" s="42">
        <f t="shared" si="26"/>
        <v>-4</v>
      </c>
      <c r="U199" s="42">
        <f t="shared" si="27"/>
        <v>3</v>
      </c>
      <c r="V199" s="42">
        <f t="shared" si="28"/>
        <v>1</v>
      </c>
    </row>
    <row r="200" spans="1:22" s="28" customFormat="1" ht="73.5" customHeight="1" x14ac:dyDescent="0.2">
      <c r="A200" s="30">
        <v>189</v>
      </c>
      <c r="B200" s="31" t="s">
        <v>293</v>
      </c>
      <c r="C200" s="32" t="s">
        <v>25</v>
      </c>
      <c r="D200" s="33">
        <v>8</v>
      </c>
      <c r="E200" s="35">
        <v>394.7</v>
      </c>
      <c r="F200" s="32" t="s">
        <v>294</v>
      </c>
      <c r="G200" s="37">
        <v>357.28</v>
      </c>
      <c r="H200" s="38">
        <f t="shared" si="30"/>
        <v>2858.24</v>
      </c>
      <c r="I200" s="32" t="s">
        <v>295</v>
      </c>
      <c r="J200" s="37">
        <v>380</v>
      </c>
      <c r="K200" s="38">
        <f t="shared" si="21"/>
        <v>3040</v>
      </c>
      <c r="L200" s="38" t="s">
        <v>41</v>
      </c>
      <c r="M200" s="37">
        <v>450.14</v>
      </c>
      <c r="N200" s="38">
        <f t="shared" si="22"/>
        <v>3601.12</v>
      </c>
      <c r="O200" s="39">
        <f t="shared" si="23"/>
        <v>395.80666666666667</v>
      </c>
      <c r="P200" s="40">
        <f t="shared" si="24"/>
        <v>-0.27959778342962238</v>
      </c>
      <c r="Q200" s="39">
        <f t="shared" si="25"/>
        <v>3157.6</v>
      </c>
      <c r="R200" s="41"/>
      <c r="T200" s="42">
        <f t="shared" si="26"/>
        <v>-10</v>
      </c>
      <c r="U200" s="42">
        <f t="shared" si="27"/>
        <v>-4</v>
      </c>
      <c r="V200" s="42">
        <f t="shared" si="28"/>
        <v>14</v>
      </c>
    </row>
    <row r="201" spans="1:22" s="28" customFormat="1" ht="73.5" customHeight="1" x14ac:dyDescent="0.2">
      <c r="A201" s="30">
        <v>190</v>
      </c>
      <c r="B201" s="31" t="s">
        <v>296</v>
      </c>
      <c r="C201" s="32" t="s">
        <v>25</v>
      </c>
      <c r="D201" s="33">
        <v>28</v>
      </c>
      <c r="E201" s="35">
        <v>402.64</v>
      </c>
      <c r="F201" s="32" t="s">
        <v>294</v>
      </c>
      <c r="G201" s="37">
        <v>395.38</v>
      </c>
      <c r="H201" s="38">
        <f t="shared" si="30"/>
        <v>11070.64</v>
      </c>
      <c r="I201" s="32" t="s">
        <v>295</v>
      </c>
      <c r="J201" s="37">
        <v>395</v>
      </c>
      <c r="K201" s="38">
        <f t="shared" si="21"/>
        <v>11060</v>
      </c>
      <c r="L201" s="38" t="s">
        <v>41</v>
      </c>
      <c r="M201" s="37">
        <v>420.11</v>
      </c>
      <c r="N201" s="38">
        <f t="shared" si="22"/>
        <v>11763.08</v>
      </c>
      <c r="O201" s="39">
        <f t="shared" si="23"/>
        <v>403.49666666666667</v>
      </c>
      <c r="P201" s="40">
        <f t="shared" si="24"/>
        <v>-0.21231071714760219</v>
      </c>
      <c r="Q201" s="39">
        <f t="shared" si="25"/>
        <v>11273.92</v>
      </c>
      <c r="R201" s="41"/>
      <c r="T201" s="42">
        <f t="shared" si="26"/>
        <v>-2</v>
      </c>
      <c r="U201" s="42">
        <f t="shared" si="27"/>
        <v>-2</v>
      </c>
      <c r="V201" s="42">
        <f t="shared" si="28"/>
        <v>4</v>
      </c>
    </row>
    <row r="202" spans="1:22" s="28" customFormat="1" ht="73.5" customHeight="1" x14ac:dyDescent="0.2">
      <c r="A202" s="30">
        <v>191</v>
      </c>
      <c r="B202" s="31" t="s">
        <v>297</v>
      </c>
      <c r="C202" s="32" t="s">
        <v>25</v>
      </c>
      <c r="D202" s="33">
        <v>2</v>
      </c>
      <c r="E202" s="35">
        <v>990.1</v>
      </c>
      <c r="F202" s="32" t="s">
        <v>294</v>
      </c>
      <c r="G202" s="37">
        <v>984.06</v>
      </c>
      <c r="H202" s="38">
        <f t="shared" si="30"/>
        <v>1968.12</v>
      </c>
      <c r="I202" s="32" t="s">
        <v>295</v>
      </c>
      <c r="J202" s="37">
        <v>956</v>
      </c>
      <c r="K202" s="38">
        <f t="shared" si="21"/>
        <v>1912</v>
      </c>
      <c r="L202" s="38" t="s">
        <v>41</v>
      </c>
      <c r="M202" s="37">
        <v>1040.46</v>
      </c>
      <c r="N202" s="38">
        <f t="shared" si="22"/>
        <v>2080.92</v>
      </c>
      <c r="O202" s="39">
        <f t="shared" si="23"/>
        <v>993.50666666666666</v>
      </c>
      <c r="P202" s="40">
        <f t="shared" si="24"/>
        <v>-0.34289318642385069</v>
      </c>
      <c r="Q202" s="39">
        <f t="shared" si="25"/>
        <v>1980.2</v>
      </c>
      <c r="R202" s="41"/>
      <c r="T202" s="42">
        <f t="shared" si="26"/>
        <v>-1</v>
      </c>
      <c r="U202" s="42">
        <f t="shared" si="27"/>
        <v>-4</v>
      </c>
      <c r="V202" s="42">
        <f t="shared" si="28"/>
        <v>5</v>
      </c>
    </row>
    <row r="203" spans="1:22" s="28" customFormat="1" ht="73.5" customHeight="1" x14ac:dyDescent="0.2">
      <c r="A203" s="30">
        <v>192</v>
      </c>
      <c r="B203" s="31" t="s">
        <v>298</v>
      </c>
      <c r="C203" s="32" t="s">
        <v>25</v>
      </c>
      <c r="D203" s="33">
        <v>8</v>
      </c>
      <c r="E203" s="35">
        <v>487.56</v>
      </c>
      <c r="F203" s="32" t="s">
        <v>294</v>
      </c>
      <c r="G203" s="37">
        <v>465.05</v>
      </c>
      <c r="H203" s="38">
        <f t="shared" si="30"/>
        <v>3720.4</v>
      </c>
      <c r="I203" s="32" t="s">
        <v>295</v>
      </c>
      <c r="J203" s="37">
        <v>482</v>
      </c>
      <c r="K203" s="38">
        <f t="shared" si="21"/>
        <v>3856</v>
      </c>
      <c r="L203" s="38" t="s">
        <v>41</v>
      </c>
      <c r="M203" s="37">
        <v>521.12</v>
      </c>
      <c r="N203" s="38">
        <f t="shared" si="22"/>
        <v>4168.96</v>
      </c>
      <c r="O203" s="39">
        <f t="shared" si="23"/>
        <v>489.39000000000004</v>
      </c>
      <c r="P203" s="40">
        <f t="shared" si="24"/>
        <v>-0.37393489854717643</v>
      </c>
      <c r="Q203" s="39">
        <f t="shared" si="25"/>
        <v>3900.48</v>
      </c>
      <c r="R203" s="41"/>
      <c r="T203" s="42">
        <f t="shared" si="26"/>
        <v>-5</v>
      </c>
      <c r="U203" s="42">
        <f t="shared" si="27"/>
        <v>-2</v>
      </c>
      <c r="V203" s="42">
        <f t="shared" si="28"/>
        <v>6</v>
      </c>
    </row>
    <row r="204" spans="1:22" s="28" customFormat="1" ht="73.5" customHeight="1" x14ac:dyDescent="0.2">
      <c r="A204" s="30">
        <v>193</v>
      </c>
      <c r="B204" s="31" t="s">
        <v>299</v>
      </c>
      <c r="C204" s="32" t="s">
        <v>25</v>
      </c>
      <c r="D204" s="33">
        <v>10</v>
      </c>
      <c r="E204" s="35">
        <v>578.79999999999995</v>
      </c>
      <c r="F204" s="32" t="s">
        <v>294</v>
      </c>
      <c r="G204" s="37">
        <v>557.80999999999995</v>
      </c>
      <c r="H204" s="38">
        <f t="shared" si="30"/>
        <v>5578.0999999999995</v>
      </c>
      <c r="I204" s="32" t="s">
        <v>295</v>
      </c>
      <c r="J204" s="37">
        <v>560</v>
      </c>
      <c r="K204" s="38">
        <f t="shared" ref="K204:K267" si="31">D204*J204</f>
        <v>5600</v>
      </c>
      <c r="L204" s="38" t="s">
        <v>41</v>
      </c>
      <c r="M204" s="37">
        <v>620.64</v>
      </c>
      <c r="N204" s="38">
        <f t="shared" ref="N204:N267" si="32">D204*M204</f>
        <v>6206.4</v>
      </c>
      <c r="O204" s="39">
        <f t="shared" ref="O204:O267" si="33">AVERAGE(G204,J204,M204)</f>
        <v>579.48333333333323</v>
      </c>
      <c r="P204" s="40">
        <f t="shared" ref="P204:P267" si="34">E204*100/O204-100</f>
        <v>-0.1179211366447106</v>
      </c>
      <c r="Q204" s="39">
        <f t="shared" ref="Q204:Q267" si="35">D204*E204</f>
        <v>5788</v>
      </c>
      <c r="R204" s="41"/>
      <c r="T204" s="42">
        <f t="shared" ref="T204:T267" si="36">ROUND(G204*100/O204-100,0)</f>
        <v>-4</v>
      </c>
      <c r="U204" s="42">
        <f t="shared" ref="U204:U267" si="37">ROUND(J204*100/O204-100,0)</f>
        <v>-3</v>
      </c>
      <c r="V204" s="42">
        <f t="shared" ref="V204:V267" si="38">ROUND(M204*100/O204-100,0)</f>
        <v>7</v>
      </c>
    </row>
    <row r="205" spans="1:22" s="28" customFormat="1" ht="73.5" customHeight="1" x14ac:dyDescent="0.2">
      <c r="A205" s="30">
        <v>194</v>
      </c>
      <c r="B205" s="31" t="s">
        <v>300</v>
      </c>
      <c r="C205" s="32" t="s">
        <v>25</v>
      </c>
      <c r="D205" s="33">
        <v>46</v>
      </c>
      <c r="E205" s="35">
        <v>841.2</v>
      </c>
      <c r="F205" s="32" t="s">
        <v>294</v>
      </c>
      <c r="G205" s="37">
        <v>766.01</v>
      </c>
      <c r="H205" s="38">
        <f t="shared" si="30"/>
        <v>35236.46</v>
      </c>
      <c r="I205" s="32" t="s">
        <v>295</v>
      </c>
      <c r="J205" s="37">
        <v>840</v>
      </c>
      <c r="K205" s="38">
        <f t="shared" si="31"/>
        <v>38640</v>
      </c>
      <c r="L205" s="38" t="s">
        <v>41</v>
      </c>
      <c r="M205" s="37">
        <v>921.5</v>
      </c>
      <c r="N205" s="38">
        <f t="shared" si="32"/>
        <v>42389</v>
      </c>
      <c r="O205" s="39">
        <f t="shared" si="33"/>
        <v>842.50333333333344</v>
      </c>
      <c r="P205" s="40">
        <f t="shared" si="34"/>
        <v>-0.15469770643836966</v>
      </c>
      <c r="Q205" s="39">
        <f t="shared" si="35"/>
        <v>38695.200000000004</v>
      </c>
      <c r="R205" s="41"/>
      <c r="T205" s="42">
        <f t="shared" si="36"/>
        <v>-9</v>
      </c>
      <c r="U205" s="42">
        <f t="shared" si="37"/>
        <v>0</v>
      </c>
      <c r="V205" s="42">
        <f t="shared" si="38"/>
        <v>9</v>
      </c>
    </row>
    <row r="206" spans="1:22" s="28" customFormat="1" ht="73.5" customHeight="1" x14ac:dyDescent="0.2">
      <c r="A206" s="30">
        <v>195</v>
      </c>
      <c r="B206" s="31" t="s">
        <v>301</v>
      </c>
      <c r="C206" s="32" t="s">
        <v>25</v>
      </c>
      <c r="D206" s="33">
        <v>24</v>
      </c>
      <c r="E206" s="35">
        <v>1017.48</v>
      </c>
      <c r="F206" s="32" t="s">
        <v>294</v>
      </c>
      <c r="G206" s="37">
        <v>995.81</v>
      </c>
      <c r="H206" s="38">
        <f t="shared" si="30"/>
        <v>23899.439999999999</v>
      </c>
      <c r="I206" s="32" t="s">
        <v>295</v>
      </c>
      <c r="J206" s="37">
        <v>960</v>
      </c>
      <c r="K206" s="38">
        <f t="shared" si="31"/>
        <v>23040</v>
      </c>
      <c r="L206" s="38" t="s">
        <v>41</v>
      </c>
      <c r="M206" s="37">
        <v>1102.7</v>
      </c>
      <c r="N206" s="38">
        <f t="shared" si="32"/>
        <v>26464.800000000003</v>
      </c>
      <c r="O206" s="39">
        <f t="shared" si="33"/>
        <v>1019.5033333333334</v>
      </c>
      <c r="P206" s="40">
        <f t="shared" si="34"/>
        <v>-0.19846265011395303</v>
      </c>
      <c r="Q206" s="39">
        <f t="shared" si="35"/>
        <v>24419.52</v>
      </c>
      <c r="R206" s="41"/>
      <c r="T206" s="42">
        <f t="shared" si="36"/>
        <v>-2</v>
      </c>
      <c r="U206" s="42">
        <f t="shared" si="37"/>
        <v>-6</v>
      </c>
      <c r="V206" s="42">
        <f t="shared" si="38"/>
        <v>8</v>
      </c>
    </row>
    <row r="207" spans="1:22" s="28" customFormat="1" ht="73.5" customHeight="1" x14ac:dyDescent="0.2">
      <c r="A207" s="30">
        <v>196</v>
      </c>
      <c r="B207" s="31" t="s">
        <v>302</v>
      </c>
      <c r="C207" s="32" t="s">
        <v>25</v>
      </c>
      <c r="D207" s="33">
        <v>2</v>
      </c>
      <c r="E207" s="35">
        <v>1897.42</v>
      </c>
      <c r="F207" s="32" t="s">
        <v>294</v>
      </c>
      <c r="G207" s="37">
        <v>1850.62</v>
      </c>
      <c r="H207" s="38">
        <f t="shared" si="30"/>
        <v>3701.24</v>
      </c>
      <c r="I207" s="32" t="s">
        <v>295</v>
      </c>
      <c r="J207" s="37">
        <v>1890</v>
      </c>
      <c r="K207" s="38">
        <f t="shared" si="31"/>
        <v>3780</v>
      </c>
      <c r="L207" s="38" t="s">
        <v>41</v>
      </c>
      <c r="M207" s="37">
        <v>1954.93</v>
      </c>
      <c r="N207" s="38">
        <f t="shared" si="32"/>
        <v>3909.86</v>
      </c>
      <c r="O207" s="39">
        <f t="shared" si="33"/>
        <v>1898.5166666666667</v>
      </c>
      <c r="P207" s="40">
        <f t="shared" si="34"/>
        <v>-5.7764395010138969E-2</v>
      </c>
      <c r="Q207" s="39">
        <f t="shared" si="35"/>
        <v>3794.84</v>
      </c>
      <c r="R207" s="41"/>
      <c r="T207" s="42">
        <f t="shared" si="36"/>
        <v>-3</v>
      </c>
      <c r="U207" s="42">
        <f t="shared" si="37"/>
        <v>0</v>
      </c>
      <c r="V207" s="42">
        <f t="shared" si="38"/>
        <v>3</v>
      </c>
    </row>
    <row r="208" spans="1:22" s="28" customFormat="1" ht="73.5" customHeight="1" x14ac:dyDescent="0.2">
      <c r="A208" s="30">
        <v>197</v>
      </c>
      <c r="B208" s="31" t="s">
        <v>303</v>
      </c>
      <c r="C208" s="32" t="s">
        <v>25</v>
      </c>
      <c r="D208" s="33">
        <v>26</v>
      </c>
      <c r="E208" s="35">
        <v>2441.2399999999998</v>
      </c>
      <c r="F208" s="32" t="s">
        <v>294</v>
      </c>
      <c r="G208" s="37">
        <v>2411.34</v>
      </c>
      <c r="H208" s="38">
        <f t="shared" si="30"/>
        <v>62694.840000000004</v>
      </c>
      <c r="I208" s="32" t="s">
        <v>295</v>
      </c>
      <c r="J208" s="37">
        <v>2400</v>
      </c>
      <c r="K208" s="38">
        <f t="shared" si="31"/>
        <v>62400</v>
      </c>
      <c r="L208" s="38" t="s">
        <v>41</v>
      </c>
      <c r="M208" s="37">
        <v>2515.5</v>
      </c>
      <c r="N208" s="38">
        <f t="shared" si="32"/>
        <v>65403</v>
      </c>
      <c r="O208" s="39">
        <f t="shared" si="33"/>
        <v>2442.2800000000002</v>
      </c>
      <c r="P208" s="40">
        <f t="shared" si="34"/>
        <v>-4.2583159998059728E-2</v>
      </c>
      <c r="Q208" s="39">
        <f t="shared" si="35"/>
        <v>63472.239999999991</v>
      </c>
      <c r="R208" s="41"/>
      <c r="T208" s="42">
        <f t="shared" si="36"/>
        <v>-1</v>
      </c>
      <c r="U208" s="42">
        <f t="shared" si="37"/>
        <v>-2</v>
      </c>
      <c r="V208" s="42">
        <f t="shared" si="38"/>
        <v>3</v>
      </c>
    </row>
    <row r="209" spans="1:22" s="28" customFormat="1" ht="73.5" customHeight="1" x14ac:dyDescent="0.2">
      <c r="A209" s="30">
        <v>198</v>
      </c>
      <c r="B209" s="31" t="s">
        <v>304</v>
      </c>
      <c r="C209" s="32" t="s">
        <v>25</v>
      </c>
      <c r="D209" s="33">
        <v>24</v>
      </c>
      <c r="E209" s="35">
        <v>3222.7</v>
      </c>
      <c r="F209" s="32" t="s">
        <v>294</v>
      </c>
      <c r="G209" s="37">
        <v>3132.1</v>
      </c>
      <c r="H209" s="38">
        <f t="shared" si="30"/>
        <v>75170.399999999994</v>
      </c>
      <c r="I209" s="32" t="s">
        <v>295</v>
      </c>
      <c r="J209" s="37">
        <v>3200</v>
      </c>
      <c r="K209" s="38">
        <f t="shared" si="31"/>
        <v>76800</v>
      </c>
      <c r="L209" s="38" t="s">
        <v>41</v>
      </c>
      <c r="M209" s="37">
        <v>3340.7</v>
      </c>
      <c r="N209" s="38">
        <f t="shared" si="32"/>
        <v>80176.799999999988</v>
      </c>
      <c r="O209" s="39">
        <f t="shared" si="33"/>
        <v>3224.2666666666664</v>
      </c>
      <c r="P209" s="40">
        <f t="shared" si="34"/>
        <v>-4.8589860226613268E-2</v>
      </c>
      <c r="Q209" s="39">
        <f t="shared" si="35"/>
        <v>77344.799999999988</v>
      </c>
      <c r="R209" s="41"/>
      <c r="T209" s="42">
        <f t="shared" si="36"/>
        <v>-3</v>
      </c>
      <c r="U209" s="42">
        <f t="shared" si="37"/>
        <v>-1</v>
      </c>
      <c r="V209" s="42">
        <f t="shared" si="38"/>
        <v>4</v>
      </c>
    </row>
    <row r="210" spans="1:22" s="28" customFormat="1" ht="73.5" customHeight="1" x14ac:dyDescent="0.2">
      <c r="A210" s="30">
        <v>199</v>
      </c>
      <c r="B210" s="31" t="s">
        <v>305</v>
      </c>
      <c r="C210" s="32" t="s">
        <v>25</v>
      </c>
      <c r="D210" s="33">
        <v>2</v>
      </c>
      <c r="E210" s="35">
        <v>5075.3</v>
      </c>
      <c r="F210" s="32" t="s">
        <v>294</v>
      </c>
      <c r="G210" s="37">
        <v>5058.01</v>
      </c>
      <c r="H210" s="38">
        <f t="shared" si="30"/>
        <v>10116.02</v>
      </c>
      <c r="I210" s="32" t="s">
        <v>295</v>
      </c>
      <c r="J210" s="37">
        <v>5070</v>
      </c>
      <c r="K210" s="38">
        <f t="shared" si="31"/>
        <v>10140</v>
      </c>
      <c r="L210" s="38" t="s">
        <v>41</v>
      </c>
      <c r="M210" s="37">
        <v>5108.7700000000004</v>
      </c>
      <c r="N210" s="38">
        <f t="shared" si="32"/>
        <v>10217.540000000001</v>
      </c>
      <c r="O210" s="39">
        <f t="shared" si="33"/>
        <v>5078.9266666666672</v>
      </c>
      <c r="P210" s="40">
        <f t="shared" si="34"/>
        <v>-7.1406163244475351E-2</v>
      </c>
      <c r="Q210" s="39">
        <f t="shared" si="35"/>
        <v>10150.6</v>
      </c>
      <c r="R210" s="41"/>
      <c r="T210" s="42">
        <f t="shared" si="36"/>
        <v>0</v>
      </c>
      <c r="U210" s="42">
        <f t="shared" si="37"/>
        <v>0</v>
      </c>
      <c r="V210" s="42">
        <f t="shared" si="38"/>
        <v>1</v>
      </c>
    </row>
    <row r="211" spans="1:22" s="28" customFormat="1" ht="73.5" customHeight="1" x14ac:dyDescent="0.2">
      <c r="A211" s="30">
        <v>200</v>
      </c>
      <c r="B211" s="31" t="s">
        <v>461</v>
      </c>
      <c r="C211" s="32" t="s">
        <v>25</v>
      </c>
      <c r="D211" s="33" t="s">
        <v>462</v>
      </c>
      <c r="E211" s="35">
        <v>6988</v>
      </c>
      <c r="F211" s="32" t="s">
        <v>482</v>
      </c>
      <c r="G211" s="37">
        <v>6827.65</v>
      </c>
      <c r="H211" s="38">
        <f t="shared" si="30"/>
        <v>13655.3</v>
      </c>
      <c r="I211" s="32" t="s">
        <v>483</v>
      </c>
      <c r="J211" s="37">
        <v>7133.28</v>
      </c>
      <c r="K211" s="38">
        <f t="shared" si="31"/>
        <v>14266.56</v>
      </c>
      <c r="L211" s="38" t="s">
        <v>484</v>
      </c>
      <c r="M211" s="37">
        <f>8403.76/1.2</f>
        <v>7003.1333333333341</v>
      </c>
      <c r="N211" s="38">
        <f t="shared" si="32"/>
        <v>14006.266666666668</v>
      </c>
      <c r="O211" s="39">
        <f t="shared" si="33"/>
        <v>6988.0211111111121</v>
      </c>
      <c r="P211" s="40">
        <f t="shared" si="34"/>
        <v>-3.0210428354848773E-4</v>
      </c>
      <c r="Q211" s="39">
        <f t="shared" si="35"/>
        <v>13976</v>
      </c>
      <c r="R211" s="32" t="s">
        <v>485</v>
      </c>
      <c r="T211" s="42">
        <f t="shared" si="36"/>
        <v>-2</v>
      </c>
      <c r="U211" s="42">
        <f t="shared" si="37"/>
        <v>2</v>
      </c>
      <c r="V211" s="42">
        <f t="shared" si="38"/>
        <v>0</v>
      </c>
    </row>
    <row r="212" spans="1:22" s="28" customFormat="1" ht="73.5" customHeight="1" x14ac:dyDescent="0.2">
      <c r="A212" s="30">
        <v>201</v>
      </c>
      <c r="B212" s="31" t="s">
        <v>464</v>
      </c>
      <c r="C212" s="32" t="s">
        <v>25</v>
      </c>
      <c r="D212" s="33" t="s">
        <v>465</v>
      </c>
      <c r="E212" s="35">
        <v>20175.78</v>
      </c>
      <c r="F212" s="32" t="s">
        <v>482</v>
      </c>
      <c r="G212" s="37">
        <v>19683.77</v>
      </c>
      <c r="H212" s="38">
        <f t="shared" si="30"/>
        <v>78735.08</v>
      </c>
      <c r="I212" s="32" t="s">
        <v>483</v>
      </c>
      <c r="J212" s="37">
        <v>20795.03</v>
      </c>
      <c r="K212" s="38">
        <f t="shared" si="31"/>
        <v>83180.12</v>
      </c>
      <c r="L212" s="38" t="s">
        <v>484</v>
      </c>
      <c r="M212" s="37">
        <f>24058.31/1.2</f>
        <v>20048.591666666667</v>
      </c>
      <c r="N212" s="38">
        <f t="shared" si="32"/>
        <v>80194.366666666669</v>
      </c>
      <c r="O212" s="39">
        <f t="shared" si="33"/>
        <v>20175.797222222223</v>
      </c>
      <c r="P212" s="40">
        <f t="shared" si="34"/>
        <v>-8.5360801520550922E-5</v>
      </c>
      <c r="Q212" s="39">
        <f t="shared" si="35"/>
        <v>80703.12</v>
      </c>
      <c r="R212" s="32" t="s">
        <v>485</v>
      </c>
      <c r="T212" s="42">
        <f t="shared" si="36"/>
        <v>-2</v>
      </c>
      <c r="U212" s="42">
        <f t="shared" si="37"/>
        <v>3</v>
      </c>
      <c r="V212" s="42">
        <f t="shared" si="38"/>
        <v>-1</v>
      </c>
    </row>
    <row r="213" spans="1:22" s="28" customFormat="1" ht="73.5" customHeight="1" x14ac:dyDescent="0.2">
      <c r="A213" s="30">
        <v>202</v>
      </c>
      <c r="B213" s="31" t="s">
        <v>306</v>
      </c>
      <c r="C213" s="32" t="s">
        <v>25</v>
      </c>
      <c r="D213" s="33" t="s">
        <v>307</v>
      </c>
      <c r="E213" s="35">
        <v>19950.740000000002</v>
      </c>
      <c r="F213" s="32" t="s">
        <v>294</v>
      </c>
      <c r="G213" s="37">
        <v>19822.95</v>
      </c>
      <c r="H213" s="38">
        <f t="shared" si="30"/>
        <v>892032.75</v>
      </c>
      <c r="I213" s="32" t="s">
        <v>295</v>
      </c>
      <c r="J213" s="37">
        <v>19903</v>
      </c>
      <c r="K213" s="38">
        <f t="shared" si="31"/>
        <v>895635</v>
      </c>
      <c r="L213" s="38" t="s">
        <v>41</v>
      </c>
      <c r="M213" s="37">
        <v>20154.88</v>
      </c>
      <c r="N213" s="38">
        <f t="shared" si="32"/>
        <v>906969.60000000009</v>
      </c>
      <c r="O213" s="39">
        <f t="shared" si="33"/>
        <v>19960.276666666668</v>
      </c>
      <c r="P213" s="40">
        <f t="shared" si="34"/>
        <v>-4.7778228858888383E-2</v>
      </c>
      <c r="Q213" s="39">
        <f t="shared" si="35"/>
        <v>897783.3</v>
      </c>
      <c r="R213" s="64"/>
      <c r="T213" s="42">
        <f t="shared" si="36"/>
        <v>-1</v>
      </c>
      <c r="U213" s="42">
        <f t="shared" si="37"/>
        <v>0</v>
      </c>
      <c r="V213" s="42">
        <f t="shared" si="38"/>
        <v>1</v>
      </c>
    </row>
    <row r="214" spans="1:22" s="28" customFormat="1" ht="73.5" customHeight="1" x14ac:dyDescent="0.2">
      <c r="A214" s="30">
        <v>203</v>
      </c>
      <c r="B214" s="31" t="s">
        <v>308</v>
      </c>
      <c r="C214" s="32" t="s">
        <v>25</v>
      </c>
      <c r="D214" s="33">
        <v>4</v>
      </c>
      <c r="E214" s="35">
        <v>301.5</v>
      </c>
      <c r="F214" s="32" t="s">
        <v>294</v>
      </c>
      <c r="G214" s="37">
        <v>299.49</v>
      </c>
      <c r="H214" s="38">
        <f t="shared" si="30"/>
        <v>1197.96</v>
      </c>
      <c r="I214" s="32" t="s">
        <v>295</v>
      </c>
      <c r="J214" s="37">
        <v>295</v>
      </c>
      <c r="K214" s="38">
        <f t="shared" si="31"/>
        <v>1180</v>
      </c>
      <c r="L214" s="38" t="s">
        <v>41</v>
      </c>
      <c r="M214" s="37">
        <v>320.14</v>
      </c>
      <c r="N214" s="38">
        <f t="shared" si="32"/>
        <v>1280.56</v>
      </c>
      <c r="O214" s="39">
        <f t="shared" si="33"/>
        <v>304.87666666666667</v>
      </c>
      <c r="P214" s="40">
        <f t="shared" si="34"/>
        <v>-1.1075516875676499</v>
      </c>
      <c r="Q214" s="39">
        <f t="shared" si="35"/>
        <v>1206</v>
      </c>
      <c r="R214" s="41"/>
      <c r="T214" s="42">
        <f t="shared" si="36"/>
        <v>-2</v>
      </c>
      <c r="U214" s="42">
        <f t="shared" si="37"/>
        <v>-3</v>
      </c>
      <c r="V214" s="42">
        <f t="shared" si="38"/>
        <v>5</v>
      </c>
    </row>
    <row r="215" spans="1:22" s="28" customFormat="1" ht="73.5" customHeight="1" x14ac:dyDescent="0.2">
      <c r="A215" s="30">
        <v>204</v>
      </c>
      <c r="B215" s="31" t="s">
        <v>309</v>
      </c>
      <c r="C215" s="32" t="s">
        <v>25</v>
      </c>
      <c r="D215" s="33">
        <v>1</v>
      </c>
      <c r="E215" s="35">
        <v>21351</v>
      </c>
      <c r="F215" s="32" t="s">
        <v>294</v>
      </c>
      <c r="G215" s="37">
        <v>21316.78</v>
      </c>
      <c r="H215" s="38">
        <f t="shared" si="30"/>
        <v>21316.78</v>
      </c>
      <c r="I215" s="32" t="s">
        <v>295</v>
      </c>
      <c r="J215" s="37">
        <v>21291</v>
      </c>
      <c r="K215" s="38">
        <f t="shared" si="31"/>
        <v>21291</v>
      </c>
      <c r="L215" s="38" t="s">
        <v>41</v>
      </c>
      <c r="M215" s="37">
        <v>21455</v>
      </c>
      <c r="N215" s="38">
        <f t="shared" si="32"/>
        <v>21455</v>
      </c>
      <c r="O215" s="39">
        <f t="shared" si="33"/>
        <v>21354.26</v>
      </c>
      <c r="P215" s="40">
        <f t="shared" si="34"/>
        <v>-1.5266274738621632E-2</v>
      </c>
      <c r="Q215" s="39">
        <f t="shared" si="35"/>
        <v>21351</v>
      </c>
      <c r="R215" s="41"/>
      <c r="T215" s="42">
        <f t="shared" si="36"/>
        <v>0</v>
      </c>
      <c r="U215" s="42">
        <f t="shared" si="37"/>
        <v>0</v>
      </c>
      <c r="V215" s="42">
        <f t="shared" si="38"/>
        <v>0</v>
      </c>
    </row>
    <row r="216" spans="1:22" s="28" customFormat="1" ht="73.5" customHeight="1" x14ac:dyDescent="0.2">
      <c r="A216" s="30">
        <v>205</v>
      </c>
      <c r="B216" s="31" t="s">
        <v>310</v>
      </c>
      <c r="C216" s="32" t="s">
        <v>81</v>
      </c>
      <c r="D216" s="33">
        <v>4724</v>
      </c>
      <c r="E216" s="35">
        <v>83.4</v>
      </c>
      <c r="F216" s="32" t="s">
        <v>90</v>
      </c>
      <c r="G216" s="37">
        <f>102.29/1.2</f>
        <v>85.241666666666674</v>
      </c>
      <c r="H216" s="38">
        <f t="shared" si="30"/>
        <v>402681.63333333336</v>
      </c>
      <c r="I216" s="32" t="s">
        <v>46</v>
      </c>
      <c r="J216" s="37">
        <v>83.77</v>
      </c>
      <c r="K216" s="38">
        <f t="shared" si="31"/>
        <v>395729.48</v>
      </c>
      <c r="L216" s="32" t="s">
        <v>58</v>
      </c>
      <c r="M216" s="37">
        <v>81.69</v>
      </c>
      <c r="N216" s="38">
        <f t="shared" si="32"/>
        <v>385903.56</v>
      </c>
      <c r="O216" s="39">
        <f t="shared" si="33"/>
        <v>83.567222222222213</v>
      </c>
      <c r="P216" s="40">
        <f t="shared" si="34"/>
        <v>-0.20010503852519435</v>
      </c>
      <c r="Q216" s="39">
        <f t="shared" si="35"/>
        <v>393981.60000000003</v>
      </c>
      <c r="R216" s="41"/>
      <c r="T216" s="42">
        <f t="shared" si="36"/>
        <v>2</v>
      </c>
      <c r="U216" s="42">
        <f t="shared" si="37"/>
        <v>0</v>
      </c>
      <c r="V216" s="42">
        <f t="shared" si="38"/>
        <v>-2</v>
      </c>
    </row>
    <row r="217" spans="1:22" s="28" customFormat="1" ht="73.5" customHeight="1" x14ac:dyDescent="0.2">
      <c r="A217" s="30">
        <v>206</v>
      </c>
      <c r="B217" s="31" t="s">
        <v>311</v>
      </c>
      <c r="C217" s="32" t="s">
        <v>25</v>
      </c>
      <c r="D217" s="33">
        <v>1</v>
      </c>
      <c r="E217" s="35">
        <v>323.39999999999998</v>
      </c>
      <c r="F217" s="32" t="s">
        <v>27</v>
      </c>
      <c r="G217" s="37">
        <f>356.57/1.2</f>
        <v>297.14166666666665</v>
      </c>
      <c r="H217" s="38">
        <f t="shared" si="30"/>
        <v>297.14166666666665</v>
      </c>
      <c r="I217" s="38" t="s">
        <v>28</v>
      </c>
      <c r="J217" s="37">
        <v>316.27999999999997</v>
      </c>
      <c r="K217" s="38">
        <f t="shared" si="31"/>
        <v>316.27999999999997</v>
      </c>
      <c r="L217" s="33" t="s">
        <v>29</v>
      </c>
      <c r="M217" s="37">
        <v>361.87</v>
      </c>
      <c r="N217" s="38">
        <f t="shared" si="32"/>
        <v>361.87</v>
      </c>
      <c r="O217" s="39">
        <f t="shared" si="33"/>
        <v>325.09722222222223</v>
      </c>
      <c r="P217" s="40">
        <f t="shared" si="34"/>
        <v>-0.52206604861794403</v>
      </c>
      <c r="Q217" s="39">
        <f t="shared" si="35"/>
        <v>323.39999999999998</v>
      </c>
      <c r="R217" s="41"/>
      <c r="T217" s="42">
        <f t="shared" si="36"/>
        <v>-9</v>
      </c>
      <c r="U217" s="42">
        <f t="shared" si="37"/>
        <v>-3</v>
      </c>
      <c r="V217" s="42">
        <f t="shared" si="38"/>
        <v>11</v>
      </c>
    </row>
    <row r="218" spans="1:22" s="28" customFormat="1" ht="73.5" customHeight="1" x14ac:dyDescent="0.2">
      <c r="A218" s="30">
        <v>207</v>
      </c>
      <c r="B218" s="31" t="s">
        <v>312</v>
      </c>
      <c r="C218" s="32" t="s">
        <v>25</v>
      </c>
      <c r="D218" s="33">
        <v>8</v>
      </c>
      <c r="E218" s="35">
        <v>144835.70000000001</v>
      </c>
      <c r="F218" s="32" t="s">
        <v>27</v>
      </c>
      <c r="G218" s="37">
        <f>168045.6/1.2</f>
        <v>140038</v>
      </c>
      <c r="H218" s="38">
        <f t="shared" si="30"/>
        <v>1120304</v>
      </c>
      <c r="I218" s="38" t="s">
        <v>28</v>
      </c>
      <c r="J218" s="37">
        <v>149082</v>
      </c>
      <c r="K218" s="38">
        <f t="shared" si="31"/>
        <v>1192656</v>
      </c>
      <c r="L218" s="33" t="s">
        <v>29</v>
      </c>
      <c r="M218" s="37">
        <v>145394</v>
      </c>
      <c r="N218" s="38">
        <f t="shared" si="32"/>
        <v>1163152</v>
      </c>
      <c r="O218" s="39">
        <f t="shared" si="33"/>
        <v>144838</v>
      </c>
      <c r="P218" s="40">
        <f t="shared" si="34"/>
        <v>-1.587981054683496E-3</v>
      </c>
      <c r="Q218" s="39">
        <f t="shared" si="35"/>
        <v>1158685.6000000001</v>
      </c>
      <c r="R218" s="41"/>
      <c r="T218" s="42">
        <f t="shared" si="36"/>
        <v>-3</v>
      </c>
      <c r="U218" s="42">
        <f t="shared" si="37"/>
        <v>3</v>
      </c>
      <c r="V218" s="42">
        <f t="shared" si="38"/>
        <v>0</v>
      </c>
    </row>
    <row r="219" spans="1:22" s="28" customFormat="1" ht="73.5" customHeight="1" x14ac:dyDescent="0.2">
      <c r="A219" s="30">
        <v>208</v>
      </c>
      <c r="B219" s="31" t="s">
        <v>313</v>
      </c>
      <c r="C219" s="32" t="s">
        <v>25</v>
      </c>
      <c r="D219" s="33">
        <v>3</v>
      </c>
      <c r="E219" s="35">
        <v>3621.37</v>
      </c>
      <c r="F219" s="32" t="s">
        <v>27</v>
      </c>
      <c r="G219" s="37">
        <f>4262.14/1.2</f>
        <v>3551.7833333333338</v>
      </c>
      <c r="H219" s="38">
        <f t="shared" si="30"/>
        <v>10655.350000000002</v>
      </c>
      <c r="I219" s="38" t="s">
        <v>28</v>
      </c>
      <c r="J219" s="37">
        <v>3458.37</v>
      </c>
      <c r="K219" s="38">
        <f t="shared" si="31"/>
        <v>10375.11</v>
      </c>
      <c r="L219" s="33" t="s">
        <v>29</v>
      </c>
      <c r="M219" s="37">
        <v>3907.54</v>
      </c>
      <c r="N219" s="38">
        <f t="shared" si="32"/>
        <v>11722.619999999999</v>
      </c>
      <c r="O219" s="39">
        <f t="shared" si="33"/>
        <v>3639.2311111111107</v>
      </c>
      <c r="P219" s="40">
        <f t="shared" si="34"/>
        <v>-0.49079353758484956</v>
      </c>
      <c r="Q219" s="39">
        <f t="shared" si="35"/>
        <v>10864.11</v>
      </c>
      <c r="R219" s="41"/>
      <c r="T219" s="42">
        <f t="shared" si="36"/>
        <v>-2</v>
      </c>
      <c r="U219" s="42">
        <f t="shared" si="37"/>
        <v>-5</v>
      </c>
      <c r="V219" s="42">
        <f t="shared" si="38"/>
        <v>7</v>
      </c>
    </row>
    <row r="220" spans="1:22" s="28" customFormat="1" ht="73.5" customHeight="1" x14ac:dyDescent="0.2">
      <c r="A220" s="30">
        <v>209</v>
      </c>
      <c r="B220" s="31" t="s">
        <v>314</v>
      </c>
      <c r="C220" s="32" t="s">
        <v>25</v>
      </c>
      <c r="D220" s="33">
        <v>4</v>
      </c>
      <c r="E220" s="35">
        <v>5811.74</v>
      </c>
      <c r="F220" s="32" t="s">
        <v>27</v>
      </c>
      <c r="G220" s="37">
        <f>6938.81/1.2</f>
        <v>5782.3416666666672</v>
      </c>
      <c r="H220" s="38">
        <f t="shared" si="30"/>
        <v>23129.366666666669</v>
      </c>
      <c r="I220" s="38" t="s">
        <v>28</v>
      </c>
      <c r="J220" s="37">
        <v>5911.04</v>
      </c>
      <c r="K220" s="38">
        <f t="shared" si="31"/>
        <v>23644.16</v>
      </c>
      <c r="L220" s="33" t="s">
        <v>29</v>
      </c>
      <c r="M220" s="37">
        <v>5752.26</v>
      </c>
      <c r="N220" s="38">
        <f t="shared" si="32"/>
        <v>23009.040000000001</v>
      </c>
      <c r="O220" s="39">
        <f t="shared" si="33"/>
        <v>5815.2138888888903</v>
      </c>
      <c r="P220" s="40">
        <f t="shared" si="34"/>
        <v>-5.9737938367632637E-2</v>
      </c>
      <c r="Q220" s="39">
        <f t="shared" si="35"/>
        <v>23246.959999999999</v>
      </c>
      <c r="R220" s="41"/>
      <c r="T220" s="42">
        <f t="shared" si="36"/>
        <v>-1</v>
      </c>
      <c r="U220" s="42">
        <f t="shared" si="37"/>
        <v>2</v>
      </c>
      <c r="V220" s="42">
        <f t="shared" si="38"/>
        <v>-1</v>
      </c>
    </row>
    <row r="221" spans="1:22" s="28" customFormat="1" ht="73.5" customHeight="1" x14ac:dyDescent="0.2">
      <c r="A221" s="30">
        <v>210</v>
      </c>
      <c r="B221" s="31" t="s">
        <v>315</v>
      </c>
      <c r="C221" s="32" t="s">
        <v>25</v>
      </c>
      <c r="D221" s="33">
        <v>6</v>
      </c>
      <c r="E221" s="35">
        <v>292.47000000000003</v>
      </c>
      <c r="F221" s="32" t="s">
        <v>27</v>
      </c>
      <c r="G221" s="37">
        <f>349.09/1.2</f>
        <v>290.9083333333333</v>
      </c>
      <c r="H221" s="38">
        <f t="shared" si="30"/>
        <v>1745.4499999999998</v>
      </c>
      <c r="I221" s="38" t="s">
        <v>28</v>
      </c>
      <c r="J221" s="37">
        <v>286.52</v>
      </c>
      <c r="K221" s="38">
        <f t="shared" si="31"/>
        <v>1719.12</v>
      </c>
      <c r="L221" s="33" t="s">
        <v>29</v>
      </c>
      <c r="M221" s="37">
        <v>309.87</v>
      </c>
      <c r="N221" s="38">
        <f t="shared" si="32"/>
        <v>1859.22</v>
      </c>
      <c r="O221" s="39">
        <f t="shared" si="33"/>
        <v>295.76611111111112</v>
      </c>
      <c r="P221" s="40">
        <f t="shared" si="34"/>
        <v>-1.1144316361088471</v>
      </c>
      <c r="Q221" s="39">
        <f t="shared" si="35"/>
        <v>1754.8200000000002</v>
      </c>
      <c r="R221" s="41"/>
      <c r="T221" s="42">
        <f t="shared" si="36"/>
        <v>-2</v>
      </c>
      <c r="U221" s="42">
        <f t="shared" si="37"/>
        <v>-3</v>
      </c>
      <c r="V221" s="42">
        <f t="shared" si="38"/>
        <v>5</v>
      </c>
    </row>
    <row r="222" spans="1:22" s="28" customFormat="1" ht="73.5" customHeight="1" x14ac:dyDescent="0.2">
      <c r="A222" s="30">
        <v>211</v>
      </c>
      <c r="B222" s="31" t="s">
        <v>316</v>
      </c>
      <c r="C222" s="32" t="s">
        <v>25</v>
      </c>
      <c r="D222" s="33">
        <v>11</v>
      </c>
      <c r="E222" s="35">
        <v>563.94000000000005</v>
      </c>
      <c r="F222" s="32" t="s">
        <v>27</v>
      </c>
      <c r="G222" s="37">
        <f>640.39/1.2</f>
        <v>533.6583333333333</v>
      </c>
      <c r="H222" s="38">
        <f t="shared" si="30"/>
        <v>5870.2416666666668</v>
      </c>
      <c r="I222" s="38" t="s">
        <v>28</v>
      </c>
      <c r="J222" s="37">
        <v>573.66</v>
      </c>
      <c r="K222" s="38">
        <f t="shared" si="31"/>
        <v>6310.2599999999993</v>
      </c>
      <c r="L222" s="33" t="s">
        <v>29</v>
      </c>
      <c r="M222" s="37">
        <v>599.20000000000005</v>
      </c>
      <c r="N222" s="38">
        <f t="shared" si="32"/>
        <v>6591.2000000000007</v>
      </c>
      <c r="O222" s="39">
        <f t="shared" si="33"/>
        <v>568.83944444444444</v>
      </c>
      <c r="P222" s="40">
        <f t="shared" si="34"/>
        <v>-0.86130532829511708</v>
      </c>
      <c r="Q222" s="39">
        <f t="shared" si="35"/>
        <v>6203.34</v>
      </c>
      <c r="R222" s="41"/>
      <c r="T222" s="42">
        <f t="shared" si="36"/>
        <v>-6</v>
      </c>
      <c r="U222" s="42">
        <f t="shared" si="37"/>
        <v>1</v>
      </c>
      <c r="V222" s="42">
        <f t="shared" si="38"/>
        <v>5</v>
      </c>
    </row>
    <row r="223" spans="1:22" s="28" customFormat="1" ht="73.5" customHeight="1" x14ac:dyDescent="0.2">
      <c r="A223" s="30">
        <v>212</v>
      </c>
      <c r="B223" s="31" t="s">
        <v>317</v>
      </c>
      <c r="C223" s="32" t="s">
        <v>25</v>
      </c>
      <c r="D223" s="33">
        <v>13</v>
      </c>
      <c r="E223" s="35">
        <v>1331.15</v>
      </c>
      <c r="F223" s="32" t="s">
        <v>27</v>
      </c>
      <c r="G223" s="37">
        <f>1491.91/1.2</f>
        <v>1243.2583333333334</v>
      </c>
      <c r="H223" s="38">
        <f t="shared" si="30"/>
        <v>16162.358333333335</v>
      </c>
      <c r="I223" s="38" t="s">
        <v>28</v>
      </c>
      <c r="J223" s="37">
        <v>1408.92</v>
      </c>
      <c r="K223" s="38">
        <f t="shared" si="31"/>
        <v>18315.96</v>
      </c>
      <c r="L223" s="33" t="s">
        <v>29</v>
      </c>
      <c r="M223" s="37">
        <v>1348.02</v>
      </c>
      <c r="N223" s="38">
        <f t="shared" si="32"/>
        <v>17524.259999999998</v>
      </c>
      <c r="O223" s="39">
        <f t="shared" si="33"/>
        <v>1333.3994444444445</v>
      </c>
      <c r="P223" s="40">
        <f t="shared" si="34"/>
        <v>-0.16869996862655512</v>
      </c>
      <c r="Q223" s="39">
        <f t="shared" si="35"/>
        <v>17304.95</v>
      </c>
      <c r="R223" s="41"/>
      <c r="T223" s="42">
        <f t="shared" si="36"/>
        <v>-7</v>
      </c>
      <c r="U223" s="42">
        <f t="shared" si="37"/>
        <v>6</v>
      </c>
      <c r="V223" s="42">
        <f t="shared" si="38"/>
        <v>1</v>
      </c>
    </row>
    <row r="224" spans="1:22" s="28" customFormat="1" ht="73.5" customHeight="1" x14ac:dyDescent="0.2">
      <c r="A224" s="30">
        <v>213</v>
      </c>
      <c r="B224" s="31" t="s">
        <v>318</v>
      </c>
      <c r="C224" s="32" t="s">
        <v>147</v>
      </c>
      <c r="D224" s="33" t="s">
        <v>319</v>
      </c>
      <c r="E224" s="35">
        <v>104.48</v>
      </c>
      <c r="F224" s="32" t="s">
        <v>148</v>
      </c>
      <c r="G224" s="37">
        <f>118.23/1.2</f>
        <v>98.525000000000006</v>
      </c>
      <c r="H224" s="38">
        <f t="shared" si="30"/>
        <v>24631.25</v>
      </c>
      <c r="I224" s="32" t="s">
        <v>67</v>
      </c>
      <c r="J224" s="37">
        <f>123.29/1.2</f>
        <v>102.74166666666667</v>
      </c>
      <c r="K224" s="38">
        <f t="shared" si="31"/>
        <v>25685.416666666668</v>
      </c>
      <c r="L224" s="32" t="s">
        <v>149</v>
      </c>
      <c r="M224" s="37">
        <f>138.44/1.2</f>
        <v>115.36666666666667</v>
      </c>
      <c r="N224" s="38">
        <f t="shared" si="32"/>
        <v>28841.666666666668</v>
      </c>
      <c r="O224" s="39">
        <f t="shared" si="33"/>
        <v>105.54444444444444</v>
      </c>
      <c r="P224" s="40">
        <f t="shared" si="34"/>
        <v>-1.0085272133908774</v>
      </c>
      <c r="Q224" s="39">
        <f t="shared" si="35"/>
        <v>26120</v>
      </c>
      <c r="R224" s="41"/>
      <c r="T224" s="42">
        <f t="shared" si="36"/>
        <v>-7</v>
      </c>
      <c r="U224" s="42">
        <f t="shared" si="37"/>
        <v>-3</v>
      </c>
      <c r="V224" s="42">
        <f t="shared" si="38"/>
        <v>9</v>
      </c>
    </row>
    <row r="225" spans="1:22" s="28" customFormat="1" ht="73.5" customHeight="1" x14ac:dyDescent="0.2">
      <c r="A225" s="30">
        <v>214</v>
      </c>
      <c r="B225" s="31" t="s">
        <v>320</v>
      </c>
      <c r="C225" s="32" t="s">
        <v>25</v>
      </c>
      <c r="D225" s="33">
        <v>10</v>
      </c>
      <c r="E225" s="35">
        <v>796.51</v>
      </c>
      <c r="F225" s="32" t="s">
        <v>56</v>
      </c>
      <c r="G225" s="37">
        <v>830.5</v>
      </c>
      <c r="H225" s="38">
        <f t="shared" si="30"/>
        <v>8305</v>
      </c>
      <c r="I225" s="32" t="s">
        <v>57</v>
      </c>
      <c r="J225" s="37">
        <v>755.31</v>
      </c>
      <c r="K225" s="38">
        <f t="shared" si="31"/>
        <v>7553.0999999999995</v>
      </c>
      <c r="L225" s="32" t="s">
        <v>58</v>
      </c>
      <c r="M225" s="37">
        <v>810.41</v>
      </c>
      <c r="N225" s="38">
        <f t="shared" si="32"/>
        <v>8104.0999999999995</v>
      </c>
      <c r="O225" s="39">
        <f t="shared" si="33"/>
        <v>798.7399999999999</v>
      </c>
      <c r="P225" s="40">
        <f t="shared" si="34"/>
        <v>-0.2791897238149943</v>
      </c>
      <c r="Q225" s="39">
        <f t="shared" si="35"/>
        <v>7965.1</v>
      </c>
      <c r="R225" s="41"/>
      <c r="T225" s="42">
        <f t="shared" si="36"/>
        <v>4</v>
      </c>
      <c r="U225" s="42">
        <f t="shared" si="37"/>
        <v>-5</v>
      </c>
      <c r="V225" s="42">
        <f t="shared" si="38"/>
        <v>1</v>
      </c>
    </row>
    <row r="226" spans="1:22" s="28" customFormat="1" ht="73.5" customHeight="1" x14ac:dyDescent="0.2">
      <c r="A226" s="30">
        <v>215</v>
      </c>
      <c r="B226" s="31" t="s">
        <v>321</v>
      </c>
      <c r="C226" s="32" t="s">
        <v>25</v>
      </c>
      <c r="D226" s="33">
        <v>3</v>
      </c>
      <c r="E226" s="55">
        <v>5485.34</v>
      </c>
      <c r="F226" s="32" t="s">
        <v>27</v>
      </c>
      <c r="G226" s="37">
        <f>6274.38/1.2</f>
        <v>5228.6500000000005</v>
      </c>
      <c r="H226" s="38">
        <f t="shared" si="30"/>
        <v>15685.95</v>
      </c>
      <c r="I226" s="38" t="s">
        <v>28</v>
      </c>
      <c r="J226" s="37">
        <v>5500.4</v>
      </c>
      <c r="K226" s="38">
        <f t="shared" si="31"/>
        <v>16501.199999999997</v>
      </c>
      <c r="L226" s="33" t="s">
        <v>29</v>
      </c>
      <c r="M226" s="37">
        <v>5740.12</v>
      </c>
      <c r="N226" s="38">
        <f t="shared" si="32"/>
        <v>17220.36</v>
      </c>
      <c r="O226" s="39">
        <f t="shared" si="33"/>
        <v>5489.7233333333324</v>
      </c>
      <c r="P226" s="40">
        <f t="shared" si="34"/>
        <v>-7.9846161039071717E-2</v>
      </c>
      <c r="Q226" s="39">
        <f t="shared" si="35"/>
        <v>16456.02</v>
      </c>
      <c r="R226" s="41"/>
      <c r="T226" s="42">
        <f t="shared" si="36"/>
        <v>-5</v>
      </c>
      <c r="U226" s="42">
        <f t="shared" si="37"/>
        <v>0</v>
      </c>
      <c r="V226" s="42">
        <f t="shared" si="38"/>
        <v>5</v>
      </c>
    </row>
    <row r="227" spans="1:22" s="28" customFormat="1" ht="73.5" customHeight="1" x14ac:dyDescent="0.2">
      <c r="A227" s="30">
        <v>216</v>
      </c>
      <c r="B227" s="31" t="s">
        <v>322</v>
      </c>
      <c r="C227" s="32" t="s">
        <v>323</v>
      </c>
      <c r="D227" s="33">
        <v>4.8000000000000001E-2</v>
      </c>
      <c r="E227" s="56">
        <v>2698750.3</v>
      </c>
      <c r="F227" s="32" t="s">
        <v>68</v>
      </c>
      <c r="G227" s="37">
        <f>3276.5/1.2*1000</f>
        <v>2730416.666666667</v>
      </c>
      <c r="H227" s="38">
        <f>G227*D227</f>
        <v>131060.00000000001</v>
      </c>
      <c r="I227" s="32" t="s">
        <v>67</v>
      </c>
      <c r="J227" s="37">
        <f>3255/1.2*1000</f>
        <v>2712500</v>
      </c>
      <c r="K227" s="38">
        <f t="shared" si="31"/>
        <v>130200</v>
      </c>
      <c r="L227" s="32" t="s">
        <v>272</v>
      </c>
      <c r="M227" s="37">
        <f>2661.67*1000</f>
        <v>2661670</v>
      </c>
      <c r="N227" s="38">
        <f t="shared" si="32"/>
        <v>127760.16</v>
      </c>
      <c r="O227" s="39">
        <f t="shared" si="33"/>
        <v>2701528.888888889</v>
      </c>
      <c r="P227" s="40">
        <f t="shared" si="34"/>
        <v>-0.10285245885458494</v>
      </c>
      <c r="Q227" s="39">
        <f t="shared" si="35"/>
        <v>129540.0144</v>
      </c>
      <c r="R227" s="41"/>
      <c r="T227" s="42">
        <f t="shared" si="36"/>
        <v>1</v>
      </c>
      <c r="U227" s="42">
        <f t="shared" si="37"/>
        <v>0</v>
      </c>
      <c r="V227" s="42">
        <f t="shared" si="38"/>
        <v>-1</v>
      </c>
    </row>
    <row r="228" spans="1:22" s="28" customFormat="1" ht="73.5" customHeight="1" x14ac:dyDescent="0.2">
      <c r="A228" s="30">
        <v>217</v>
      </c>
      <c r="B228" s="31" t="s">
        <v>324</v>
      </c>
      <c r="C228" s="32" t="s">
        <v>25</v>
      </c>
      <c r="D228" s="33">
        <v>10</v>
      </c>
      <c r="E228" s="35">
        <v>6202.47</v>
      </c>
      <c r="F228" s="32" t="s">
        <v>56</v>
      </c>
      <c r="G228" s="37">
        <v>6050.4</v>
      </c>
      <c r="H228" s="38">
        <f t="shared" ref="H228:H259" si="39">D228*G228</f>
        <v>60504</v>
      </c>
      <c r="I228" s="32" t="s">
        <v>57</v>
      </c>
      <c r="J228" s="37">
        <v>6131.78</v>
      </c>
      <c r="K228" s="38">
        <f t="shared" si="31"/>
        <v>61317.799999999996</v>
      </c>
      <c r="L228" s="32" t="s">
        <v>58</v>
      </c>
      <c r="M228" s="37">
        <v>6541.19</v>
      </c>
      <c r="N228" s="38">
        <f t="shared" si="32"/>
        <v>65411.899999999994</v>
      </c>
      <c r="O228" s="39">
        <f t="shared" si="33"/>
        <v>6241.123333333333</v>
      </c>
      <c r="P228" s="40">
        <f t="shared" si="34"/>
        <v>-0.61933295127960264</v>
      </c>
      <c r="Q228" s="39">
        <f t="shared" si="35"/>
        <v>62024.700000000004</v>
      </c>
      <c r="R228" s="47" t="s">
        <v>116</v>
      </c>
      <c r="T228" s="42">
        <f t="shared" si="36"/>
        <v>-3</v>
      </c>
      <c r="U228" s="42">
        <f t="shared" si="37"/>
        <v>-2</v>
      </c>
      <c r="V228" s="42">
        <f t="shared" si="38"/>
        <v>5</v>
      </c>
    </row>
    <row r="229" spans="1:22" s="28" customFormat="1" ht="73.5" customHeight="1" x14ac:dyDescent="0.2">
      <c r="A229" s="30">
        <v>218</v>
      </c>
      <c r="B229" s="31" t="s">
        <v>325</v>
      </c>
      <c r="C229" s="32" t="s">
        <v>25</v>
      </c>
      <c r="D229" s="33">
        <v>4</v>
      </c>
      <c r="E229" s="35">
        <v>13230.7</v>
      </c>
      <c r="F229" s="32" t="s">
        <v>27</v>
      </c>
      <c r="G229" s="37">
        <f>15633.38/1.2</f>
        <v>13027.816666666666</v>
      </c>
      <c r="H229" s="38">
        <f t="shared" si="39"/>
        <v>52111.266666666663</v>
      </c>
      <c r="I229" s="38" t="s">
        <v>28</v>
      </c>
      <c r="J229" s="37">
        <v>13344.3</v>
      </c>
      <c r="K229" s="38">
        <f t="shared" si="31"/>
        <v>53377.2</v>
      </c>
      <c r="L229" s="33" t="s">
        <v>29</v>
      </c>
      <c r="M229" s="37">
        <v>13500.58</v>
      </c>
      <c r="N229" s="38">
        <f t="shared" si="32"/>
        <v>54002.32</v>
      </c>
      <c r="O229" s="39">
        <f t="shared" si="33"/>
        <v>13290.898888888887</v>
      </c>
      <c r="P229" s="40">
        <f t="shared" si="34"/>
        <v>-0.45293316420617202</v>
      </c>
      <c r="Q229" s="39">
        <f t="shared" si="35"/>
        <v>52922.8</v>
      </c>
      <c r="R229" s="41"/>
      <c r="T229" s="42">
        <f t="shared" si="36"/>
        <v>-2</v>
      </c>
      <c r="U229" s="42">
        <f t="shared" si="37"/>
        <v>0</v>
      </c>
      <c r="V229" s="42">
        <f t="shared" si="38"/>
        <v>2</v>
      </c>
    </row>
    <row r="230" spans="1:22" s="28" customFormat="1" ht="73.5" customHeight="1" x14ac:dyDescent="0.2">
      <c r="A230" s="30">
        <v>219</v>
      </c>
      <c r="B230" s="31" t="s">
        <v>326</v>
      </c>
      <c r="C230" s="32" t="s">
        <v>25</v>
      </c>
      <c r="D230" s="33">
        <v>7</v>
      </c>
      <c r="E230" s="35">
        <v>895.64</v>
      </c>
      <c r="F230" s="32" t="s">
        <v>27</v>
      </c>
      <c r="G230" s="37">
        <f>1005.59/1.2</f>
        <v>837.99166666666667</v>
      </c>
      <c r="H230" s="38">
        <f t="shared" si="39"/>
        <v>5865.9416666666666</v>
      </c>
      <c r="I230" s="38" t="s">
        <v>28</v>
      </c>
      <c r="J230" s="37">
        <v>921.8</v>
      </c>
      <c r="K230" s="38">
        <f t="shared" si="31"/>
        <v>6452.5999999999995</v>
      </c>
      <c r="L230" s="33" t="s">
        <v>29</v>
      </c>
      <c r="M230" s="37">
        <v>944.36</v>
      </c>
      <c r="N230" s="38">
        <f t="shared" si="32"/>
        <v>6610.52</v>
      </c>
      <c r="O230" s="39">
        <f t="shared" si="33"/>
        <v>901.38388888888892</v>
      </c>
      <c r="P230" s="40">
        <f t="shared" si="34"/>
        <v>-0.63723003702331482</v>
      </c>
      <c r="Q230" s="39">
        <f t="shared" si="35"/>
        <v>6269.48</v>
      </c>
      <c r="R230" s="41"/>
      <c r="T230" s="42">
        <f t="shared" si="36"/>
        <v>-7</v>
      </c>
      <c r="U230" s="42">
        <f t="shared" si="37"/>
        <v>2</v>
      </c>
      <c r="V230" s="42">
        <f t="shared" si="38"/>
        <v>5</v>
      </c>
    </row>
    <row r="231" spans="1:22" s="28" customFormat="1" ht="73.5" customHeight="1" x14ac:dyDescent="0.2">
      <c r="A231" s="30">
        <v>220</v>
      </c>
      <c r="B231" s="31" t="s">
        <v>327</v>
      </c>
      <c r="C231" s="32" t="s">
        <v>25</v>
      </c>
      <c r="D231" s="33">
        <v>4</v>
      </c>
      <c r="E231" s="35">
        <v>976.87</v>
      </c>
      <c r="F231" s="32" t="s">
        <v>27</v>
      </c>
      <c r="G231" s="37">
        <f>1138.77/1.2</f>
        <v>948.97500000000002</v>
      </c>
      <c r="H231" s="38">
        <f t="shared" si="39"/>
        <v>3795.9</v>
      </c>
      <c r="I231" s="38" t="s">
        <v>28</v>
      </c>
      <c r="J231" s="37">
        <v>1010.4</v>
      </c>
      <c r="K231" s="38">
        <f t="shared" si="31"/>
        <v>4041.6</v>
      </c>
      <c r="L231" s="33" t="s">
        <v>29</v>
      </c>
      <c r="M231" s="37">
        <v>995.11</v>
      </c>
      <c r="N231" s="38">
        <f t="shared" si="32"/>
        <v>3980.44</v>
      </c>
      <c r="O231" s="39">
        <f t="shared" si="33"/>
        <v>984.82833333333338</v>
      </c>
      <c r="P231" s="40">
        <f t="shared" si="34"/>
        <v>-0.80809345791229248</v>
      </c>
      <c r="Q231" s="39">
        <f t="shared" si="35"/>
        <v>3907.48</v>
      </c>
      <c r="R231" s="41"/>
      <c r="T231" s="42">
        <f t="shared" si="36"/>
        <v>-4</v>
      </c>
      <c r="U231" s="42">
        <f t="shared" si="37"/>
        <v>3</v>
      </c>
      <c r="V231" s="42">
        <f t="shared" si="38"/>
        <v>1</v>
      </c>
    </row>
    <row r="232" spans="1:22" s="28" customFormat="1" ht="73.5" customHeight="1" x14ac:dyDescent="0.2">
      <c r="A232" s="30">
        <v>221</v>
      </c>
      <c r="B232" s="31" t="s">
        <v>328</v>
      </c>
      <c r="C232" s="32" t="s">
        <v>25</v>
      </c>
      <c r="D232" s="33">
        <v>1</v>
      </c>
      <c r="E232" s="35">
        <v>1842.92</v>
      </c>
      <c r="F232" s="32" t="s">
        <v>27</v>
      </c>
      <c r="G232" s="37">
        <f>2152.46/1.2</f>
        <v>1793.7166666666667</v>
      </c>
      <c r="H232" s="38">
        <f t="shared" si="39"/>
        <v>1793.7166666666667</v>
      </c>
      <c r="I232" s="38" t="s">
        <v>28</v>
      </c>
      <c r="J232" s="37">
        <v>1928.6</v>
      </c>
      <c r="K232" s="38">
        <f t="shared" si="31"/>
        <v>1928.6</v>
      </c>
      <c r="L232" s="33" t="s">
        <v>29</v>
      </c>
      <c r="M232" s="37">
        <v>1850.46</v>
      </c>
      <c r="N232" s="38">
        <f t="shared" si="32"/>
        <v>1850.46</v>
      </c>
      <c r="O232" s="39">
        <f t="shared" si="33"/>
        <v>1857.5922222222223</v>
      </c>
      <c r="P232" s="40">
        <f t="shared" si="34"/>
        <v>-0.78985161795466752</v>
      </c>
      <c r="Q232" s="39">
        <f t="shared" si="35"/>
        <v>1842.92</v>
      </c>
      <c r="R232" s="41"/>
      <c r="T232" s="42">
        <f t="shared" si="36"/>
        <v>-3</v>
      </c>
      <c r="U232" s="42">
        <f t="shared" si="37"/>
        <v>4</v>
      </c>
      <c r="V232" s="42">
        <f t="shared" si="38"/>
        <v>0</v>
      </c>
    </row>
    <row r="233" spans="1:22" s="28" customFormat="1" ht="73.5" customHeight="1" x14ac:dyDescent="0.2">
      <c r="A233" s="30">
        <v>222</v>
      </c>
      <c r="B233" s="31" t="s">
        <v>329</v>
      </c>
      <c r="C233" s="32" t="s">
        <v>25</v>
      </c>
      <c r="D233" s="33">
        <v>24</v>
      </c>
      <c r="E233" s="35">
        <v>312.8</v>
      </c>
      <c r="F233" s="32" t="s">
        <v>27</v>
      </c>
      <c r="G233" s="37">
        <f>362.57/1.2</f>
        <v>302.14166666666665</v>
      </c>
      <c r="H233" s="38">
        <f t="shared" si="39"/>
        <v>7251.4</v>
      </c>
      <c r="I233" s="38" t="s">
        <v>28</v>
      </c>
      <c r="J233" s="37">
        <v>312.77</v>
      </c>
      <c r="K233" s="38">
        <f t="shared" si="31"/>
        <v>7506.48</v>
      </c>
      <c r="L233" s="33" t="s">
        <v>29</v>
      </c>
      <c r="M233" s="37">
        <v>344.29</v>
      </c>
      <c r="N233" s="38">
        <f t="shared" si="32"/>
        <v>8262.9600000000009</v>
      </c>
      <c r="O233" s="39">
        <f t="shared" si="33"/>
        <v>319.73388888888888</v>
      </c>
      <c r="P233" s="40">
        <f t="shared" si="34"/>
        <v>-2.1686437158678871</v>
      </c>
      <c r="Q233" s="39">
        <f t="shared" si="35"/>
        <v>7507.2000000000007</v>
      </c>
      <c r="R233" s="41"/>
      <c r="T233" s="42">
        <f t="shared" si="36"/>
        <v>-6</v>
      </c>
      <c r="U233" s="42">
        <f t="shared" si="37"/>
        <v>-2</v>
      </c>
      <c r="V233" s="42">
        <f t="shared" si="38"/>
        <v>8</v>
      </c>
    </row>
    <row r="234" spans="1:22" s="28" customFormat="1" ht="73.5" customHeight="1" x14ac:dyDescent="0.2">
      <c r="A234" s="30">
        <v>223</v>
      </c>
      <c r="B234" s="31" t="s">
        <v>330</v>
      </c>
      <c r="C234" s="32" t="s">
        <v>25</v>
      </c>
      <c r="D234" s="33">
        <v>18</v>
      </c>
      <c r="E234" s="35">
        <v>343.64</v>
      </c>
      <c r="F234" s="32" t="s">
        <v>27</v>
      </c>
      <c r="G234" s="37">
        <f>398.85/1.2</f>
        <v>332.37500000000006</v>
      </c>
      <c r="H234" s="38">
        <f t="shared" si="39"/>
        <v>5982.7500000000009</v>
      </c>
      <c r="I234" s="38" t="s">
        <v>28</v>
      </c>
      <c r="J234" s="37">
        <v>364.5</v>
      </c>
      <c r="K234" s="38">
        <f t="shared" si="31"/>
        <v>6561</v>
      </c>
      <c r="L234" s="33" t="s">
        <v>29</v>
      </c>
      <c r="M234" s="37">
        <v>350.15</v>
      </c>
      <c r="N234" s="38">
        <f t="shared" si="32"/>
        <v>6302.7</v>
      </c>
      <c r="O234" s="39">
        <f t="shared" si="33"/>
        <v>349.00833333333338</v>
      </c>
      <c r="P234" s="40">
        <f t="shared" si="34"/>
        <v>-1.5381676655285332</v>
      </c>
      <c r="Q234" s="39">
        <f t="shared" si="35"/>
        <v>6185.5199999999995</v>
      </c>
      <c r="R234" s="41"/>
      <c r="T234" s="42">
        <f t="shared" si="36"/>
        <v>-5</v>
      </c>
      <c r="U234" s="42">
        <f t="shared" si="37"/>
        <v>4</v>
      </c>
      <c r="V234" s="42">
        <f t="shared" si="38"/>
        <v>0</v>
      </c>
    </row>
    <row r="235" spans="1:22" s="28" customFormat="1" ht="73.5" customHeight="1" x14ac:dyDescent="0.2">
      <c r="A235" s="30">
        <v>224</v>
      </c>
      <c r="B235" s="31" t="s">
        <v>331</v>
      </c>
      <c r="C235" s="32" t="s">
        <v>25</v>
      </c>
      <c r="D235" s="33">
        <v>90</v>
      </c>
      <c r="E235" s="35">
        <v>233.82</v>
      </c>
      <c r="F235" s="32" t="s">
        <v>27</v>
      </c>
      <c r="G235" s="37">
        <f>283.52/1.2</f>
        <v>236.26666666666665</v>
      </c>
      <c r="H235" s="38">
        <f t="shared" si="39"/>
        <v>21264</v>
      </c>
      <c r="I235" s="38" t="s">
        <v>28</v>
      </c>
      <c r="J235" s="37">
        <v>232.43</v>
      </c>
      <c r="K235" s="38">
        <f t="shared" si="31"/>
        <v>20918.7</v>
      </c>
      <c r="L235" s="33" t="s">
        <v>29</v>
      </c>
      <c r="M235" s="37">
        <v>251.2</v>
      </c>
      <c r="N235" s="38">
        <f t="shared" si="32"/>
        <v>22608</v>
      </c>
      <c r="O235" s="39">
        <f t="shared" si="33"/>
        <v>239.96555555555554</v>
      </c>
      <c r="P235" s="40">
        <f t="shared" si="34"/>
        <v>-2.5610157013275057</v>
      </c>
      <c r="Q235" s="39">
        <f t="shared" si="35"/>
        <v>21043.8</v>
      </c>
      <c r="R235" s="41"/>
      <c r="T235" s="42">
        <f t="shared" si="36"/>
        <v>-2</v>
      </c>
      <c r="U235" s="42">
        <f t="shared" si="37"/>
        <v>-3</v>
      </c>
      <c r="V235" s="42">
        <f t="shared" si="38"/>
        <v>5</v>
      </c>
    </row>
    <row r="236" spans="1:22" s="28" customFormat="1" ht="73.5" customHeight="1" x14ac:dyDescent="0.2">
      <c r="A236" s="30">
        <v>225</v>
      </c>
      <c r="B236" s="31" t="s">
        <v>332</v>
      </c>
      <c r="C236" s="32" t="s">
        <v>25</v>
      </c>
      <c r="D236" s="33" t="s">
        <v>333</v>
      </c>
      <c r="E236" s="35">
        <v>178.37</v>
      </c>
      <c r="F236" s="32" t="s">
        <v>27</v>
      </c>
      <c r="G236" s="37">
        <f>210.11/1.2</f>
        <v>175.0916666666667</v>
      </c>
      <c r="H236" s="38">
        <f t="shared" si="39"/>
        <v>8054.2166666666681</v>
      </c>
      <c r="I236" s="38" t="s">
        <v>28</v>
      </c>
      <c r="J236" s="37">
        <v>186.22</v>
      </c>
      <c r="K236" s="38">
        <f t="shared" si="31"/>
        <v>8566.1200000000008</v>
      </c>
      <c r="L236" s="33" t="s">
        <v>29</v>
      </c>
      <c r="M236" s="37">
        <v>179.55</v>
      </c>
      <c r="N236" s="38">
        <f t="shared" si="32"/>
        <v>8259.3000000000011</v>
      </c>
      <c r="O236" s="39">
        <f t="shared" si="33"/>
        <v>180.28722222222223</v>
      </c>
      <c r="P236" s="40">
        <f t="shared" si="34"/>
        <v>-1.0634265693322646</v>
      </c>
      <c r="Q236" s="39">
        <f t="shared" si="35"/>
        <v>8205.02</v>
      </c>
      <c r="R236" s="41"/>
      <c r="T236" s="42">
        <f t="shared" si="36"/>
        <v>-3</v>
      </c>
      <c r="U236" s="42">
        <f t="shared" si="37"/>
        <v>3</v>
      </c>
      <c r="V236" s="42">
        <f t="shared" si="38"/>
        <v>0</v>
      </c>
    </row>
    <row r="237" spans="1:22" s="28" customFormat="1" ht="73.5" customHeight="1" x14ac:dyDescent="0.2">
      <c r="A237" s="30">
        <v>226</v>
      </c>
      <c r="B237" s="31" t="s">
        <v>334</v>
      </c>
      <c r="C237" s="32" t="s">
        <v>25</v>
      </c>
      <c r="D237" s="33" t="s">
        <v>335</v>
      </c>
      <c r="E237" s="35">
        <v>191.64</v>
      </c>
      <c r="F237" s="32" t="s">
        <v>27</v>
      </c>
      <c r="G237" s="37">
        <f>224.62/1.2</f>
        <v>187.18333333333334</v>
      </c>
      <c r="H237" s="38">
        <f t="shared" si="39"/>
        <v>1123.0999999999999</v>
      </c>
      <c r="I237" s="38" t="s">
        <v>28</v>
      </c>
      <c r="J237" s="37">
        <v>196.75</v>
      </c>
      <c r="K237" s="38">
        <f t="shared" si="31"/>
        <v>1180.5</v>
      </c>
      <c r="L237" s="33" t="s">
        <v>29</v>
      </c>
      <c r="M237" s="37">
        <v>199.8</v>
      </c>
      <c r="N237" s="38">
        <f t="shared" si="32"/>
        <v>1198.8000000000002</v>
      </c>
      <c r="O237" s="39">
        <f t="shared" si="33"/>
        <v>194.57777777777778</v>
      </c>
      <c r="P237" s="40">
        <f t="shared" si="34"/>
        <v>-1.5098218364550036</v>
      </c>
      <c r="Q237" s="39">
        <f t="shared" si="35"/>
        <v>1149.8399999999999</v>
      </c>
      <c r="R237" s="41"/>
      <c r="T237" s="42">
        <f t="shared" si="36"/>
        <v>-4</v>
      </c>
      <c r="U237" s="42">
        <f t="shared" si="37"/>
        <v>1</v>
      </c>
      <c r="V237" s="42">
        <f t="shared" si="38"/>
        <v>3</v>
      </c>
    </row>
    <row r="238" spans="1:22" s="28" customFormat="1" ht="73.5" customHeight="1" x14ac:dyDescent="0.2">
      <c r="A238" s="30">
        <v>227</v>
      </c>
      <c r="B238" s="31" t="s">
        <v>336</v>
      </c>
      <c r="C238" s="32" t="s">
        <v>25</v>
      </c>
      <c r="D238" s="33">
        <v>6</v>
      </c>
      <c r="E238" s="35">
        <v>15489.62</v>
      </c>
      <c r="F238" s="32" t="s">
        <v>27</v>
      </c>
      <c r="G238" s="37">
        <f>18284.58/1.2</f>
        <v>15237.150000000001</v>
      </c>
      <c r="H238" s="38">
        <f t="shared" si="39"/>
        <v>91422.900000000009</v>
      </c>
      <c r="I238" s="38" t="s">
        <v>28</v>
      </c>
      <c r="J238" s="37">
        <v>15870.63</v>
      </c>
      <c r="K238" s="38">
        <f t="shared" si="31"/>
        <v>95223.78</v>
      </c>
      <c r="L238" s="33" t="s">
        <v>29</v>
      </c>
      <c r="M238" s="37">
        <v>16020.61</v>
      </c>
      <c r="N238" s="38">
        <f t="shared" si="32"/>
        <v>96123.66</v>
      </c>
      <c r="O238" s="39">
        <f t="shared" si="33"/>
        <v>15709.463333333333</v>
      </c>
      <c r="P238" s="40">
        <f t="shared" si="34"/>
        <v>-1.3994324864481911</v>
      </c>
      <c r="Q238" s="39">
        <f t="shared" si="35"/>
        <v>92937.72</v>
      </c>
      <c r="R238" s="41"/>
      <c r="T238" s="42">
        <f t="shared" si="36"/>
        <v>-3</v>
      </c>
      <c r="U238" s="42">
        <f t="shared" si="37"/>
        <v>1</v>
      </c>
      <c r="V238" s="42">
        <f t="shared" si="38"/>
        <v>2</v>
      </c>
    </row>
    <row r="239" spans="1:22" s="28" customFormat="1" ht="73.5" customHeight="1" x14ac:dyDescent="0.2">
      <c r="A239" s="30">
        <v>228</v>
      </c>
      <c r="B239" s="31" t="s">
        <v>337</v>
      </c>
      <c r="C239" s="32" t="s">
        <v>45</v>
      </c>
      <c r="D239" s="33">
        <v>40</v>
      </c>
      <c r="E239" s="35">
        <v>3124.7</v>
      </c>
      <c r="F239" s="32" t="s">
        <v>90</v>
      </c>
      <c r="G239" s="37">
        <v>3607.24</v>
      </c>
      <c r="H239" s="38">
        <f t="shared" si="39"/>
        <v>144289.59999999998</v>
      </c>
      <c r="I239" s="32" t="s">
        <v>338</v>
      </c>
      <c r="J239" s="37">
        <v>2575.6999999999998</v>
      </c>
      <c r="K239" s="38">
        <f t="shared" si="31"/>
        <v>103028</v>
      </c>
      <c r="L239" s="32" t="s">
        <v>339</v>
      </c>
      <c r="M239" s="37">
        <v>3370</v>
      </c>
      <c r="N239" s="38">
        <f t="shared" si="32"/>
        <v>134800</v>
      </c>
      <c r="O239" s="39">
        <f t="shared" si="33"/>
        <v>3184.313333333333</v>
      </c>
      <c r="P239" s="40">
        <f t="shared" si="34"/>
        <v>-1.8720938266125273</v>
      </c>
      <c r="Q239" s="39">
        <f t="shared" si="35"/>
        <v>124988</v>
      </c>
      <c r="R239" s="41"/>
      <c r="T239" s="42">
        <f t="shared" si="36"/>
        <v>13</v>
      </c>
      <c r="U239" s="42">
        <f t="shared" si="37"/>
        <v>-19</v>
      </c>
      <c r="V239" s="42">
        <f t="shared" si="38"/>
        <v>6</v>
      </c>
    </row>
    <row r="240" spans="1:22" s="28" customFormat="1" ht="73.5" customHeight="1" x14ac:dyDescent="0.2">
      <c r="A240" s="30">
        <v>229</v>
      </c>
      <c r="B240" s="31" t="s">
        <v>340</v>
      </c>
      <c r="C240" s="32" t="s">
        <v>25</v>
      </c>
      <c r="D240" s="33">
        <v>10</v>
      </c>
      <c r="E240" s="35">
        <v>2334.6799999999998</v>
      </c>
      <c r="F240" s="32" t="s">
        <v>27</v>
      </c>
      <c r="G240" s="37">
        <f>2872.8/1.2</f>
        <v>2394.0000000000005</v>
      </c>
      <c r="H240" s="38">
        <f t="shared" si="39"/>
        <v>23940.000000000004</v>
      </c>
      <c r="I240" s="38" t="s">
        <v>28</v>
      </c>
      <c r="J240" s="37">
        <v>2254.9</v>
      </c>
      <c r="K240" s="38">
        <f t="shared" si="31"/>
        <v>22549</v>
      </c>
      <c r="L240" s="33" t="s">
        <v>29</v>
      </c>
      <c r="M240" s="37">
        <v>2467.66</v>
      </c>
      <c r="N240" s="38">
        <f t="shared" si="32"/>
        <v>24676.6</v>
      </c>
      <c r="O240" s="39">
        <f t="shared" si="33"/>
        <v>2372.186666666667</v>
      </c>
      <c r="P240" s="40">
        <f t="shared" si="34"/>
        <v>-1.5811009813730408</v>
      </c>
      <c r="Q240" s="39">
        <f t="shared" si="35"/>
        <v>23346.799999999999</v>
      </c>
      <c r="R240" s="41"/>
      <c r="T240" s="42">
        <f t="shared" si="36"/>
        <v>1</v>
      </c>
      <c r="U240" s="42">
        <f t="shared" si="37"/>
        <v>-5</v>
      </c>
      <c r="V240" s="42">
        <f t="shared" si="38"/>
        <v>4</v>
      </c>
    </row>
    <row r="241" spans="1:22" s="28" customFormat="1" ht="73.5" customHeight="1" x14ac:dyDescent="0.2">
      <c r="A241" s="30">
        <v>230</v>
      </c>
      <c r="B241" s="31" t="s">
        <v>341</v>
      </c>
      <c r="C241" s="32" t="s">
        <v>25</v>
      </c>
      <c r="D241" s="33" t="s">
        <v>342</v>
      </c>
      <c r="E241" s="35">
        <v>21782.44</v>
      </c>
      <c r="F241" s="32" t="s">
        <v>27</v>
      </c>
      <c r="G241" s="37">
        <f>25573/1.2</f>
        <v>21310.833333333336</v>
      </c>
      <c r="H241" s="38">
        <f t="shared" si="39"/>
        <v>1704866.666666667</v>
      </c>
      <c r="I241" s="38" t="s">
        <v>28</v>
      </c>
      <c r="J241" s="37">
        <v>21971.58</v>
      </c>
      <c r="K241" s="38">
        <f t="shared" si="31"/>
        <v>1757726.4000000001</v>
      </c>
      <c r="L241" s="33" t="s">
        <v>29</v>
      </c>
      <c r="M241" s="37">
        <v>22150.400000000001</v>
      </c>
      <c r="N241" s="38">
        <f t="shared" si="32"/>
        <v>1772032</v>
      </c>
      <c r="O241" s="39">
        <f t="shared" si="33"/>
        <v>21810.937777777781</v>
      </c>
      <c r="P241" s="40">
        <f t="shared" si="34"/>
        <v>-0.13065819575541582</v>
      </c>
      <c r="Q241" s="39">
        <f t="shared" si="35"/>
        <v>1742595.2</v>
      </c>
      <c r="R241" s="41"/>
      <c r="T241" s="42">
        <f t="shared" si="36"/>
        <v>-2</v>
      </c>
      <c r="U241" s="42">
        <f t="shared" si="37"/>
        <v>1</v>
      </c>
      <c r="V241" s="42">
        <f t="shared" si="38"/>
        <v>2</v>
      </c>
    </row>
    <row r="242" spans="1:22" s="28" customFormat="1" ht="73.5" customHeight="1" x14ac:dyDescent="0.2">
      <c r="A242" s="30">
        <v>231</v>
      </c>
      <c r="B242" s="31" t="s">
        <v>343</v>
      </c>
      <c r="C242" s="32" t="s">
        <v>25</v>
      </c>
      <c r="D242" s="33">
        <v>10</v>
      </c>
      <c r="E242" s="35">
        <v>1394.8</v>
      </c>
      <c r="F242" s="32" t="s">
        <v>27</v>
      </c>
      <c r="G242" s="37">
        <f>1586.38/1.2</f>
        <v>1321.9833333333336</v>
      </c>
      <c r="H242" s="38">
        <f t="shared" si="39"/>
        <v>13219.833333333336</v>
      </c>
      <c r="I242" s="38" t="s">
        <v>28</v>
      </c>
      <c r="J242" s="37">
        <v>1501.2</v>
      </c>
      <c r="K242" s="38">
        <f t="shared" si="31"/>
        <v>15012</v>
      </c>
      <c r="L242" s="33" t="s">
        <v>29</v>
      </c>
      <c r="M242" s="37">
        <v>1452.7</v>
      </c>
      <c r="N242" s="38">
        <f t="shared" si="32"/>
        <v>14527</v>
      </c>
      <c r="O242" s="39">
        <f t="shared" si="33"/>
        <v>1425.2944444444445</v>
      </c>
      <c r="P242" s="40">
        <f t="shared" si="34"/>
        <v>-2.1395189298117714</v>
      </c>
      <c r="Q242" s="39">
        <f t="shared" si="35"/>
        <v>13948</v>
      </c>
      <c r="R242" s="41"/>
      <c r="T242" s="42">
        <f t="shared" si="36"/>
        <v>-7</v>
      </c>
      <c r="U242" s="42">
        <f t="shared" si="37"/>
        <v>5</v>
      </c>
      <c r="V242" s="42">
        <f t="shared" si="38"/>
        <v>2</v>
      </c>
    </row>
    <row r="243" spans="1:22" s="28" customFormat="1" ht="73.5" customHeight="1" x14ac:dyDescent="0.2">
      <c r="A243" s="30">
        <v>232</v>
      </c>
      <c r="B243" s="31" t="s">
        <v>344</v>
      </c>
      <c r="C243" s="32" t="s">
        <v>25</v>
      </c>
      <c r="D243" s="33">
        <v>2</v>
      </c>
      <c r="E243" s="35">
        <v>10840.24</v>
      </c>
      <c r="F243" s="32" t="s">
        <v>27</v>
      </c>
      <c r="G243" s="37">
        <f>12749.04/1.2</f>
        <v>10624.2</v>
      </c>
      <c r="H243" s="38">
        <f t="shared" si="39"/>
        <v>21248.400000000001</v>
      </c>
      <c r="I243" s="38" t="s">
        <v>28</v>
      </c>
      <c r="J243" s="37">
        <v>11205.5</v>
      </c>
      <c r="K243" s="38">
        <f t="shared" si="31"/>
        <v>22411</v>
      </c>
      <c r="L243" s="33" t="s">
        <v>29</v>
      </c>
      <c r="M243" s="37">
        <v>10800.9</v>
      </c>
      <c r="N243" s="38">
        <f t="shared" si="32"/>
        <v>21601.8</v>
      </c>
      <c r="O243" s="39">
        <f t="shared" si="33"/>
        <v>10876.866666666667</v>
      </c>
      <c r="P243" s="40">
        <f t="shared" si="34"/>
        <v>-0.33673913443209358</v>
      </c>
      <c r="Q243" s="39">
        <f t="shared" si="35"/>
        <v>21680.48</v>
      </c>
      <c r="R243" s="41"/>
      <c r="T243" s="42">
        <f t="shared" si="36"/>
        <v>-2</v>
      </c>
      <c r="U243" s="42">
        <f t="shared" si="37"/>
        <v>3</v>
      </c>
      <c r="V243" s="42">
        <f t="shared" si="38"/>
        <v>-1</v>
      </c>
    </row>
    <row r="244" spans="1:22" s="28" customFormat="1" ht="73.5" customHeight="1" x14ac:dyDescent="0.2">
      <c r="A244" s="30">
        <v>233</v>
      </c>
      <c r="B244" s="31" t="s">
        <v>345</v>
      </c>
      <c r="C244" s="32" t="s">
        <v>25</v>
      </c>
      <c r="D244" s="33">
        <v>3</v>
      </c>
      <c r="E244" s="35">
        <v>6897.64</v>
      </c>
      <c r="F244" s="32" t="s">
        <v>27</v>
      </c>
      <c r="G244" s="37">
        <f>8062.43/1.2</f>
        <v>6718.6916666666675</v>
      </c>
      <c r="H244" s="38">
        <f t="shared" si="39"/>
        <v>20156.075000000004</v>
      </c>
      <c r="I244" s="38" t="s">
        <v>28</v>
      </c>
      <c r="J244" s="37">
        <v>7211.8</v>
      </c>
      <c r="K244" s="38">
        <f t="shared" si="31"/>
        <v>21635.4</v>
      </c>
      <c r="L244" s="33" t="s">
        <v>29</v>
      </c>
      <c r="M244" s="37">
        <v>6897.87</v>
      </c>
      <c r="N244" s="38">
        <f t="shared" si="32"/>
        <v>20693.61</v>
      </c>
      <c r="O244" s="39">
        <f t="shared" si="33"/>
        <v>6942.7872222222222</v>
      </c>
      <c r="P244" s="40">
        <f t="shared" si="34"/>
        <v>-0.65027518166935749</v>
      </c>
      <c r="Q244" s="39">
        <f t="shared" si="35"/>
        <v>20692.920000000002</v>
      </c>
      <c r="R244" s="41"/>
      <c r="T244" s="42">
        <f t="shared" si="36"/>
        <v>-3</v>
      </c>
      <c r="U244" s="42">
        <f t="shared" si="37"/>
        <v>4</v>
      </c>
      <c r="V244" s="42">
        <f t="shared" si="38"/>
        <v>-1</v>
      </c>
    </row>
    <row r="245" spans="1:22" s="28" customFormat="1" ht="73.5" customHeight="1" x14ac:dyDescent="0.2">
      <c r="A245" s="30">
        <v>234</v>
      </c>
      <c r="B245" s="31" t="s">
        <v>346</v>
      </c>
      <c r="C245" s="32" t="s">
        <v>25</v>
      </c>
      <c r="D245" s="33">
        <v>20</v>
      </c>
      <c r="E245" s="35">
        <v>5997.3</v>
      </c>
      <c r="F245" s="32" t="s">
        <v>27</v>
      </c>
      <c r="G245" s="37">
        <f>6964.01/1.2</f>
        <v>5803.3416666666672</v>
      </c>
      <c r="H245" s="38">
        <f t="shared" si="39"/>
        <v>116066.83333333334</v>
      </c>
      <c r="I245" s="38" t="s">
        <v>28</v>
      </c>
      <c r="J245" s="37">
        <v>6025.6</v>
      </c>
      <c r="K245" s="38">
        <f t="shared" si="31"/>
        <v>120512</v>
      </c>
      <c r="L245" s="33" t="s">
        <v>29</v>
      </c>
      <c r="M245" s="37">
        <v>6300.1</v>
      </c>
      <c r="N245" s="38">
        <f t="shared" si="32"/>
        <v>126002</v>
      </c>
      <c r="O245" s="39">
        <f t="shared" si="33"/>
        <v>6043.0138888888896</v>
      </c>
      <c r="P245" s="40">
        <f t="shared" si="34"/>
        <v>-0.75647499293262399</v>
      </c>
      <c r="Q245" s="39">
        <f t="shared" si="35"/>
        <v>119946</v>
      </c>
      <c r="R245" s="41"/>
      <c r="T245" s="42">
        <f t="shared" si="36"/>
        <v>-4</v>
      </c>
      <c r="U245" s="42">
        <f t="shared" si="37"/>
        <v>0</v>
      </c>
      <c r="V245" s="42">
        <f t="shared" si="38"/>
        <v>4</v>
      </c>
    </row>
    <row r="246" spans="1:22" s="28" customFormat="1" ht="73.5" customHeight="1" x14ac:dyDescent="0.2">
      <c r="A246" s="30">
        <v>235</v>
      </c>
      <c r="B246" s="31" t="s">
        <v>347</v>
      </c>
      <c r="C246" s="32" t="s">
        <v>25</v>
      </c>
      <c r="D246" s="33">
        <v>2</v>
      </c>
      <c r="E246" s="35">
        <v>23347.599999999999</v>
      </c>
      <c r="F246" s="32" t="s">
        <v>27</v>
      </c>
      <c r="G246" s="37">
        <f>27973.25/1.2</f>
        <v>23311.041666666668</v>
      </c>
      <c r="H246" s="38">
        <f t="shared" si="39"/>
        <v>46622.083333333336</v>
      </c>
      <c r="I246" s="38" t="s">
        <v>28</v>
      </c>
      <c r="J246" s="37">
        <v>24500.6</v>
      </c>
      <c r="K246" s="38">
        <f t="shared" si="31"/>
        <v>49001.2</v>
      </c>
      <c r="L246" s="33" t="s">
        <v>29</v>
      </c>
      <c r="M246" s="37">
        <v>22940.3</v>
      </c>
      <c r="N246" s="38">
        <f t="shared" si="32"/>
        <v>45880.6</v>
      </c>
      <c r="O246" s="39">
        <f t="shared" si="33"/>
        <v>23583.980555555554</v>
      </c>
      <c r="P246" s="40">
        <f t="shared" si="34"/>
        <v>-1.0022928699365394</v>
      </c>
      <c r="Q246" s="39">
        <f t="shared" si="35"/>
        <v>46695.199999999997</v>
      </c>
      <c r="R246" s="41"/>
      <c r="T246" s="42">
        <f t="shared" si="36"/>
        <v>-1</v>
      </c>
      <c r="U246" s="42">
        <f t="shared" si="37"/>
        <v>4</v>
      </c>
      <c r="V246" s="42">
        <f t="shared" si="38"/>
        <v>-3</v>
      </c>
    </row>
    <row r="247" spans="1:22" s="28" customFormat="1" ht="73.5" customHeight="1" x14ac:dyDescent="0.2">
      <c r="A247" s="30">
        <v>236</v>
      </c>
      <c r="B247" s="31" t="s">
        <v>348</v>
      </c>
      <c r="C247" s="32" t="s">
        <v>25</v>
      </c>
      <c r="D247" s="33">
        <v>2</v>
      </c>
      <c r="E247" s="35">
        <v>6190.72</v>
      </c>
      <c r="F247" s="32" t="s">
        <v>27</v>
      </c>
      <c r="G247" s="37">
        <f>7415.29/1.2</f>
        <v>6179.4083333333338</v>
      </c>
      <c r="H247" s="38">
        <f t="shared" si="39"/>
        <v>12358.816666666668</v>
      </c>
      <c r="I247" s="38" t="s">
        <v>28</v>
      </c>
      <c r="J247" s="37">
        <v>6487.33</v>
      </c>
      <c r="K247" s="38">
        <f t="shared" si="31"/>
        <v>12974.66</v>
      </c>
      <c r="L247" s="33" t="s">
        <v>29</v>
      </c>
      <c r="M247" s="37">
        <v>6150.7</v>
      </c>
      <c r="N247" s="38">
        <f t="shared" si="32"/>
        <v>12301.4</v>
      </c>
      <c r="O247" s="39">
        <f t="shared" si="33"/>
        <v>6272.4794444444451</v>
      </c>
      <c r="P247" s="40">
        <f t="shared" si="34"/>
        <v>-1.3034629315024659</v>
      </c>
      <c r="Q247" s="39">
        <f t="shared" si="35"/>
        <v>12381.44</v>
      </c>
      <c r="R247" s="41"/>
      <c r="T247" s="42">
        <f t="shared" si="36"/>
        <v>-1</v>
      </c>
      <c r="U247" s="42">
        <f t="shared" si="37"/>
        <v>3</v>
      </c>
      <c r="V247" s="42">
        <f t="shared" si="38"/>
        <v>-2</v>
      </c>
    </row>
    <row r="248" spans="1:22" s="28" customFormat="1" ht="73.5" customHeight="1" x14ac:dyDescent="0.2">
      <c r="A248" s="30">
        <v>237</v>
      </c>
      <c r="B248" s="31" t="s">
        <v>349</v>
      </c>
      <c r="C248" s="32" t="s">
        <v>25</v>
      </c>
      <c r="D248" s="33">
        <v>4</v>
      </c>
      <c r="E248" s="35">
        <v>17148.68</v>
      </c>
      <c r="F248" s="32" t="s">
        <v>27</v>
      </c>
      <c r="G248" s="37">
        <f>20589.76/1.2</f>
        <v>17158.133333333331</v>
      </c>
      <c r="H248" s="38">
        <f t="shared" si="39"/>
        <v>68632.533333333326</v>
      </c>
      <c r="I248" s="38" t="s">
        <v>28</v>
      </c>
      <c r="J248" s="37">
        <v>17011.2</v>
      </c>
      <c r="K248" s="38">
        <f t="shared" si="31"/>
        <v>68044.800000000003</v>
      </c>
      <c r="L248" s="33" t="s">
        <v>29</v>
      </c>
      <c r="M248" s="37">
        <v>17540.900000000001</v>
      </c>
      <c r="N248" s="38">
        <f t="shared" si="32"/>
        <v>70163.600000000006</v>
      </c>
      <c r="O248" s="39">
        <f t="shared" si="33"/>
        <v>17236.744444444445</v>
      </c>
      <c r="P248" s="40">
        <f t="shared" si="34"/>
        <v>-0.51091112204096589</v>
      </c>
      <c r="Q248" s="39">
        <f t="shared" si="35"/>
        <v>68594.720000000001</v>
      </c>
      <c r="R248" s="41"/>
      <c r="T248" s="42">
        <f t="shared" si="36"/>
        <v>0</v>
      </c>
      <c r="U248" s="42">
        <f t="shared" si="37"/>
        <v>-1</v>
      </c>
      <c r="V248" s="42">
        <f t="shared" si="38"/>
        <v>2</v>
      </c>
    </row>
    <row r="249" spans="1:22" s="28" customFormat="1" ht="73.5" customHeight="1" x14ac:dyDescent="0.2">
      <c r="A249" s="30">
        <v>238</v>
      </c>
      <c r="B249" s="31" t="s">
        <v>350</v>
      </c>
      <c r="C249" s="32" t="s">
        <v>25</v>
      </c>
      <c r="D249" s="33">
        <v>30</v>
      </c>
      <c r="E249" s="35">
        <v>1243.98</v>
      </c>
      <c r="F249" s="32" t="s">
        <v>27</v>
      </c>
      <c r="G249" s="37">
        <f>1554.7/1.2</f>
        <v>1295.5833333333335</v>
      </c>
      <c r="H249" s="38">
        <f t="shared" si="39"/>
        <v>38867.500000000007</v>
      </c>
      <c r="I249" s="38" t="s">
        <v>28</v>
      </c>
      <c r="J249" s="37">
        <v>1315.14</v>
      </c>
      <c r="K249" s="38">
        <f t="shared" si="31"/>
        <v>39454.200000000004</v>
      </c>
      <c r="L249" s="33" t="s">
        <v>29</v>
      </c>
      <c r="M249" s="37">
        <v>1205.4000000000001</v>
      </c>
      <c r="N249" s="38">
        <f t="shared" si="32"/>
        <v>36162</v>
      </c>
      <c r="O249" s="39">
        <f t="shared" si="33"/>
        <v>1272.0411111111111</v>
      </c>
      <c r="P249" s="40">
        <f t="shared" si="34"/>
        <v>-2.2059908965206461</v>
      </c>
      <c r="Q249" s="39">
        <f t="shared" si="35"/>
        <v>37319.4</v>
      </c>
      <c r="R249" s="41"/>
      <c r="T249" s="42">
        <f t="shared" si="36"/>
        <v>2</v>
      </c>
      <c r="U249" s="42">
        <f t="shared" si="37"/>
        <v>3</v>
      </c>
      <c r="V249" s="42">
        <f t="shared" si="38"/>
        <v>-5</v>
      </c>
    </row>
    <row r="250" spans="1:22" s="28" customFormat="1" ht="73.5" customHeight="1" x14ac:dyDescent="0.2">
      <c r="A250" s="30">
        <v>239</v>
      </c>
      <c r="B250" s="31" t="s">
        <v>351</v>
      </c>
      <c r="C250" s="32" t="s">
        <v>25</v>
      </c>
      <c r="D250" s="33">
        <v>28</v>
      </c>
      <c r="E250" s="35">
        <v>582.30999999999995</v>
      </c>
      <c r="F250" s="32" t="s">
        <v>27</v>
      </c>
      <c r="G250" s="37">
        <f>665.84/1.2</f>
        <v>554.86666666666667</v>
      </c>
      <c r="H250" s="38">
        <f t="shared" si="39"/>
        <v>15536.266666666666</v>
      </c>
      <c r="I250" s="38" t="s">
        <v>28</v>
      </c>
      <c r="J250" s="37">
        <v>597.45000000000005</v>
      </c>
      <c r="K250" s="38">
        <f t="shared" si="31"/>
        <v>16728.600000000002</v>
      </c>
      <c r="L250" s="33" t="s">
        <v>29</v>
      </c>
      <c r="M250" s="37">
        <v>611.65</v>
      </c>
      <c r="N250" s="38">
        <f t="shared" si="32"/>
        <v>17126.2</v>
      </c>
      <c r="O250" s="39">
        <f t="shared" si="33"/>
        <v>587.98888888888894</v>
      </c>
      <c r="P250" s="40">
        <f t="shared" si="34"/>
        <v>-0.96581568056843992</v>
      </c>
      <c r="Q250" s="39">
        <f t="shared" si="35"/>
        <v>16304.679999999998</v>
      </c>
      <c r="R250" s="41"/>
      <c r="T250" s="42">
        <f t="shared" si="36"/>
        <v>-6</v>
      </c>
      <c r="U250" s="42">
        <f t="shared" si="37"/>
        <v>2</v>
      </c>
      <c r="V250" s="42">
        <f t="shared" si="38"/>
        <v>4</v>
      </c>
    </row>
    <row r="251" spans="1:22" s="28" customFormat="1" ht="73.5" customHeight="1" x14ac:dyDescent="0.2">
      <c r="A251" s="30">
        <v>240</v>
      </c>
      <c r="B251" s="31" t="s">
        <v>352</v>
      </c>
      <c r="C251" s="32" t="s">
        <v>25</v>
      </c>
      <c r="D251" s="33" t="s">
        <v>353</v>
      </c>
      <c r="E251" s="35">
        <v>6401.45</v>
      </c>
      <c r="F251" s="32" t="s">
        <v>27</v>
      </c>
      <c r="G251" s="37">
        <f>7634.96/1.2</f>
        <v>6362.4666666666672</v>
      </c>
      <c r="H251" s="38">
        <f t="shared" si="39"/>
        <v>101799.46666666667</v>
      </c>
      <c r="I251" s="38" t="s">
        <v>28</v>
      </c>
      <c r="J251" s="37">
        <v>6500.77</v>
      </c>
      <c r="K251" s="38">
        <f t="shared" si="31"/>
        <v>104012.32</v>
      </c>
      <c r="L251" s="33" t="s">
        <v>29</v>
      </c>
      <c r="M251" s="37">
        <v>6412.9</v>
      </c>
      <c r="N251" s="38">
        <f t="shared" si="32"/>
        <v>102606.39999999999</v>
      </c>
      <c r="O251" s="39">
        <f t="shared" si="33"/>
        <v>6425.3788888888885</v>
      </c>
      <c r="P251" s="40">
        <f t="shared" si="34"/>
        <v>-0.37241210678280368</v>
      </c>
      <c r="Q251" s="39">
        <f t="shared" si="35"/>
        <v>102423.2</v>
      </c>
      <c r="R251" s="41"/>
      <c r="T251" s="42">
        <f t="shared" si="36"/>
        <v>-1</v>
      </c>
      <c r="U251" s="42">
        <f t="shared" si="37"/>
        <v>1</v>
      </c>
      <c r="V251" s="42">
        <f t="shared" si="38"/>
        <v>0</v>
      </c>
    </row>
    <row r="252" spans="1:22" s="28" customFormat="1" ht="73.5" customHeight="1" x14ac:dyDescent="0.2">
      <c r="A252" s="30">
        <v>241</v>
      </c>
      <c r="B252" s="31" t="s">
        <v>354</v>
      </c>
      <c r="C252" s="32" t="s">
        <v>25</v>
      </c>
      <c r="D252" s="33">
        <v>9</v>
      </c>
      <c r="E252" s="35">
        <v>6620.5</v>
      </c>
      <c r="F252" s="32" t="s">
        <v>27</v>
      </c>
      <c r="G252" s="37">
        <f>7723.18/1.2</f>
        <v>6435.9833333333336</v>
      </c>
      <c r="H252" s="38">
        <f t="shared" si="39"/>
        <v>57923.850000000006</v>
      </c>
      <c r="I252" s="38" t="s">
        <v>28</v>
      </c>
      <c r="J252" s="37">
        <v>6705.7</v>
      </c>
      <c r="K252" s="38">
        <f t="shared" si="31"/>
        <v>60351.299999999996</v>
      </c>
      <c r="L252" s="33" t="s">
        <v>29</v>
      </c>
      <c r="M252" s="37">
        <v>6944.66</v>
      </c>
      <c r="N252" s="38">
        <f t="shared" si="32"/>
        <v>62501.94</v>
      </c>
      <c r="O252" s="39">
        <f t="shared" si="33"/>
        <v>6695.4477777777784</v>
      </c>
      <c r="P252" s="40">
        <f t="shared" si="34"/>
        <v>-1.1193840989475063</v>
      </c>
      <c r="Q252" s="39">
        <f t="shared" si="35"/>
        <v>59584.5</v>
      </c>
      <c r="R252" s="41"/>
      <c r="T252" s="42">
        <f t="shared" si="36"/>
        <v>-4</v>
      </c>
      <c r="U252" s="42">
        <f t="shared" si="37"/>
        <v>0</v>
      </c>
      <c r="V252" s="42">
        <f t="shared" si="38"/>
        <v>4</v>
      </c>
    </row>
    <row r="253" spans="1:22" s="28" customFormat="1" ht="96.75" customHeight="1" x14ac:dyDescent="0.2">
      <c r="A253" s="30">
        <v>242</v>
      </c>
      <c r="B253" s="31" t="s">
        <v>355</v>
      </c>
      <c r="C253" s="32" t="s">
        <v>25</v>
      </c>
      <c r="D253" s="33" t="s">
        <v>356</v>
      </c>
      <c r="E253" s="35">
        <v>17795.68</v>
      </c>
      <c r="F253" s="32" t="s">
        <v>27</v>
      </c>
      <c r="G253" s="37">
        <v>17031.560000000001</v>
      </c>
      <c r="H253" s="38">
        <f t="shared" si="39"/>
        <v>323599.64</v>
      </c>
      <c r="I253" s="38" t="s">
        <v>28</v>
      </c>
      <c r="J253" s="37">
        <v>17950.8</v>
      </c>
      <c r="K253" s="38">
        <f t="shared" si="31"/>
        <v>341065.2</v>
      </c>
      <c r="L253" s="33" t="s">
        <v>29</v>
      </c>
      <c r="M253" s="37">
        <v>18500.400000000001</v>
      </c>
      <c r="N253" s="38">
        <f t="shared" si="32"/>
        <v>351507.60000000003</v>
      </c>
      <c r="O253" s="39">
        <f t="shared" si="33"/>
        <v>17827.586666666666</v>
      </c>
      <c r="P253" s="40">
        <f t="shared" si="34"/>
        <v>-0.17897356082595195</v>
      </c>
      <c r="Q253" s="39">
        <f t="shared" si="35"/>
        <v>338117.92</v>
      </c>
      <c r="R253" s="41"/>
      <c r="T253" s="42">
        <f t="shared" si="36"/>
        <v>-4</v>
      </c>
      <c r="U253" s="42">
        <f t="shared" si="37"/>
        <v>1</v>
      </c>
      <c r="V253" s="42">
        <f t="shared" si="38"/>
        <v>4</v>
      </c>
    </row>
    <row r="254" spans="1:22" s="28" customFormat="1" ht="73.5" customHeight="1" x14ac:dyDescent="0.2">
      <c r="A254" s="30">
        <v>243</v>
      </c>
      <c r="B254" s="31" t="s">
        <v>357</v>
      </c>
      <c r="C254" s="32" t="s">
        <v>25</v>
      </c>
      <c r="D254" s="33">
        <v>186</v>
      </c>
      <c r="E254" s="35">
        <v>6160.34</v>
      </c>
      <c r="F254" s="32" t="s">
        <v>27</v>
      </c>
      <c r="G254" s="37">
        <f>7116.72/1.2</f>
        <v>5930.6</v>
      </c>
      <c r="H254" s="38">
        <f t="shared" si="39"/>
        <v>1103091.6000000001</v>
      </c>
      <c r="I254" s="38" t="s">
        <v>28</v>
      </c>
      <c r="J254" s="37">
        <v>6254.69</v>
      </c>
      <c r="K254" s="38">
        <f t="shared" si="31"/>
        <v>1163372.3399999999</v>
      </c>
      <c r="L254" s="33" t="s">
        <v>29</v>
      </c>
      <c r="M254" s="37">
        <v>6411.33</v>
      </c>
      <c r="N254" s="38">
        <f t="shared" si="32"/>
        <v>1192507.3799999999</v>
      </c>
      <c r="O254" s="39">
        <f t="shared" si="33"/>
        <v>6198.8733333333339</v>
      </c>
      <c r="P254" s="40">
        <f t="shared" si="34"/>
        <v>-0.62161833709566849</v>
      </c>
      <c r="Q254" s="39">
        <f t="shared" si="35"/>
        <v>1145823.24</v>
      </c>
      <c r="R254" s="64"/>
      <c r="T254" s="42">
        <f t="shared" si="36"/>
        <v>-4</v>
      </c>
      <c r="U254" s="42">
        <f t="shared" si="37"/>
        <v>1</v>
      </c>
      <c r="V254" s="42">
        <f t="shared" si="38"/>
        <v>3</v>
      </c>
    </row>
    <row r="255" spans="1:22" s="28" customFormat="1" ht="73.5" customHeight="1" x14ac:dyDescent="0.2">
      <c r="A255" s="30">
        <v>244</v>
      </c>
      <c r="B255" s="31" t="s">
        <v>358</v>
      </c>
      <c r="C255" s="32" t="s">
        <v>25</v>
      </c>
      <c r="D255" s="33">
        <v>3</v>
      </c>
      <c r="E255" s="35">
        <v>803.64</v>
      </c>
      <c r="F255" s="32" t="s">
        <v>27</v>
      </c>
      <c r="G255" s="37">
        <f>977.24/1.2</f>
        <v>814.36666666666667</v>
      </c>
      <c r="H255" s="38">
        <f t="shared" si="39"/>
        <v>2443.1</v>
      </c>
      <c r="I255" s="38" t="s">
        <v>28</v>
      </c>
      <c r="J255" s="37">
        <v>847.5</v>
      </c>
      <c r="K255" s="38">
        <f t="shared" si="31"/>
        <v>2542.5</v>
      </c>
      <c r="L255" s="33" t="s">
        <v>29</v>
      </c>
      <c r="M255" s="37">
        <v>802.4</v>
      </c>
      <c r="N255" s="38">
        <f t="shared" si="32"/>
        <v>2407.1999999999998</v>
      </c>
      <c r="O255" s="39">
        <f t="shared" si="33"/>
        <v>821.42222222222233</v>
      </c>
      <c r="P255" s="40">
        <f t="shared" si="34"/>
        <v>-2.1648090033546339</v>
      </c>
      <c r="Q255" s="39">
        <f t="shared" si="35"/>
        <v>2410.92</v>
      </c>
      <c r="R255" s="41"/>
      <c r="T255" s="42">
        <f t="shared" si="36"/>
        <v>-1</v>
      </c>
      <c r="U255" s="42">
        <f t="shared" si="37"/>
        <v>3</v>
      </c>
      <c r="V255" s="42">
        <f t="shared" si="38"/>
        <v>-2</v>
      </c>
    </row>
    <row r="256" spans="1:22" s="28" customFormat="1" ht="73.5" customHeight="1" x14ac:dyDescent="0.2">
      <c r="A256" s="30">
        <v>245</v>
      </c>
      <c r="B256" s="31" t="s">
        <v>359</v>
      </c>
      <c r="C256" s="32" t="s">
        <v>25</v>
      </c>
      <c r="D256" s="33">
        <v>5</v>
      </c>
      <c r="E256" s="35">
        <v>6504.74</v>
      </c>
      <c r="F256" s="32" t="s">
        <v>27</v>
      </c>
      <c r="G256" s="37">
        <f>7779.68/1.2</f>
        <v>6483.0666666666675</v>
      </c>
      <c r="H256" s="38">
        <f t="shared" si="39"/>
        <v>32415.333333333336</v>
      </c>
      <c r="I256" s="38" t="s">
        <v>28</v>
      </c>
      <c r="J256" s="37">
        <v>6402.14</v>
      </c>
      <c r="K256" s="38">
        <f t="shared" si="31"/>
        <v>32010.7</v>
      </c>
      <c r="L256" s="33" t="s">
        <v>29</v>
      </c>
      <c r="M256" s="37">
        <v>6755.82</v>
      </c>
      <c r="N256" s="38">
        <f t="shared" si="32"/>
        <v>33779.1</v>
      </c>
      <c r="O256" s="39">
        <f t="shared" si="33"/>
        <v>6547.0088888888895</v>
      </c>
      <c r="P256" s="40">
        <f t="shared" si="34"/>
        <v>-0.64562137620777094</v>
      </c>
      <c r="Q256" s="39">
        <f t="shared" si="35"/>
        <v>32523.699999999997</v>
      </c>
      <c r="R256" s="41"/>
      <c r="T256" s="42">
        <f t="shared" si="36"/>
        <v>-1</v>
      </c>
      <c r="U256" s="42">
        <f t="shared" si="37"/>
        <v>-2</v>
      </c>
      <c r="V256" s="42">
        <f t="shared" si="38"/>
        <v>3</v>
      </c>
    </row>
    <row r="257" spans="1:22" s="28" customFormat="1" ht="73.5" customHeight="1" x14ac:dyDescent="0.2">
      <c r="A257" s="30">
        <v>246</v>
      </c>
      <c r="B257" s="31" t="s">
        <v>360</v>
      </c>
      <c r="C257" s="32" t="s">
        <v>25</v>
      </c>
      <c r="D257" s="33">
        <v>26</v>
      </c>
      <c r="E257" s="35">
        <v>11227.31</v>
      </c>
      <c r="F257" s="32" t="s">
        <v>27</v>
      </c>
      <c r="G257" s="37">
        <f>13531.04/1.2</f>
        <v>11275.866666666669</v>
      </c>
      <c r="H257" s="38">
        <f t="shared" si="39"/>
        <v>293172.53333333338</v>
      </c>
      <c r="I257" s="38" t="s">
        <v>28</v>
      </c>
      <c r="J257" s="37">
        <v>11489.66</v>
      </c>
      <c r="K257" s="38">
        <f t="shared" si="31"/>
        <v>298731.15999999997</v>
      </c>
      <c r="L257" s="33" t="s">
        <v>29</v>
      </c>
      <c r="M257" s="37">
        <v>11020.45</v>
      </c>
      <c r="N257" s="38">
        <f t="shared" si="32"/>
        <v>286531.7</v>
      </c>
      <c r="O257" s="39">
        <f t="shared" si="33"/>
        <v>11261.992222222223</v>
      </c>
      <c r="P257" s="40">
        <f t="shared" si="34"/>
        <v>-0.3079581439755259</v>
      </c>
      <c r="Q257" s="39">
        <f t="shared" si="35"/>
        <v>291910.06</v>
      </c>
      <c r="R257" s="41"/>
      <c r="T257" s="42">
        <f t="shared" si="36"/>
        <v>0</v>
      </c>
      <c r="U257" s="42">
        <f t="shared" si="37"/>
        <v>2</v>
      </c>
      <c r="V257" s="42">
        <f t="shared" si="38"/>
        <v>-2</v>
      </c>
    </row>
    <row r="258" spans="1:22" s="28" customFormat="1" ht="73.5" customHeight="1" x14ac:dyDescent="0.2">
      <c r="A258" s="30">
        <v>247</v>
      </c>
      <c r="B258" s="31" t="s">
        <v>361</v>
      </c>
      <c r="C258" s="32" t="s">
        <v>25</v>
      </c>
      <c r="D258" s="33">
        <v>20</v>
      </c>
      <c r="E258" s="35">
        <v>13102.47</v>
      </c>
      <c r="F258" s="32" t="s">
        <v>27</v>
      </c>
      <c r="G258" s="37">
        <f>15620.43/1.2</f>
        <v>13017.025000000001</v>
      </c>
      <c r="H258" s="38">
        <f t="shared" si="39"/>
        <v>260340.50000000003</v>
      </c>
      <c r="I258" s="38" t="s">
        <v>28</v>
      </c>
      <c r="J258" s="37">
        <v>12950.42</v>
      </c>
      <c r="K258" s="38">
        <f t="shared" si="31"/>
        <v>259008.4</v>
      </c>
      <c r="L258" s="33" t="s">
        <v>29</v>
      </c>
      <c r="M258" s="37">
        <v>13451.61</v>
      </c>
      <c r="N258" s="38">
        <f t="shared" si="32"/>
        <v>269032.2</v>
      </c>
      <c r="O258" s="39">
        <f t="shared" si="33"/>
        <v>13139.684999999999</v>
      </c>
      <c r="P258" s="40">
        <f t="shared" si="34"/>
        <v>-0.28322596774579267</v>
      </c>
      <c r="Q258" s="39">
        <f t="shared" si="35"/>
        <v>262049.4</v>
      </c>
      <c r="R258" s="41"/>
      <c r="T258" s="42">
        <f t="shared" si="36"/>
        <v>-1</v>
      </c>
      <c r="U258" s="42">
        <f t="shared" si="37"/>
        <v>-1</v>
      </c>
      <c r="V258" s="42">
        <f t="shared" si="38"/>
        <v>2</v>
      </c>
    </row>
    <row r="259" spans="1:22" s="28" customFormat="1" ht="73.5" customHeight="1" x14ac:dyDescent="0.2">
      <c r="A259" s="30">
        <v>248</v>
      </c>
      <c r="B259" s="31" t="s">
        <v>362</v>
      </c>
      <c r="C259" s="32" t="s">
        <v>25</v>
      </c>
      <c r="D259" s="33">
        <v>6</v>
      </c>
      <c r="E259" s="35">
        <v>9723.4</v>
      </c>
      <c r="F259" s="32" t="s">
        <v>27</v>
      </c>
      <c r="G259" s="37">
        <f>11643.9/1.2</f>
        <v>9703.25</v>
      </c>
      <c r="H259" s="38">
        <f t="shared" si="39"/>
        <v>58219.5</v>
      </c>
      <c r="I259" s="38" t="s">
        <v>28</v>
      </c>
      <c r="J259" s="37">
        <v>9670.9</v>
      </c>
      <c r="K259" s="38">
        <f t="shared" si="31"/>
        <v>58025.399999999994</v>
      </c>
      <c r="L259" s="33" t="s">
        <v>29</v>
      </c>
      <c r="M259" s="37">
        <v>9977.4699999999993</v>
      </c>
      <c r="N259" s="38">
        <f t="shared" si="32"/>
        <v>59864.819999999992</v>
      </c>
      <c r="O259" s="39">
        <f t="shared" si="33"/>
        <v>9783.8733333333348</v>
      </c>
      <c r="P259" s="40">
        <f t="shared" si="34"/>
        <v>-0.61809194858751937</v>
      </c>
      <c r="Q259" s="39">
        <f t="shared" si="35"/>
        <v>58340.399999999994</v>
      </c>
      <c r="R259" s="41"/>
      <c r="T259" s="42">
        <f t="shared" si="36"/>
        <v>-1</v>
      </c>
      <c r="U259" s="42">
        <f t="shared" si="37"/>
        <v>-1</v>
      </c>
      <c r="V259" s="42">
        <f t="shared" si="38"/>
        <v>2</v>
      </c>
    </row>
    <row r="260" spans="1:22" s="28" customFormat="1" ht="73.5" customHeight="1" x14ac:dyDescent="0.2">
      <c r="A260" s="30">
        <v>249</v>
      </c>
      <c r="B260" s="31" t="s">
        <v>363</v>
      </c>
      <c r="C260" s="32" t="s">
        <v>25</v>
      </c>
      <c r="D260" s="33">
        <v>7</v>
      </c>
      <c r="E260" s="35">
        <v>37685.879999999997</v>
      </c>
      <c r="F260" s="32" t="s">
        <v>27</v>
      </c>
      <c r="G260" s="37">
        <f>45140.87/1.2</f>
        <v>37617.39166666667</v>
      </c>
      <c r="H260" s="38">
        <f t="shared" ref="H260:H291" si="40">D260*G260</f>
        <v>263321.7416666667</v>
      </c>
      <c r="I260" s="38" t="s">
        <v>28</v>
      </c>
      <c r="J260" s="37">
        <v>36970.31</v>
      </c>
      <c r="K260" s="38">
        <f t="shared" si="31"/>
        <v>258792.16999999998</v>
      </c>
      <c r="L260" s="33" t="s">
        <v>29</v>
      </c>
      <c r="M260" s="37">
        <v>38780.300000000003</v>
      </c>
      <c r="N260" s="38">
        <f t="shared" si="32"/>
        <v>271462.10000000003</v>
      </c>
      <c r="O260" s="39">
        <f t="shared" si="33"/>
        <v>37789.33388888889</v>
      </c>
      <c r="P260" s="40">
        <f t="shared" si="34"/>
        <v>-0.27376478556907102</v>
      </c>
      <c r="Q260" s="39">
        <f t="shared" si="35"/>
        <v>263801.15999999997</v>
      </c>
      <c r="R260" s="41"/>
      <c r="T260" s="42">
        <f t="shared" si="36"/>
        <v>0</v>
      </c>
      <c r="U260" s="42">
        <f t="shared" si="37"/>
        <v>-2</v>
      </c>
      <c r="V260" s="42">
        <f t="shared" si="38"/>
        <v>3</v>
      </c>
    </row>
    <row r="261" spans="1:22" s="28" customFormat="1" ht="73.5" customHeight="1" x14ac:dyDescent="0.2">
      <c r="A261" s="30">
        <v>250</v>
      </c>
      <c r="B261" s="31" t="s">
        <v>364</v>
      </c>
      <c r="C261" s="32" t="s">
        <v>25</v>
      </c>
      <c r="D261" s="33">
        <v>96</v>
      </c>
      <c r="E261" s="35">
        <v>14297.31</v>
      </c>
      <c r="F261" s="32" t="s">
        <v>27</v>
      </c>
      <c r="G261" s="37">
        <f>16365.36/1.2</f>
        <v>13637.800000000001</v>
      </c>
      <c r="H261" s="38">
        <f t="shared" si="40"/>
        <v>1309228.8</v>
      </c>
      <c r="I261" s="38" t="s">
        <v>28</v>
      </c>
      <c r="J261" s="37">
        <v>14945.88</v>
      </c>
      <c r="K261" s="38">
        <f t="shared" si="31"/>
        <v>1434804.48</v>
      </c>
      <c r="L261" s="33" t="s">
        <v>29</v>
      </c>
      <c r="M261" s="37">
        <v>14511.7</v>
      </c>
      <c r="N261" s="38">
        <f t="shared" si="32"/>
        <v>1393123.2000000002</v>
      </c>
      <c r="O261" s="39">
        <f t="shared" si="33"/>
        <v>14365.126666666669</v>
      </c>
      <c r="P261" s="40">
        <f t="shared" si="34"/>
        <v>-0.47209236813785083</v>
      </c>
      <c r="Q261" s="39">
        <f t="shared" si="35"/>
        <v>1372541.76</v>
      </c>
      <c r="R261" s="41"/>
      <c r="T261" s="42">
        <f t="shared" si="36"/>
        <v>-5</v>
      </c>
      <c r="U261" s="42">
        <f t="shared" si="37"/>
        <v>4</v>
      </c>
      <c r="V261" s="42">
        <f t="shared" si="38"/>
        <v>1</v>
      </c>
    </row>
    <row r="262" spans="1:22" s="28" customFormat="1" ht="73.5" customHeight="1" x14ac:dyDescent="0.2">
      <c r="A262" s="30">
        <v>251</v>
      </c>
      <c r="B262" s="31" t="s">
        <v>365</v>
      </c>
      <c r="C262" s="32" t="s">
        <v>25</v>
      </c>
      <c r="D262" s="33">
        <v>20</v>
      </c>
      <c r="E262" s="35">
        <v>10989.9</v>
      </c>
      <c r="F262" s="32" t="s">
        <v>27</v>
      </c>
      <c r="G262" s="37">
        <f>12703.22/1.2</f>
        <v>10586.016666666666</v>
      </c>
      <c r="H262" s="38">
        <f t="shared" si="40"/>
        <v>211720.33333333331</v>
      </c>
      <c r="I262" s="38" t="s">
        <v>28</v>
      </c>
      <c r="J262" s="37">
        <v>11600.4</v>
      </c>
      <c r="K262" s="38">
        <f t="shared" si="31"/>
        <v>232008</v>
      </c>
      <c r="L262" s="33" t="s">
        <v>29</v>
      </c>
      <c r="M262" s="37">
        <v>10945.3</v>
      </c>
      <c r="N262" s="38">
        <f t="shared" si="32"/>
        <v>218906</v>
      </c>
      <c r="O262" s="39">
        <f t="shared" si="33"/>
        <v>11043.905555555553</v>
      </c>
      <c r="P262" s="40">
        <f t="shared" si="34"/>
        <v>-0.48900776345725205</v>
      </c>
      <c r="Q262" s="39">
        <f t="shared" si="35"/>
        <v>219798</v>
      </c>
      <c r="R262" s="41"/>
      <c r="T262" s="42">
        <f t="shared" si="36"/>
        <v>-4</v>
      </c>
      <c r="U262" s="42">
        <f t="shared" si="37"/>
        <v>5</v>
      </c>
      <c r="V262" s="42">
        <f t="shared" si="38"/>
        <v>-1</v>
      </c>
    </row>
    <row r="263" spans="1:22" s="28" customFormat="1" ht="73.5" customHeight="1" x14ac:dyDescent="0.2">
      <c r="A263" s="30">
        <v>252</v>
      </c>
      <c r="B263" s="31" t="s">
        <v>366</v>
      </c>
      <c r="C263" s="32" t="s">
        <v>25</v>
      </c>
      <c r="D263" s="33">
        <v>2</v>
      </c>
      <c r="E263" s="35">
        <v>18180.7</v>
      </c>
      <c r="F263" s="32" t="s">
        <v>27</v>
      </c>
      <c r="G263" s="37">
        <f>20730.05/1.2</f>
        <v>17275.041666666668</v>
      </c>
      <c r="H263" s="38">
        <f t="shared" si="40"/>
        <v>34550.083333333336</v>
      </c>
      <c r="I263" s="38" t="s">
        <v>28</v>
      </c>
      <c r="J263" s="37">
        <v>18056.72</v>
      </c>
      <c r="K263" s="38">
        <f t="shared" si="31"/>
        <v>36113.440000000002</v>
      </c>
      <c r="L263" s="33" t="s">
        <v>29</v>
      </c>
      <c r="M263" s="37">
        <v>19401.5</v>
      </c>
      <c r="N263" s="38">
        <f t="shared" si="32"/>
        <v>38803</v>
      </c>
      <c r="O263" s="39">
        <f t="shared" si="33"/>
        <v>18244.420555555556</v>
      </c>
      <c r="P263" s="40">
        <f t="shared" si="34"/>
        <v>-0.34926050603537817</v>
      </c>
      <c r="Q263" s="39">
        <f t="shared" si="35"/>
        <v>36361.4</v>
      </c>
      <c r="R263" s="41"/>
      <c r="T263" s="42">
        <f t="shared" si="36"/>
        <v>-5</v>
      </c>
      <c r="U263" s="42">
        <f t="shared" si="37"/>
        <v>-1</v>
      </c>
      <c r="V263" s="42">
        <f t="shared" si="38"/>
        <v>6</v>
      </c>
    </row>
    <row r="264" spans="1:22" s="28" customFormat="1" ht="73.5" customHeight="1" x14ac:dyDescent="0.2">
      <c r="A264" s="30">
        <v>253</v>
      </c>
      <c r="B264" s="31" t="s">
        <v>367</v>
      </c>
      <c r="C264" s="32" t="s">
        <v>25</v>
      </c>
      <c r="D264" s="33">
        <v>2</v>
      </c>
      <c r="E264" s="35">
        <v>15497.6</v>
      </c>
      <c r="F264" s="32" t="s">
        <v>27</v>
      </c>
      <c r="G264" s="37">
        <f>19032.94/1.2</f>
        <v>15860.783333333333</v>
      </c>
      <c r="H264" s="38">
        <f t="shared" si="40"/>
        <v>31721.566666666666</v>
      </c>
      <c r="I264" s="38" t="s">
        <v>28</v>
      </c>
      <c r="J264" s="37">
        <v>15002.64</v>
      </c>
      <c r="K264" s="38">
        <f t="shared" si="31"/>
        <v>30005.279999999999</v>
      </c>
      <c r="L264" s="33" t="s">
        <v>29</v>
      </c>
      <c r="M264" s="37">
        <v>16200.7</v>
      </c>
      <c r="N264" s="38">
        <f t="shared" si="32"/>
        <v>32401.4</v>
      </c>
      <c r="O264" s="39">
        <f t="shared" si="33"/>
        <v>15688.041111111112</v>
      </c>
      <c r="P264" s="40">
        <f t="shared" si="34"/>
        <v>-1.2139253700465531</v>
      </c>
      <c r="Q264" s="39">
        <f t="shared" si="35"/>
        <v>30995.200000000001</v>
      </c>
      <c r="R264" s="41"/>
      <c r="T264" s="42">
        <f t="shared" si="36"/>
        <v>1</v>
      </c>
      <c r="U264" s="42">
        <f t="shared" si="37"/>
        <v>-4</v>
      </c>
      <c r="V264" s="42">
        <f t="shared" si="38"/>
        <v>3</v>
      </c>
    </row>
    <row r="265" spans="1:22" s="28" customFormat="1" ht="73.5" customHeight="1" x14ac:dyDescent="0.2">
      <c r="A265" s="30">
        <v>254</v>
      </c>
      <c r="B265" s="31" t="s">
        <v>368</v>
      </c>
      <c r="C265" s="32" t="s">
        <v>25</v>
      </c>
      <c r="D265" s="33">
        <v>16</v>
      </c>
      <c r="E265" s="35">
        <v>16602.099999999999</v>
      </c>
      <c r="F265" s="32" t="s">
        <v>27</v>
      </c>
      <c r="G265" s="37">
        <f>19411.67/1.2</f>
        <v>16176.391666666666</v>
      </c>
      <c r="H265" s="38">
        <f t="shared" si="40"/>
        <v>258822.26666666666</v>
      </c>
      <c r="I265" s="38" t="s">
        <v>28</v>
      </c>
      <c r="J265" s="37">
        <v>17921.59</v>
      </c>
      <c r="K265" s="38">
        <f t="shared" si="31"/>
        <v>286745.44</v>
      </c>
      <c r="L265" s="33" t="s">
        <v>29</v>
      </c>
      <c r="M265" s="37">
        <v>15947.3</v>
      </c>
      <c r="N265" s="38">
        <f t="shared" si="32"/>
        <v>255156.8</v>
      </c>
      <c r="O265" s="39">
        <f t="shared" si="33"/>
        <v>16681.760555555553</v>
      </c>
      <c r="P265" s="40">
        <f t="shared" si="34"/>
        <v>-0.47753086546387635</v>
      </c>
      <c r="Q265" s="39">
        <f t="shared" si="35"/>
        <v>265633.59999999998</v>
      </c>
      <c r="R265" s="41"/>
      <c r="T265" s="42">
        <f t="shared" si="36"/>
        <v>-3</v>
      </c>
      <c r="U265" s="42">
        <f t="shared" si="37"/>
        <v>7</v>
      </c>
      <c r="V265" s="42">
        <f t="shared" si="38"/>
        <v>-4</v>
      </c>
    </row>
    <row r="266" spans="1:22" s="28" customFormat="1" ht="73.5" customHeight="1" x14ac:dyDescent="0.2">
      <c r="A266" s="30">
        <v>255</v>
      </c>
      <c r="B266" s="31" t="s">
        <v>369</v>
      </c>
      <c r="C266" s="32" t="s">
        <v>25</v>
      </c>
      <c r="D266" s="33">
        <v>6</v>
      </c>
      <c r="E266" s="35">
        <v>16354.78</v>
      </c>
      <c r="F266" s="32" t="s">
        <v>27</v>
      </c>
      <c r="G266" s="37">
        <f>19299.98/1.2</f>
        <v>16083.316666666668</v>
      </c>
      <c r="H266" s="38">
        <f t="shared" si="40"/>
        <v>96499.900000000009</v>
      </c>
      <c r="I266" s="38" t="s">
        <v>28</v>
      </c>
      <c r="J266" s="37">
        <v>16400.669999999998</v>
      </c>
      <c r="K266" s="38">
        <f t="shared" si="31"/>
        <v>98404.01999999999</v>
      </c>
      <c r="L266" s="33" t="s">
        <v>29</v>
      </c>
      <c r="M266" s="37">
        <v>17011.88</v>
      </c>
      <c r="N266" s="38">
        <f t="shared" si="32"/>
        <v>102071.28</v>
      </c>
      <c r="O266" s="39">
        <f t="shared" si="33"/>
        <v>16498.622222222224</v>
      </c>
      <c r="P266" s="40">
        <f t="shared" si="34"/>
        <v>-0.87184384419980177</v>
      </c>
      <c r="Q266" s="39">
        <f t="shared" si="35"/>
        <v>98128.680000000008</v>
      </c>
      <c r="R266" s="41"/>
      <c r="T266" s="42">
        <f t="shared" si="36"/>
        <v>-3</v>
      </c>
      <c r="U266" s="42">
        <f t="shared" si="37"/>
        <v>-1</v>
      </c>
      <c r="V266" s="42">
        <f t="shared" si="38"/>
        <v>3</v>
      </c>
    </row>
    <row r="267" spans="1:22" s="28" customFormat="1" ht="73.5" customHeight="1" x14ac:dyDescent="0.2">
      <c r="A267" s="30">
        <v>256</v>
      </c>
      <c r="B267" s="31" t="s">
        <v>370</v>
      </c>
      <c r="C267" s="32" t="s">
        <v>25</v>
      </c>
      <c r="D267" s="33">
        <v>1</v>
      </c>
      <c r="E267" s="35">
        <v>25020.5</v>
      </c>
      <c r="F267" s="32" t="s">
        <v>27</v>
      </c>
      <c r="G267" s="37">
        <f>28803.13/1.2</f>
        <v>24002.608333333334</v>
      </c>
      <c r="H267" s="38">
        <f t="shared" si="40"/>
        <v>24002.608333333334</v>
      </c>
      <c r="I267" s="38" t="s">
        <v>28</v>
      </c>
      <c r="J267" s="37">
        <v>26007.32</v>
      </c>
      <c r="K267" s="38">
        <f t="shared" si="31"/>
        <v>26007.32</v>
      </c>
      <c r="L267" s="33" t="s">
        <v>29</v>
      </c>
      <c r="M267" s="37">
        <v>25452.45</v>
      </c>
      <c r="N267" s="38">
        <f t="shared" si="32"/>
        <v>25452.45</v>
      </c>
      <c r="O267" s="39">
        <f t="shared" si="33"/>
        <v>25154.126111111109</v>
      </c>
      <c r="P267" s="40">
        <f t="shared" si="34"/>
        <v>-0.53122939163480964</v>
      </c>
      <c r="Q267" s="39">
        <f t="shared" si="35"/>
        <v>25020.5</v>
      </c>
      <c r="R267" s="41"/>
      <c r="T267" s="42">
        <f t="shared" si="36"/>
        <v>-5</v>
      </c>
      <c r="U267" s="42">
        <f t="shared" si="37"/>
        <v>3</v>
      </c>
      <c r="V267" s="42">
        <f t="shared" si="38"/>
        <v>1</v>
      </c>
    </row>
    <row r="268" spans="1:22" s="28" customFormat="1" ht="73.5" customHeight="1" x14ac:dyDescent="0.2">
      <c r="A268" s="30">
        <v>257</v>
      </c>
      <c r="B268" s="31" t="s">
        <v>371</v>
      </c>
      <c r="C268" s="32" t="s">
        <v>25</v>
      </c>
      <c r="D268" s="33" t="s">
        <v>372</v>
      </c>
      <c r="E268" s="35">
        <v>10970.42</v>
      </c>
      <c r="F268" s="32" t="s">
        <v>27</v>
      </c>
      <c r="G268" s="37">
        <f>12771.25/1.2</f>
        <v>10642.708333333334</v>
      </c>
      <c r="H268" s="38">
        <f t="shared" si="40"/>
        <v>2586178.125</v>
      </c>
      <c r="I268" s="38" t="s">
        <v>28</v>
      </c>
      <c r="J268" s="37">
        <v>11023.45</v>
      </c>
      <c r="K268" s="38">
        <f t="shared" ref="K268:K331" si="41">D268*J268</f>
        <v>2678698.35</v>
      </c>
      <c r="L268" s="33" t="s">
        <v>29</v>
      </c>
      <c r="M268" s="37">
        <v>11452.6</v>
      </c>
      <c r="N268" s="38">
        <f t="shared" ref="N268:N331" si="42">D268*M268</f>
        <v>2782981.8000000003</v>
      </c>
      <c r="O268" s="39">
        <f t="shared" ref="O268:O331" si="43">AVERAGE(G268,J268,M268)</f>
        <v>11039.58611111111</v>
      </c>
      <c r="P268" s="40">
        <f t="shared" ref="P268:P331" si="44">E268*100/O268-100</f>
        <v>-0.62652811812840525</v>
      </c>
      <c r="Q268" s="39">
        <f t="shared" ref="Q268:Q331" si="45">D268*E268</f>
        <v>2665812.06</v>
      </c>
      <c r="R268" s="41"/>
      <c r="T268" s="42">
        <f t="shared" ref="T268:T331" si="46">ROUND(G268*100/O268-100,0)</f>
        <v>-4</v>
      </c>
      <c r="U268" s="42">
        <f t="shared" ref="U268:U331" si="47">ROUND(J268*100/O268-100,0)</f>
        <v>0</v>
      </c>
      <c r="V268" s="42">
        <f t="shared" ref="V268:V331" si="48">ROUND(M268*100/O268-100,0)</f>
        <v>4</v>
      </c>
    </row>
    <row r="269" spans="1:22" s="28" customFormat="1" ht="73.5" customHeight="1" x14ac:dyDescent="0.2">
      <c r="A269" s="30">
        <v>258</v>
      </c>
      <c r="B269" s="31" t="s">
        <v>373</v>
      </c>
      <c r="C269" s="32" t="s">
        <v>45</v>
      </c>
      <c r="D269" s="33" t="s">
        <v>374</v>
      </c>
      <c r="E269" s="35">
        <v>3441.15</v>
      </c>
      <c r="F269" s="32" t="s">
        <v>375</v>
      </c>
      <c r="G269" s="37">
        <f>3619/1.2</f>
        <v>3015.8333333333335</v>
      </c>
      <c r="H269" s="38">
        <f t="shared" si="40"/>
        <v>15682.333333333334</v>
      </c>
      <c r="I269" s="32" t="s">
        <v>376</v>
      </c>
      <c r="J269" s="37">
        <v>3316.67</v>
      </c>
      <c r="K269" s="38">
        <f t="shared" si="41"/>
        <v>17246.684000000001</v>
      </c>
      <c r="L269" s="32" t="s">
        <v>377</v>
      </c>
      <c r="M269" s="37">
        <f>4800/1.2</f>
        <v>4000</v>
      </c>
      <c r="N269" s="38">
        <f t="shared" si="42"/>
        <v>20800</v>
      </c>
      <c r="O269" s="39">
        <f t="shared" si="43"/>
        <v>3444.1677777777782</v>
      </c>
      <c r="P269" s="40">
        <f t="shared" si="44"/>
        <v>-8.7619941085606001E-2</v>
      </c>
      <c r="Q269" s="39">
        <f t="shared" si="45"/>
        <v>17893.98</v>
      </c>
      <c r="R269" s="57"/>
      <c r="T269" s="42">
        <f t="shared" si="46"/>
        <v>-12</v>
      </c>
      <c r="U269" s="42">
        <f t="shared" si="47"/>
        <v>-4</v>
      </c>
      <c r="V269" s="42">
        <f t="shared" si="48"/>
        <v>16</v>
      </c>
    </row>
    <row r="270" spans="1:22" s="28" customFormat="1" ht="73.5" customHeight="1" x14ac:dyDescent="0.2">
      <c r="A270" s="30">
        <v>259</v>
      </c>
      <c r="B270" s="31" t="s">
        <v>378</v>
      </c>
      <c r="C270" s="32" t="s">
        <v>323</v>
      </c>
      <c r="D270" s="33">
        <v>8.0000000000000002E-3</v>
      </c>
      <c r="E270" s="35">
        <v>411502.5</v>
      </c>
      <c r="F270" s="38" t="s">
        <v>68</v>
      </c>
      <c r="G270" s="37">
        <f>498040.45/1.2</f>
        <v>415033.70833333337</v>
      </c>
      <c r="H270" s="38">
        <f t="shared" si="40"/>
        <v>3320.269666666667</v>
      </c>
      <c r="I270" s="32" t="s">
        <v>67</v>
      </c>
      <c r="J270" s="37">
        <f>503.49/1.2*1000</f>
        <v>419575.00000000006</v>
      </c>
      <c r="K270" s="38">
        <f t="shared" si="41"/>
        <v>3356.6000000000004</v>
      </c>
      <c r="L270" s="32" t="s">
        <v>272</v>
      </c>
      <c r="M270" s="37">
        <v>412432.5</v>
      </c>
      <c r="N270" s="38">
        <f t="shared" si="42"/>
        <v>3299.46</v>
      </c>
      <c r="O270" s="39">
        <f t="shared" si="43"/>
        <v>415680.40277777781</v>
      </c>
      <c r="P270" s="40">
        <f t="shared" si="44"/>
        <v>-1.0050757143851428</v>
      </c>
      <c r="Q270" s="39">
        <f t="shared" si="45"/>
        <v>3292.02</v>
      </c>
      <c r="R270" s="41"/>
      <c r="T270" s="42">
        <f t="shared" si="46"/>
        <v>0</v>
      </c>
      <c r="U270" s="42">
        <f t="shared" si="47"/>
        <v>1</v>
      </c>
      <c r="V270" s="42">
        <f t="shared" si="48"/>
        <v>-1</v>
      </c>
    </row>
    <row r="271" spans="1:22" s="28" customFormat="1" ht="73.5" customHeight="1" x14ac:dyDescent="0.2">
      <c r="A271" s="30">
        <v>260</v>
      </c>
      <c r="B271" s="31" t="s">
        <v>379</v>
      </c>
      <c r="C271" s="32" t="s">
        <v>25</v>
      </c>
      <c r="D271" s="33">
        <v>20</v>
      </c>
      <c r="E271" s="35">
        <v>28.03</v>
      </c>
      <c r="F271" s="32" t="s">
        <v>27</v>
      </c>
      <c r="G271" s="37">
        <f>30.27/1.2</f>
        <v>25.225000000000001</v>
      </c>
      <c r="H271" s="38">
        <f t="shared" si="40"/>
        <v>504.5</v>
      </c>
      <c r="I271" s="38" t="s">
        <v>28</v>
      </c>
      <c r="J271" s="37">
        <v>29.45</v>
      </c>
      <c r="K271" s="38">
        <f t="shared" si="41"/>
        <v>589</v>
      </c>
      <c r="L271" s="33" t="s">
        <v>29</v>
      </c>
      <c r="M271" s="37">
        <v>31.7</v>
      </c>
      <c r="N271" s="38">
        <f t="shared" si="42"/>
        <v>634</v>
      </c>
      <c r="O271" s="39">
        <f t="shared" si="43"/>
        <v>28.791666666666668</v>
      </c>
      <c r="P271" s="40">
        <f t="shared" si="44"/>
        <v>-2.6454413892908804</v>
      </c>
      <c r="Q271" s="39">
        <f t="shared" si="45"/>
        <v>560.6</v>
      </c>
      <c r="R271" s="41"/>
      <c r="T271" s="42">
        <f t="shared" si="46"/>
        <v>-12</v>
      </c>
      <c r="U271" s="42">
        <f t="shared" si="47"/>
        <v>2</v>
      </c>
      <c r="V271" s="42">
        <f t="shared" si="48"/>
        <v>10</v>
      </c>
    </row>
    <row r="272" spans="1:22" s="28" customFormat="1" ht="73.5" customHeight="1" x14ac:dyDescent="0.2">
      <c r="A272" s="30">
        <v>261</v>
      </c>
      <c r="B272" s="31" t="s">
        <v>380</v>
      </c>
      <c r="C272" s="32" t="s">
        <v>381</v>
      </c>
      <c r="D272" s="33">
        <v>2</v>
      </c>
      <c r="E272" s="35">
        <v>41590.199999999997</v>
      </c>
      <c r="F272" s="32" t="s">
        <v>90</v>
      </c>
      <c r="G272" s="37">
        <f>51705.01/1.2</f>
        <v>43087.508333333339</v>
      </c>
      <c r="H272" s="38">
        <f t="shared" si="40"/>
        <v>86175.016666666677</v>
      </c>
      <c r="I272" s="32" t="s">
        <v>46</v>
      </c>
      <c r="J272" s="37">
        <v>41393.25</v>
      </c>
      <c r="K272" s="38">
        <f t="shared" si="41"/>
        <v>82786.5</v>
      </c>
      <c r="L272" s="32" t="s">
        <v>58</v>
      </c>
      <c r="M272" s="37">
        <v>40981.06</v>
      </c>
      <c r="N272" s="38">
        <f t="shared" si="42"/>
        <v>81962.12</v>
      </c>
      <c r="O272" s="39">
        <f t="shared" si="43"/>
        <v>41820.606111111112</v>
      </c>
      <c r="P272" s="40">
        <f t="shared" si="44"/>
        <v>-0.55093919609620912</v>
      </c>
      <c r="Q272" s="39">
        <f t="shared" si="45"/>
        <v>83180.399999999994</v>
      </c>
      <c r="R272" s="41"/>
      <c r="T272" s="42">
        <f t="shared" si="46"/>
        <v>3</v>
      </c>
      <c r="U272" s="42">
        <f t="shared" si="47"/>
        <v>-1</v>
      </c>
      <c r="V272" s="42">
        <f t="shared" si="48"/>
        <v>-2</v>
      </c>
    </row>
    <row r="273" spans="1:22" s="28" customFormat="1" ht="73.5" customHeight="1" x14ac:dyDescent="0.2">
      <c r="A273" s="30">
        <v>262</v>
      </c>
      <c r="B273" s="31" t="s">
        <v>382</v>
      </c>
      <c r="C273" s="32" t="s">
        <v>383</v>
      </c>
      <c r="D273" s="33">
        <v>20</v>
      </c>
      <c r="E273" s="35">
        <v>1778.52</v>
      </c>
      <c r="F273" s="32" t="s">
        <v>27</v>
      </c>
      <c r="G273" s="37">
        <f>2098.33/1.2</f>
        <v>1748.6083333333333</v>
      </c>
      <c r="H273" s="38">
        <f t="shared" si="40"/>
        <v>34972.166666666664</v>
      </c>
      <c r="I273" s="38" t="s">
        <v>28</v>
      </c>
      <c r="J273" s="37">
        <v>1845.6</v>
      </c>
      <c r="K273" s="38">
        <f t="shared" si="41"/>
        <v>36912</v>
      </c>
      <c r="L273" s="33" t="s">
        <v>29</v>
      </c>
      <c r="M273" s="37">
        <v>1795.33</v>
      </c>
      <c r="N273" s="38">
        <f t="shared" si="42"/>
        <v>35906.6</v>
      </c>
      <c r="O273" s="39">
        <f t="shared" si="43"/>
        <v>1796.5127777777777</v>
      </c>
      <c r="P273" s="40">
        <f t="shared" si="44"/>
        <v>-1.0015390928660253</v>
      </c>
      <c r="Q273" s="39">
        <f t="shared" si="45"/>
        <v>35570.400000000001</v>
      </c>
      <c r="R273" s="47" t="s">
        <v>116</v>
      </c>
      <c r="T273" s="42">
        <f t="shared" si="46"/>
        <v>-3</v>
      </c>
      <c r="U273" s="42">
        <f t="shared" si="47"/>
        <v>3</v>
      </c>
      <c r="V273" s="42">
        <f t="shared" si="48"/>
        <v>0</v>
      </c>
    </row>
    <row r="274" spans="1:22" s="28" customFormat="1" ht="73.5" customHeight="1" x14ac:dyDescent="0.2">
      <c r="A274" s="30">
        <v>263</v>
      </c>
      <c r="B274" s="31" t="s">
        <v>384</v>
      </c>
      <c r="C274" s="32" t="s">
        <v>323</v>
      </c>
      <c r="D274" s="33">
        <v>18</v>
      </c>
      <c r="E274" s="35">
        <v>181054.64</v>
      </c>
      <c r="F274" s="38" t="s">
        <v>90</v>
      </c>
      <c r="G274" s="37">
        <v>185520</v>
      </c>
      <c r="H274" s="38">
        <f t="shared" si="40"/>
        <v>3339360</v>
      </c>
      <c r="I274" s="32" t="s">
        <v>385</v>
      </c>
      <c r="J274" s="37">
        <v>179571</v>
      </c>
      <c r="K274" s="38">
        <f t="shared" si="41"/>
        <v>3232278</v>
      </c>
      <c r="L274" s="32" t="s">
        <v>386</v>
      </c>
      <c r="M274" s="37">
        <v>179000</v>
      </c>
      <c r="N274" s="38">
        <f t="shared" si="42"/>
        <v>3222000</v>
      </c>
      <c r="O274" s="39">
        <f t="shared" si="43"/>
        <v>181363.66666666666</v>
      </c>
      <c r="P274" s="40">
        <f t="shared" si="44"/>
        <v>-0.17039061480524254</v>
      </c>
      <c r="Q274" s="39">
        <f t="shared" si="45"/>
        <v>3258983.5200000005</v>
      </c>
      <c r="R274" s="41"/>
      <c r="T274" s="42">
        <f t="shared" si="46"/>
        <v>2</v>
      </c>
      <c r="U274" s="42">
        <f t="shared" si="47"/>
        <v>-1</v>
      </c>
      <c r="V274" s="42">
        <f t="shared" si="48"/>
        <v>-1</v>
      </c>
    </row>
    <row r="275" spans="1:22" s="28" customFormat="1" ht="73.5" customHeight="1" x14ac:dyDescent="0.2">
      <c r="A275" s="30">
        <v>264</v>
      </c>
      <c r="B275" s="31" t="s">
        <v>387</v>
      </c>
      <c r="C275" s="32" t="s">
        <v>25</v>
      </c>
      <c r="D275" s="33">
        <v>48</v>
      </c>
      <c r="E275" s="35">
        <v>902.6</v>
      </c>
      <c r="F275" s="32" t="s">
        <v>56</v>
      </c>
      <c r="G275" s="37">
        <v>921.12</v>
      </c>
      <c r="H275" s="38">
        <f t="shared" si="40"/>
        <v>44213.760000000002</v>
      </c>
      <c r="I275" s="32" t="s">
        <v>57</v>
      </c>
      <c r="J275" s="37">
        <v>899.34</v>
      </c>
      <c r="K275" s="38">
        <f t="shared" si="41"/>
        <v>43168.32</v>
      </c>
      <c r="L275" s="38" t="s">
        <v>68</v>
      </c>
      <c r="M275" s="37">
        <v>925.7</v>
      </c>
      <c r="N275" s="38">
        <f t="shared" si="42"/>
        <v>44433.600000000006</v>
      </c>
      <c r="O275" s="39">
        <f t="shared" si="43"/>
        <v>915.38666666666666</v>
      </c>
      <c r="P275" s="40">
        <f t="shared" si="44"/>
        <v>-1.3968596148804124</v>
      </c>
      <c r="Q275" s="39">
        <f t="shared" si="45"/>
        <v>43324.800000000003</v>
      </c>
      <c r="R275" s="41"/>
      <c r="T275" s="42">
        <f t="shared" si="46"/>
        <v>1</v>
      </c>
      <c r="U275" s="42">
        <f t="shared" si="47"/>
        <v>-2</v>
      </c>
      <c r="V275" s="42">
        <f t="shared" si="48"/>
        <v>1</v>
      </c>
    </row>
    <row r="276" spans="1:22" s="28" customFormat="1" ht="73.5" customHeight="1" x14ac:dyDescent="0.2">
      <c r="A276" s="30">
        <v>265</v>
      </c>
      <c r="B276" s="31" t="s">
        <v>388</v>
      </c>
      <c r="C276" s="32" t="s">
        <v>25</v>
      </c>
      <c r="D276" s="33">
        <v>40</v>
      </c>
      <c r="E276" s="35">
        <v>835.7</v>
      </c>
      <c r="F276" s="32" t="s">
        <v>56</v>
      </c>
      <c r="G276" s="37">
        <v>811.5</v>
      </c>
      <c r="H276" s="38">
        <f t="shared" si="40"/>
        <v>32460</v>
      </c>
      <c r="I276" s="32" t="s">
        <v>57</v>
      </c>
      <c r="J276" s="37">
        <v>889.61</v>
      </c>
      <c r="K276" s="38">
        <f t="shared" si="41"/>
        <v>35584.400000000001</v>
      </c>
      <c r="L276" s="38" t="s">
        <v>68</v>
      </c>
      <c r="M276" s="37">
        <v>825.3</v>
      </c>
      <c r="N276" s="38">
        <f t="shared" si="42"/>
        <v>33012</v>
      </c>
      <c r="O276" s="39">
        <f t="shared" si="43"/>
        <v>842.13666666666666</v>
      </c>
      <c r="P276" s="40">
        <f t="shared" si="44"/>
        <v>-0.76432566368879407</v>
      </c>
      <c r="Q276" s="39">
        <f t="shared" si="45"/>
        <v>33428</v>
      </c>
      <c r="R276" s="41"/>
      <c r="T276" s="42">
        <f t="shared" si="46"/>
        <v>-4</v>
      </c>
      <c r="U276" s="42">
        <f t="shared" si="47"/>
        <v>6</v>
      </c>
      <c r="V276" s="42">
        <f t="shared" si="48"/>
        <v>-2</v>
      </c>
    </row>
    <row r="277" spans="1:22" s="28" customFormat="1" ht="73.5" customHeight="1" x14ac:dyDescent="0.2">
      <c r="A277" s="30">
        <v>266</v>
      </c>
      <c r="B277" s="31" t="s">
        <v>389</v>
      </c>
      <c r="C277" s="32" t="s">
        <v>390</v>
      </c>
      <c r="D277" s="33">
        <v>21</v>
      </c>
      <c r="E277" s="35">
        <v>856.33</v>
      </c>
      <c r="F277" s="32" t="s">
        <v>27</v>
      </c>
      <c r="G277" s="37">
        <f>988.3/1.2</f>
        <v>823.58333333333337</v>
      </c>
      <c r="H277" s="38">
        <f t="shared" si="40"/>
        <v>17295.25</v>
      </c>
      <c r="I277" s="38" t="s">
        <v>28</v>
      </c>
      <c r="J277" s="37">
        <v>897.61</v>
      </c>
      <c r="K277" s="38">
        <f t="shared" si="41"/>
        <v>18849.810000000001</v>
      </c>
      <c r="L277" s="33" t="s">
        <v>29</v>
      </c>
      <c r="M277" s="37">
        <v>854.77</v>
      </c>
      <c r="N277" s="38">
        <f t="shared" si="42"/>
        <v>17950.169999999998</v>
      </c>
      <c r="O277" s="39">
        <f t="shared" si="43"/>
        <v>858.65444444444438</v>
      </c>
      <c r="P277" s="40">
        <f t="shared" si="44"/>
        <v>-0.27070778698971765</v>
      </c>
      <c r="Q277" s="39">
        <f t="shared" si="45"/>
        <v>17982.93</v>
      </c>
      <c r="R277" s="41"/>
      <c r="T277" s="42">
        <f t="shared" si="46"/>
        <v>-4</v>
      </c>
      <c r="U277" s="42">
        <f t="shared" si="47"/>
        <v>5</v>
      </c>
      <c r="V277" s="42">
        <f t="shared" si="48"/>
        <v>0</v>
      </c>
    </row>
    <row r="278" spans="1:22" s="28" customFormat="1" ht="73.5" customHeight="1" x14ac:dyDescent="0.2">
      <c r="A278" s="30">
        <v>267</v>
      </c>
      <c r="B278" s="31" t="s">
        <v>391</v>
      </c>
      <c r="C278" s="32" t="s">
        <v>392</v>
      </c>
      <c r="D278" s="33">
        <v>80</v>
      </c>
      <c r="E278" s="35">
        <v>891.4</v>
      </c>
      <c r="F278" s="32" t="s">
        <v>27</v>
      </c>
      <c r="G278" s="37">
        <f>993.74/1.2</f>
        <v>828.11666666666667</v>
      </c>
      <c r="H278" s="38">
        <f t="shared" si="40"/>
        <v>66249.333333333328</v>
      </c>
      <c r="I278" s="38" t="s">
        <v>28</v>
      </c>
      <c r="J278" s="37">
        <v>910.49</v>
      </c>
      <c r="K278" s="38">
        <f t="shared" si="41"/>
        <v>72839.199999999997</v>
      </c>
      <c r="L278" s="33" t="s">
        <v>29</v>
      </c>
      <c r="M278" s="37">
        <v>941.56</v>
      </c>
      <c r="N278" s="38">
        <f t="shared" si="42"/>
        <v>75324.799999999988</v>
      </c>
      <c r="O278" s="39">
        <f t="shared" si="43"/>
        <v>893.3888888888888</v>
      </c>
      <c r="P278" s="40">
        <f t="shared" si="44"/>
        <v>-0.22262297120825281</v>
      </c>
      <c r="Q278" s="39">
        <f t="shared" si="45"/>
        <v>71312</v>
      </c>
      <c r="R278" s="41"/>
      <c r="T278" s="42">
        <f t="shared" si="46"/>
        <v>-7</v>
      </c>
      <c r="U278" s="42">
        <f t="shared" si="47"/>
        <v>2</v>
      </c>
      <c r="V278" s="42">
        <f t="shared" si="48"/>
        <v>5</v>
      </c>
    </row>
    <row r="279" spans="1:22" s="28" customFormat="1" ht="73.5" customHeight="1" x14ac:dyDescent="0.2">
      <c r="A279" s="30">
        <v>268</v>
      </c>
      <c r="B279" s="31" t="s">
        <v>393</v>
      </c>
      <c r="C279" s="32" t="s">
        <v>25</v>
      </c>
      <c r="D279" s="33">
        <v>44</v>
      </c>
      <c r="E279" s="35">
        <v>85001.4</v>
      </c>
      <c r="F279" s="32" t="s">
        <v>56</v>
      </c>
      <c r="G279" s="37">
        <v>85400.4</v>
      </c>
      <c r="H279" s="38">
        <f t="shared" si="40"/>
        <v>3757617.5999999996</v>
      </c>
      <c r="I279" s="32" t="s">
        <v>57</v>
      </c>
      <c r="J279" s="37">
        <v>83700.61</v>
      </c>
      <c r="K279" s="38">
        <f t="shared" si="41"/>
        <v>3682826.84</v>
      </c>
      <c r="L279" s="32" t="s">
        <v>119</v>
      </c>
      <c r="M279" s="37">
        <v>87712.52</v>
      </c>
      <c r="N279" s="38">
        <f t="shared" si="42"/>
        <v>3859350.8800000004</v>
      </c>
      <c r="O279" s="39">
        <f t="shared" si="43"/>
        <v>85604.510000000009</v>
      </c>
      <c r="P279" s="40">
        <f t="shared" si="44"/>
        <v>-0.70453063746292344</v>
      </c>
      <c r="Q279" s="39">
        <f t="shared" si="45"/>
        <v>3740061.5999999996</v>
      </c>
      <c r="R279" s="64"/>
      <c r="T279" s="42">
        <f t="shared" si="46"/>
        <v>0</v>
      </c>
      <c r="U279" s="42">
        <f t="shared" si="47"/>
        <v>-2</v>
      </c>
      <c r="V279" s="42">
        <f t="shared" si="48"/>
        <v>2</v>
      </c>
    </row>
    <row r="280" spans="1:22" s="28" customFormat="1" ht="282" customHeight="1" x14ac:dyDescent="0.2">
      <c r="A280" s="30">
        <v>269</v>
      </c>
      <c r="B280" s="74" t="s">
        <v>394</v>
      </c>
      <c r="C280" s="32" t="s">
        <v>65</v>
      </c>
      <c r="D280" s="33">
        <v>9</v>
      </c>
      <c r="E280" s="35">
        <v>13200.5</v>
      </c>
      <c r="F280" s="32" t="s">
        <v>27</v>
      </c>
      <c r="G280" s="37">
        <f>14543.24/1.2</f>
        <v>12119.366666666667</v>
      </c>
      <c r="H280" s="38">
        <f t="shared" si="40"/>
        <v>109074.3</v>
      </c>
      <c r="I280" s="38" t="s">
        <v>28</v>
      </c>
      <c r="J280" s="37">
        <v>13540.62</v>
      </c>
      <c r="K280" s="38">
        <f t="shared" si="41"/>
        <v>121865.58</v>
      </c>
      <c r="L280" s="33" t="s">
        <v>29</v>
      </c>
      <c r="M280" s="37">
        <v>13974.2</v>
      </c>
      <c r="N280" s="38">
        <f t="shared" si="42"/>
        <v>125767.8</v>
      </c>
      <c r="O280" s="39">
        <f t="shared" si="43"/>
        <v>13211.395555555557</v>
      </c>
      <c r="P280" s="40">
        <f t="shared" si="44"/>
        <v>-8.2470890450139223E-2</v>
      </c>
      <c r="Q280" s="39">
        <f t="shared" si="45"/>
        <v>118804.5</v>
      </c>
      <c r="R280" s="41"/>
      <c r="T280" s="42">
        <f t="shared" si="46"/>
        <v>-8</v>
      </c>
      <c r="U280" s="42">
        <f t="shared" si="47"/>
        <v>2</v>
      </c>
      <c r="V280" s="42">
        <f t="shared" si="48"/>
        <v>6</v>
      </c>
    </row>
    <row r="281" spans="1:22" s="28" customFormat="1" ht="287.25" customHeight="1" x14ac:dyDescent="0.2">
      <c r="A281" s="30">
        <v>270</v>
      </c>
      <c r="B281" s="74" t="s">
        <v>395</v>
      </c>
      <c r="C281" s="32" t="s">
        <v>65</v>
      </c>
      <c r="D281" s="33">
        <v>6</v>
      </c>
      <c r="E281" s="35">
        <v>13054.66</v>
      </c>
      <c r="F281" s="32" t="s">
        <v>27</v>
      </c>
      <c r="G281" s="37">
        <f>15425.82/1.2</f>
        <v>12854.85</v>
      </c>
      <c r="H281" s="38">
        <f t="shared" si="40"/>
        <v>77129.100000000006</v>
      </c>
      <c r="I281" s="38" t="s">
        <v>28</v>
      </c>
      <c r="J281" s="37">
        <v>13002.74</v>
      </c>
      <c r="K281" s="38">
        <f t="shared" si="41"/>
        <v>78016.44</v>
      </c>
      <c r="L281" s="33" t="s">
        <v>29</v>
      </c>
      <c r="M281" s="37">
        <v>13566.4</v>
      </c>
      <c r="N281" s="38">
        <f t="shared" si="42"/>
        <v>81398.399999999994</v>
      </c>
      <c r="O281" s="39">
        <f t="shared" si="43"/>
        <v>13141.33</v>
      </c>
      <c r="P281" s="40">
        <f t="shared" si="44"/>
        <v>-0.65952228579602945</v>
      </c>
      <c r="Q281" s="39">
        <f t="shared" si="45"/>
        <v>78327.959999999992</v>
      </c>
      <c r="R281" s="41"/>
      <c r="T281" s="42">
        <f t="shared" si="46"/>
        <v>-2</v>
      </c>
      <c r="U281" s="42">
        <f t="shared" si="47"/>
        <v>-1</v>
      </c>
      <c r="V281" s="42">
        <f t="shared" si="48"/>
        <v>3</v>
      </c>
    </row>
    <row r="282" spans="1:22" s="28" customFormat="1" ht="73.5" customHeight="1" x14ac:dyDescent="0.2">
      <c r="A282" s="30">
        <v>271</v>
      </c>
      <c r="B282" s="31" t="s">
        <v>396</v>
      </c>
      <c r="C282" s="32" t="s">
        <v>25</v>
      </c>
      <c r="D282" s="33">
        <v>1</v>
      </c>
      <c r="E282" s="35">
        <v>16735.5</v>
      </c>
      <c r="F282" s="32" t="s">
        <v>27</v>
      </c>
      <c r="G282" s="37">
        <f>20044.48/1.2</f>
        <v>16703.733333333334</v>
      </c>
      <c r="H282" s="38">
        <f t="shared" si="40"/>
        <v>16703.733333333334</v>
      </c>
      <c r="I282" s="38" t="s">
        <v>28</v>
      </c>
      <c r="J282" s="37">
        <v>16540.53</v>
      </c>
      <c r="K282" s="38">
        <f t="shared" si="41"/>
        <v>16540.53</v>
      </c>
      <c r="L282" s="33" t="s">
        <v>29</v>
      </c>
      <c r="M282" s="37">
        <v>17010</v>
      </c>
      <c r="N282" s="38">
        <f t="shared" si="42"/>
        <v>17010</v>
      </c>
      <c r="O282" s="39">
        <f t="shared" si="43"/>
        <v>16751.421111111111</v>
      </c>
      <c r="P282" s="40">
        <f t="shared" si="44"/>
        <v>-9.5043345907825483E-2</v>
      </c>
      <c r="Q282" s="39">
        <f t="shared" si="45"/>
        <v>16735.5</v>
      </c>
      <c r="R282" s="57"/>
      <c r="T282" s="42">
        <f t="shared" si="46"/>
        <v>0</v>
      </c>
      <c r="U282" s="42">
        <f t="shared" si="47"/>
        <v>-1</v>
      </c>
      <c r="V282" s="42">
        <f t="shared" si="48"/>
        <v>2</v>
      </c>
    </row>
    <row r="283" spans="1:22" s="28" customFormat="1" ht="73.5" customHeight="1" x14ac:dyDescent="0.2">
      <c r="A283" s="30">
        <v>272</v>
      </c>
      <c r="B283" s="31" t="s">
        <v>397</v>
      </c>
      <c r="C283" s="32" t="s">
        <v>25</v>
      </c>
      <c r="D283" s="33">
        <v>1</v>
      </c>
      <c r="E283" s="35">
        <v>2330.77</v>
      </c>
      <c r="F283" s="32" t="s">
        <v>27</v>
      </c>
      <c r="G283" s="37">
        <f>2628.72/1.2</f>
        <v>2190.6</v>
      </c>
      <c r="H283" s="38">
        <f t="shared" si="40"/>
        <v>2190.6</v>
      </c>
      <c r="I283" s="38" t="s">
        <v>28</v>
      </c>
      <c r="J283" s="37">
        <v>2345.6799999999998</v>
      </c>
      <c r="K283" s="38">
        <f t="shared" si="41"/>
        <v>2345.6799999999998</v>
      </c>
      <c r="L283" s="33" t="s">
        <v>29</v>
      </c>
      <c r="M283" s="37">
        <v>2487.1999999999998</v>
      </c>
      <c r="N283" s="38">
        <f t="shared" si="42"/>
        <v>2487.1999999999998</v>
      </c>
      <c r="O283" s="39">
        <f t="shared" si="43"/>
        <v>2341.16</v>
      </c>
      <c r="P283" s="40">
        <f t="shared" si="44"/>
        <v>-0.44379709203984419</v>
      </c>
      <c r="Q283" s="39">
        <f t="shared" si="45"/>
        <v>2330.77</v>
      </c>
      <c r="R283" s="41"/>
      <c r="T283" s="42">
        <f t="shared" si="46"/>
        <v>-6</v>
      </c>
      <c r="U283" s="42">
        <f t="shared" si="47"/>
        <v>0</v>
      </c>
      <c r="V283" s="42">
        <f t="shared" si="48"/>
        <v>6</v>
      </c>
    </row>
    <row r="284" spans="1:22" s="28" customFormat="1" ht="73.5" customHeight="1" x14ac:dyDescent="0.2">
      <c r="A284" s="30">
        <v>273</v>
      </c>
      <c r="B284" s="31" t="s">
        <v>398</v>
      </c>
      <c r="C284" s="32" t="s">
        <v>25</v>
      </c>
      <c r="D284" s="33">
        <v>2</v>
      </c>
      <c r="E284" s="35">
        <v>3600</v>
      </c>
      <c r="F284" s="32" t="s">
        <v>27</v>
      </c>
      <c r="G284" s="37">
        <f>3915.81/1.2</f>
        <v>3263.1750000000002</v>
      </c>
      <c r="H284" s="38">
        <f t="shared" si="40"/>
        <v>6526.35</v>
      </c>
      <c r="I284" s="38" t="s">
        <v>28</v>
      </c>
      <c r="J284" s="37">
        <v>3604.32</v>
      </c>
      <c r="K284" s="38">
        <f t="shared" si="41"/>
        <v>7208.64</v>
      </c>
      <c r="L284" s="33" t="s">
        <v>29</v>
      </c>
      <c r="M284" s="37">
        <v>3954.31</v>
      </c>
      <c r="N284" s="38">
        <f t="shared" si="42"/>
        <v>7908.62</v>
      </c>
      <c r="O284" s="39">
        <f t="shared" si="43"/>
        <v>3607.2683333333334</v>
      </c>
      <c r="P284" s="40">
        <f t="shared" si="44"/>
        <v>-0.20149134086227605</v>
      </c>
      <c r="Q284" s="39">
        <f t="shared" si="45"/>
        <v>7200</v>
      </c>
      <c r="R284" s="41"/>
      <c r="T284" s="42">
        <f t="shared" si="46"/>
        <v>-10</v>
      </c>
      <c r="U284" s="42">
        <f t="shared" si="47"/>
        <v>0</v>
      </c>
      <c r="V284" s="42">
        <f t="shared" si="48"/>
        <v>10</v>
      </c>
    </row>
    <row r="285" spans="1:22" s="28" customFormat="1" ht="73.5" customHeight="1" x14ac:dyDescent="0.2">
      <c r="A285" s="30">
        <v>274</v>
      </c>
      <c r="B285" s="31" t="s">
        <v>399</v>
      </c>
      <c r="C285" s="32" t="s">
        <v>25</v>
      </c>
      <c r="D285" s="33">
        <v>1</v>
      </c>
      <c r="E285" s="35">
        <v>6600.75</v>
      </c>
      <c r="F285" s="32" t="s">
        <v>27</v>
      </c>
      <c r="G285" s="37">
        <f>7630.45/1.2</f>
        <v>6358.708333333333</v>
      </c>
      <c r="H285" s="38">
        <f t="shared" si="40"/>
        <v>6358.708333333333</v>
      </c>
      <c r="I285" s="38" t="s">
        <v>28</v>
      </c>
      <c r="J285" s="37">
        <v>6468.15</v>
      </c>
      <c r="K285" s="38">
        <f t="shared" si="41"/>
        <v>6468.15</v>
      </c>
      <c r="L285" s="33" t="s">
        <v>29</v>
      </c>
      <c r="M285" s="37">
        <v>7020.16</v>
      </c>
      <c r="N285" s="38">
        <f t="shared" si="42"/>
        <v>7020.16</v>
      </c>
      <c r="O285" s="39">
        <f t="shared" si="43"/>
        <v>6615.6727777777778</v>
      </c>
      <c r="P285" s="40">
        <f t="shared" si="44"/>
        <v>-0.22556704781264614</v>
      </c>
      <c r="Q285" s="39">
        <f t="shared" si="45"/>
        <v>6600.75</v>
      </c>
      <c r="R285" s="41"/>
      <c r="T285" s="42">
        <f t="shared" si="46"/>
        <v>-4</v>
      </c>
      <c r="U285" s="42">
        <f t="shared" si="47"/>
        <v>-2</v>
      </c>
      <c r="V285" s="42">
        <f t="shared" si="48"/>
        <v>6</v>
      </c>
    </row>
    <row r="286" spans="1:22" s="28" customFormat="1" ht="73.5" customHeight="1" x14ac:dyDescent="0.2">
      <c r="A286" s="30">
        <v>275</v>
      </c>
      <c r="B286" s="31" t="s">
        <v>400</v>
      </c>
      <c r="C286" s="32" t="s">
        <v>25</v>
      </c>
      <c r="D286" s="33">
        <v>2</v>
      </c>
      <c r="E286" s="35">
        <v>27700.560000000001</v>
      </c>
      <c r="F286" s="32" t="s">
        <v>27</v>
      </c>
      <c r="G286" s="37">
        <f>32738.89/1.2</f>
        <v>27282.408333333333</v>
      </c>
      <c r="H286" s="38">
        <f t="shared" si="40"/>
        <v>54564.816666666666</v>
      </c>
      <c r="I286" s="38" t="s">
        <v>28</v>
      </c>
      <c r="J286" s="37">
        <v>28314.240000000002</v>
      </c>
      <c r="K286" s="38">
        <f t="shared" si="41"/>
        <v>56628.480000000003</v>
      </c>
      <c r="L286" s="33" t="s">
        <v>29</v>
      </c>
      <c r="M286" s="37">
        <v>27597.599999999999</v>
      </c>
      <c r="N286" s="38">
        <f t="shared" si="42"/>
        <v>55195.199999999997</v>
      </c>
      <c r="O286" s="39">
        <f t="shared" si="43"/>
        <v>27731.416111111106</v>
      </c>
      <c r="P286" s="40">
        <f t="shared" si="44"/>
        <v>-0.11126770803004149</v>
      </c>
      <c r="Q286" s="39">
        <f t="shared" si="45"/>
        <v>55401.120000000003</v>
      </c>
      <c r="R286" s="41"/>
      <c r="T286" s="42">
        <f t="shared" si="46"/>
        <v>-2</v>
      </c>
      <c r="U286" s="42">
        <f t="shared" si="47"/>
        <v>2</v>
      </c>
      <c r="V286" s="42">
        <f t="shared" si="48"/>
        <v>0</v>
      </c>
    </row>
    <row r="287" spans="1:22" s="28" customFormat="1" ht="73.5" customHeight="1" x14ac:dyDescent="0.2">
      <c r="A287" s="30">
        <v>276</v>
      </c>
      <c r="B287" s="31" t="s">
        <v>401</v>
      </c>
      <c r="C287" s="32" t="s">
        <v>25</v>
      </c>
      <c r="D287" s="33">
        <v>1</v>
      </c>
      <c r="E287" s="35">
        <v>46300.5</v>
      </c>
      <c r="F287" s="32" t="s">
        <v>27</v>
      </c>
      <c r="G287" s="37">
        <f>54979.55/1.2</f>
        <v>45816.291666666672</v>
      </c>
      <c r="H287" s="38">
        <f t="shared" si="40"/>
        <v>45816.291666666672</v>
      </c>
      <c r="I287" s="38" t="s">
        <v>28</v>
      </c>
      <c r="J287" s="37">
        <v>46315.48</v>
      </c>
      <c r="K287" s="38">
        <f t="shared" si="41"/>
        <v>46315.48</v>
      </c>
      <c r="L287" s="33" t="s">
        <v>29</v>
      </c>
      <c r="M287" s="37">
        <v>46780.3</v>
      </c>
      <c r="N287" s="38">
        <f t="shared" si="42"/>
        <v>46780.3</v>
      </c>
      <c r="O287" s="39">
        <f t="shared" si="43"/>
        <v>46304.023888888885</v>
      </c>
      <c r="P287" s="40">
        <f t="shared" si="44"/>
        <v>-7.6103297141969506E-3</v>
      </c>
      <c r="Q287" s="39">
        <f t="shared" si="45"/>
        <v>46300.5</v>
      </c>
      <c r="R287" s="41"/>
      <c r="T287" s="42">
        <f t="shared" si="46"/>
        <v>-1</v>
      </c>
      <c r="U287" s="42">
        <f t="shared" si="47"/>
        <v>0</v>
      </c>
      <c r="V287" s="42">
        <f t="shared" si="48"/>
        <v>1</v>
      </c>
    </row>
    <row r="288" spans="1:22" s="28" customFormat="1" ht="73.5" customHeight="1" x14ac:dyDescent="0.2">
      <c r="A288" s="30">
        <v>277</v>
      </c>
      <c r="B288" s="31" t="s">
        <v>402</v>
      </c>
      <c r="C288" s="32" t="s">
        <v>147</v>
      </c>
      <c r="D288" s="33">
        <v>2</v>
      </c>
      <c r="E288" s="35">
        <v>42.3</v>
      </c>
      <c r="F288" s="32" t="s">
        <v>27</v>
      </c>
      <c r="G288" s="37">
        <f>50.03/1.2</f>
        <v>41.69166666666667</v>
      </c>
      <c r="H288" s="38">
        <f t="shared" si="40"/>
        <v>83.38333333333334</v>
      </c>
      <c r="I288" s="38" t="s">
        <v>28</v>
      </c>
      <c r="J288" s="37">
        <v>42.01</v>
      </c>
      <c r="K288" s="38">
        <f t="shared" si="41"/>
        <v>84.02</v>
      </c>
      <c r="L288" s="33" t="s">
        <v>29</v>
      </c>
      <c r="M288" s="37">
        <v>44.25</v>
      </c>
      <c r="N288" s="38">
        <f t="shared" si="42"/>
        <v>88.5</v>
      </c>
      <c r="O288" s="39">
        <f t="shared" si="43"/>
        <v>42.650555555555556</v>
      </c>
      <c r="P288" s="40">
        <f t="shared" si="44"/>
        <v>-0.82192494561748219</v>
      </c>
      <c r="Q288" s="39">
        <f t="shared" si="45"/>
        <v>84.6</v>
      </c>
      <c r="R288" s="47" t="s">
        <v>116</v>
      </c>
      <c r="T288" s="42">
        <f t="shared" si="46"/>
        <v>-2</v>
      </c>
      <c r="U288" s="42">
        <f t="shared" si="47"/>
        <v>-2</v>
      </c>
      <c r="V288" s="42">
        <f t="shared" si="48"/>
        <v>4</v>
      </c>
    </row>
    <row r="289" spans="1:22" s="28" customFormat="1" ht="73.5" customHeight="1" x14ac:dyDescent="0.2">
      <c r="A289" s="30">
        <v>278</v>
      </c>
      <c r="B289" s="31" t="s">
        <v>403</v>
      </c>
      <c r="C289" s="32" t="s">
        <v>147</v>
      </c>
      <c r="D289" s="33">
        <v>10</v>
      </c>
      <c r="E289" s="35">
        <v>21.55</v>
      </c>
      <c r="F289" s="32" t="s">
        <v>27</v>
      </c>
      <c r="G289" s="37">
        <f>23.86/1.2</f>
        <v>19.883333333333333</v>
      </c>
      <c r="H289" s="38">
        <f t="shared" si="40"/>
        <v>198.83333333333331</v>
      </c>
      <c r="I289" s="38" t="s">
        <v>28</v>
      </c>
      <c r="J289" s="37">
        <v>23.66</v>
      </c>
      <c r="K289" s="38">
        <f t="shared" si="41"/>
        <v>236.6</v>
      </c>
      <c r="L289" s="33" t="s">
        <v>29</v>
      </c>
      <c r="M289" s="37">
        <v>21.7</v>
      </c>
      <c r="N289" s="38">
        <f t="shared" si="42"/>
        <v>217</v>
      </c>
      <c r="O289" s="39">
        <f t="shared" si="43"/>
        <v>21.747777777777781</v>
      </c>
      <c r="P289" s="40">
        <f t="shared" si="44"/>
        <v>-0.90941603228939982</v>
      </c>
      <c r="Q289" s="39">
        <f t="shared" si="45"/>
        <v>215.5</v>
      </c>
      <c r="R289" s="47" t="s">
        <v>116</v>
      </c>
      <c r="T289" s="42">
        <f t="shared" si="46"/>
        <v>-9</v>
      </c>
      <c r="U289" s="42">
        <f t="shared" si="47"/>
        <v>9</v>
      </c>
      <c r="V289" s="42">
        <f t="shared" si="48"/>
        <v>0</v>
      </c>
    </row>
    <row r="290" spans="1:22" s="28" customFormat="1" ht="73.5" customHeight="1" x14ac:dyDescent="0.2">
      <c r="A290" s="30">
        <v>279</v>
      </c>
      <c r="B290" s="31" t="s">
        <v>404</v>
      </c>
      <c r="C290" s="32" t="s">
        <v>147</v>
      </c>
      <c r="D290" s="33">
        <v>2</v>
      </c>
      <c r="E290" s="35">
        <v>17.5</v>
      </c>
      <c r="F290" s="32" t="s">
        <v>27</v>
      </c>
      <c r="G290" s="37">
        <f>19.58/1.2</f>
        <v>16.316666666666666</v>
      </c>
      <c r="H290" s="38">
        <f t="shared" si="40"/>
        <v>32.633333333333333</v>
      </c>
      <c r="I290" s="38" t="s">
        <v>28</v>
      </c>
      <c r="J290" s="37">
        <v>17.739999999999998</v>
      </c>
      <c r="K290" s="38">
        <f t="shared" si="41"/>
        <v>35.479999999999997</v>
      </c>
      <c r="L290" s="33" t="s">
        <v>29</v>
      </c>
      <c r="M290" s="37">
        <v>19.7</v>
      </c>
      <c r="N290" s="38">
        <f t="shared" si="42"/>
        <v>39.4</v>
      </c>
      <c r="O290" s="39">
        <f t="shared" si="43"/>
        <v>17.918888888888887</v>
      </c>
      <c r="P290" s="40">
        <f t="shared" si="44"/>
        <v>-2.3376945495132304</v>
      </c>
      <c r="Q290" s="39">
        <f t="shared" si="45"/>
        <v>35</v>
      </c>
      <c r="R290" s="47" t="s">
        <v>116</v>
      </c>
      <c r="T290" s="42">
        <f t="shared" si="46"/>
        <v>-9</v>
      </c>
      <c r="U290" s="42">
        <f t="shared" si="47"/>
        <v>-1</v>
      </c>
      <c r="V290" s="42">
        <f t="shared" si="48"/>
        <v>10</v>
      </c>
    </row>
    <row r="291" spans="1:22" s="28" customFormat="1" ht="73.5" customHeight="1" x14ac:dyDescent="0.2">
      <c r="A291" s="30">
        <v>280</v>
      </c>
      <c r="B291" s="31" t="s">
        <v>405</v>
      </c>
      <c r="C291" s="32" t="s">
        <v>147</v>
      </c>
      <c r="D291" s="33">
        <v>10</v>
      </c>
      <c r="E291" s="35">
        <v>48.02</v>
      </c>
      <c r="F291" s="32" t="s">
        <v>27</v>
      </c>
      <c r="G291" s="37">
        <f>55.42/1.2</f>
        <v>46.183333333333337</v>
      </c>
      <c r="H291" s="38">
        <f t="shared" si="40"/>
        <v>461.83333333333337</v>
      </c>
      <c r="I291" s="38" t="s">
        <v>28</v>
      </c>
      <c r="J291" s="37">
        <v>51.47</v>
      </c>
      <c r="K291" s="38">
        <f t="shared" si="41"/>
        <v>514.70000000000005</v>
      </c>
      <c r="L291" s="33" t="s">
        <v>29</v>
      </c>
      <c r="M291" s="37">
        <v>48.63</v>
      </c>
      <c r="N291" s="38">
        <f t="shared" si="42"/>
        <v>486.3</v>
      </c>
      <c r="O291" s="39">
        <f t="shared" si="43"/>
        <v>48.761111111111113</v>
      </c>
      <c r="P291" s="40">
        <f t="shared" si="44"/>
        <v>-1.5198815084880977</v>
      </c>
      <c r="Q291" s="39">
        <f t="shared" si="45"/>
        <v>480.20000000000005</v>
      </c>
      <c r="R291" s="47" t="s">
        <v>116</v>
      </c>
      <c r="T291" s="42">
        <f t="shared" si="46"/>
        <v>-5</v>
      </c>
      <c r="U291" s="42">
        <f t="shared" si="47"/>
        <v>6</v>
      </c>
      <c r="V291" s="42">
        <f t="shared" si="48"/>
        <v>0</v>
      </c>
    </row>
    <row r="292" spans="1:22" s="28" customFormat="1" ht="73.5" customHeight="1" x14ac:dyDescent="0.2">
      <c r="A292" s="30">
        <v>281</v>
      </c>
      <c r="B292" s="31" t="s">
        <v>406</v>
      </c>
      <c r="C292" s="32" t="s">
        <v>25</v>
      </c>
      <c r="D292" s="33">
        <v>4</v>
      </c>
      <c r="E292" s="35">
        <v>869.7</v>
      </c>
      <c r="F292" s="32" t="s">
        <v>27</v>
      </c>
      <c r="G292" s="37">
        <f>998.09/1.2</f>
        <v>831.74166666666667</v>
      </c>
      <c r="H292" s="38">
        <f t="shared" ref="H292:H323" si="49">D292*G292</f>
        <v>3326.9666666666667</v>
      </c>
      <c r="I292" s="38" t="s">
        <v>28</v>
      </c>
      <c r="J292" s="37">
        <v>864.2</v>
      </c>
      <c r="K292" s="38">
        <f t="shared" si="41"/>
        <v>3456.8</v>
      </c>
      <c r="L292" s="33" t="s">
        <v>29</v>
      </c>
      <c r="M292" s="37">
        <v>921.4</v>
      </c>
      <c r="N292" s="38">
        <f t="shared" si="42"/>
        <v>3685.6</v>
      </c>
      <c r="O292" s="39">
        <f t="shared" si="43"/>
        <v>872.44722222222219</v>
      </c>
      <c r="P292" s="40">
        <f t="shared" si="44"/>
        <v>-0.31488692407371843</v>
      </c>
      <c r="Q292" s="39">
        <f t="shared" si="45"/>
        <v>3478.8</v>
      </c>
      <c r="R292" s="48"/>
      <c r="T292" s="42">
        <f t="shared" si="46"/>
        <v>-5</v>
      </c>
      <c r="U292" s="42">
        <f t="shared" si="47"/>
        <v>-1</v>
      </c>
      <c r="V292" s="42">
        <f t="shared" si="48"/>
        <v>6</v>
      </c>
    </row>
    <row r="293" spans="1:22" s="28" customFormat="1" ht="73.5" customHeight="1" x14ac:dyDescent="0.2">
      <c r="A293" s="30">
        <v>282</v>
      </c>
      <c r="B293" s="31" t="s">
        <v>407</v>
      </c>
      <c r="C293" s="32" t="s">
        <v>25</v>
      </c>
      <c r="D293" s="33">
        <v>100</v>
      </c>
      <c r="E293" s="35">
        <v>2075.4</v>
      </c>
      <c r="F293" s="32" t="s">
        <v>56</v>
      </c>
      <c r="G293" s="37">
        <v>2105.69</v>
      </c>
      <c r="H293" s="38">
        <f t="shared" si="49"/>
        <v>210569</v>
      </c>
      <c r="I293" s="32" t="s">
        <v>57</v>
      </c>
      <c r="J293" s="37">
        <v>1929.86</v>
      </c>
      <c r="K293" s="38">
        <f t="shared" si="41"/>
        <v>192986</v>
      </c>
      <c r="L293" s="32" t="s">
        <v>119</v>
      </c>
      <c r="M293" s="37">
        <v>2201.34</v>
      </c>
      <c r="N293" s="38">
        <f t="shared" si="42"/>
        <v>220134</v>
      </c>
      <c r="O293" s="39">
        <f t="shared" si="43"/>
        <v>2078.9633333333336</v>
      </c>
      <c r="P293" s="40">
        <f t="shared" si="44"/>
        <v>-0.17139952764921418</v>
      </c>
      <c r="Q293" s="39">
        <f t="shared" si="45"/>
        <v>207540</v>
      </c>
      <c r="R293" s="48"/>
      <c r="T293" s="42">
        <f t="shared" si="46"/>
        <v>1</v>
      </c>
      <c r="U293" s="42">
        <f t="shared" si="47"/>
        <v>-7</v>
      </c>
      <c r="V293" s="42">
        <f t="shared" si="48"/>
        <v>6</v>
      </c>
    </row>
    <row r="294" spans="1:22" s="28" customFormat="1" ht="73.5" customHeight="1" x14ac:dyDescent="0.2">
      <c r="A294" s="30">
        <v>283</v>
      </c>
      <c r="B294" s="31" t="s">
        <v>408</v>
      </c>
      <c r="C294" s="32" t="s">
        <v>25</v>
      </c>
      <c r="D294" s="33">
        <v>10</v>
      </c>
      <c r="E294" s="35">
        <v>1865.8</v>
      </c>
      <c r="F294" s="32" t="s">
        <v>27</v>
      </c>
      <c r="G294" s="37">
        <f>2139.16/1.2</f>
        <v>1782.6333333333332</v>
      </c>
      <c r="H294" s="38">
        <f t="shared" si="49"/>
        <v>17826.333333333332</v>
      </c>
      <c r="I294" s="38" t="s">
        <v>28</v>
      </c>
      <c r="J294" s="37">
        <v>1874.56</v>
      </c>
      <c r="K294" s="38">
        <f t="shared" si="41"/>
        <v>18745.599999999999</v>
      </c>
      <c r="L294" s="33" t="s">
        <v>29</v>
      </c>
      <c r="M294" s="37">
        <v>1947.3</v>
      </c>
      <c r="N294" s="38">
        <f t="shared" si="42"/>
        <v>19473</v>
      </c>
      <c r="O294" s="39">
        <f t="shared" si="43"/>
        <v>1868.1644444444444</v>
      </c>
      <c r="P294" s="40">
        <f t="shared" si="44"/>
        <v>-0.12656511323056918</v>
      </c>
      <c r="Q294" s="39">
        <f t="shared" si="45"/>
        <v>18658</v>
      </c>
      <c r="R294" s="48"/>
      <c r="T294" s="42">
        <f t="shared" si="46"/>
        <v>-5</v>
      </c>
      <c r="U294" s="42">
        <f t="shared" si="47"/>
        <v>0</v>
      </c>
      <c r="V294" s="42">
        <f t="shared" si="48"/>
        <v>4</v>
      </c>
    </row>
    <row r="295" spans="1:22" s="28" customFormat="1" ht="73.5" customHeight="1" x14ac:dyDescent="0.2">
      <c r="A295" s="30">
        <v>284</v>
      </c>
      <c r="B295" s="31" t="s">
        <v>409</v>
      </c>
      <c r="C295" s="32" t="s">
        <v>25</v>
      </c>
      <c r="D295" s="33">
        <v>2</v>
      </c>
      <c r="E295" s="35">
        <v>31990.5</v>
      </c>
      <c r="F295" s="32" t="s">
        <v>27</v>
      </c>
      <c r="G295" s="37">
        <f>37069.36/1.2</f>
        <v>30891.133333333335</v>
      </c>
      <c r="H295" s="38">
        <f t="shared" si="49"/>
        <v>61782.26666666667</v>
      </c>
      <c r="I295" s="38" t="s">
        <v>28</v>
      </c>
      <c r="J295" s="37">
        <v>32114.720000000001</v>
      </c>
      <c r="K295" s="38">
        <f t="shared" si="41"/>
        <v>64229.440000000002</v>
      </c>
      <c r="L295" s="33" t="s">
        <v>29</v>
      </c>
      <c r="M295" s="37">
        <v>32972.6</v>
      </c>
      <c r="N295" s="38">
        <f t="shared" si="42"/>
        <v>65945.2</v>
      </c>
      <c r="O295" s="39">
        <f t="shared" si="43"/>
        <v>31992.817777777778</v>
      </c>
      <c r="P295" s="40">
        <f t="shared" si="44"/>
        <v>-7.2446815840834233E-3</v>
      </c>
      <c r="Q295" s="39">
        <f t="shared" si="45"/>
        <v>63981</v>
      </c>
      <c r="R295" s="48"/>
      <c r="T295" s="42">
        <f t="shared" si="46"/>
        <v>-3</v>
      </c>
      <c r="U295" s="42">
        <f t="shared" si="47"/>
        <v>0</v>
      </c>
      <c r="V295" s="42">
        <f t="shared" si="48"/>
        <v>3</v>
      </c>
    </row>
    <row r="296" spans="1:22" s="28" customFormat="1" ht="73.5" customHeight="1" x14ac:dyDescent="0.2">
      <c r="A296" s="30">
        <v>285</v>
      </c>
      <c r="B296" s="31" t="s">
        <v>410</v>
      </c>
      <c r="C296" s="32" t="s">
        <v>25</v>
      </c>
      <c r="D296" s="33">
        <v>20</v>
      </c>
      <c r="E296" s="35">
        <v>110.4</v>
      </c>
      <c r="F296" s="32" t="s">
        <v>27</v>
      </c>
      <c r="G296" s="37">
        <f>130.26/1.2</f>
        <v>108.55</v>
      </c>
      <c r="H296" s="38">
        <f t="shared" si="49"/>
        <v>2171</v>
      </c>
      <c r="I296" s="38" t="s">
        <v>28</v>
      </c>
      <c r="J296" s="37">
        <v>110.5</v>
      </c>
      <c r="K296" s="38">
        <f t="shared" si="41"/>
        <v>2210</v>
      </c>
      <c r="L296" s="33" t="s">
        <v>29</v>
      </c>
      <c r="M296" s="37">
        <v>114.8</v>
      </c>
      <c r="N296" s="38">
        <f t="shared" si="42"/>
        <v>2296</v>
      </c>
      <c r="O296" s="39">
        <f t="shared" si="43"/>
        <v>111.28333333333335</v>
      </c>
      <c r="P296" s="40">
        <f t="shared" si="44"/>
        <v>-0.79376965703161773</v>
      </c>
      <c r="Q296" s="39">
        <f t="shared" si="45"/>
        <v>2208</v>
      </c>
      <c r="R296" s="47" t="s">
        <v>116</v>
      </c>
      <c r="T296" s="42">
        <f t="shared" si="46"/>
        <v>-2</v>
      </c>
      <c r="U296" s="42">
        <f t="shared" si="47"/>
        <v>-1</v>
      </c>
      <c r="V296" s="42">
        <f t="shared" si="48"/>
        <v>3</v>
      </c>
    </row>
    <row r="297" spans="1:22" s="28" customFormat="1" ht="73.5" customHeight="1" x14ac:dyDescent="0.2">
      <c r="A297" s="30">
        <v>286</v>
      </c>
      <c r="B297" s="31" t="s">
        <v>411</v>
      </c>
      <c r="C297" s="32" t="s">
        <v>25</v>
      </c>
      <c r="D297" s="33">
        <v>1</v>
      </c>
      <c r="E297" s="35">
        <v>2664.2</v>
      </c>
      <c r="F297" s="32" t="s">
        <v>27</v>
      </c>
      <c r="G297" s="37">
        <f>3124.54/1.2</f>
        <v>2603.7833333333333</v>
      </c>
      <c r="H297" s="38">
        <f t="shared" si="49"/>
        <v>2603.7833333333333</v>
      </c>
      <c r="I297" s="38" t="s">
        <v>28</v>
      </c>
      <c r="J297" s="37">
        <v>2754.12</v>
      </c>
      <c r="K297" s="38">
        <f t="shared" si="41"/>
        <v>2754.12</v>
      </c>
      <c r="L297" s="33" t="s">
        <v>29</v>
      </c>
      <c r="M297" s="37">
        <v>2697.35</v>
      </c>
      <c r="N297" s="38">
        <f t="shared" si="42"/>
        <v>2697.35</v>
      </c>
      <c r="O297" s="39">
        <f t="shared" si="43"/>
        <v>2685.0844444444447</v>
      </c>
      <c r="P297" s="40">
        <f t="shared" si="44"/>
        <v>-0.77779469795281386</v>
      </c>
      <c r="Q297" s="39">
        <f t="shared" si="45"/>
        <v>2664.2</v>
      </c>
      <c r="R297" s="48"/>
      <c r="T297" s="42">
        <f t="shared" si="46"/>
        <v>-3</v>
      </c>
      <c r="U297" s="42">
        <f t="shared" si="47"/>
        <v>3</v>
      </c>
      <c r="V297" s="42">
        <f t="shared" si="48"/>
        <v>0</v>
      </c>
    </row>
    <row r="298" spans="1:22" s="28" customFormat="1" ht="73.5" customHeight="1" x14ac:dyDescent="0.2">
      <c r="A298" s="30">
        <v>287</v>
      </c>
      <c r="B298" s="31" t="s">
        <v>412</v>
      </c>
      <c r="C298" s="32" t="s">
        <v>25</v>
      </c>
      <c r="D298" s="33">
        <v>1250</v>
      </c>
      <c r="E298" s="35">
        <v>1.37</v>
      </c>
      <c r="F298" s="32" t="s">
        <v>27</v>
      </c>
      <c r="G298" s="37">
        <f>1.55/1.2</f>
        <v>1.2916666666666667</v>
      </c>
      <c r="H298" s="38">
        <f t="shared" si="49"/>
        <v>1614.5833333333335</v>
      </c>
      <c r="I298" s="38" t="s">
        <v>28</v>
      </c>
      <c r="J298" s="37">
        <v>1.36</v>
      </c>
      <c r="K298" s="38">
        <f t="shared" si="41"/>
        <v>1700.0000000000002</v>
      </c>
      <c r="L298" s="33" t="s">
        <v>29</v>
      </c>
      <c r="M298" s="37">
        <v>1.51</v>
      </c>
      <c r="N298" s="38">
        <f t="shared" si="42"/>
        <v>1887.5</v>
      </c>
      <c r="O298" s="39">
        <f t="shared" si="43"/>
        <v>1.3872222222222224</v>
      </c>
      <c r="P298" s="40">
        <f t="shared" si="44"/>
        <v>-1.2414897877453086</v>
      </c>
      <c r="Q298" s="39">
        <f t="shared" si="45"/>
        <v>1712.5000000000002</v>
      </c>
      <c r="R298" s="48"/>
      <c r="T298" s="42">
        <f t="shared" si="46"/>
        <v>-7</v>
      </c>
      <c r="U298" s="42">
        <f t="shared" si="47"/>
        <v>-2</v>
      </c>
      <c r="V298" s="42">
        <f t="shared" si="48"/>
        <v>9</v>
      </c>
    </row>
    <row r="299" spans="1:22" s="28" customFormat="1" ht="73.5" customHeight="1" x14ac:dyDescent="0.2">
      <c r="A299" s="30">
        <v>288</v>
      </c>
      <c r="B299" s="31" t="s">
        <v>413</v>
      </c>
      <c r="C299" s="32" t="s">
        <v>25</v>
      </c>
      <c r="D299" s="33">
        <v>80</v>
      </c>
      <c r="E299" s="35">
        <v>1.18</v>
      </c>
      <c r="F299" s="32" t="s">
        <v>39</v>
      </c>
      <c r="G299" s="37">
        <v>1.1399999999999999</v>
      </c>
      <c r="H299" s="38">
        <f t="shared" si="49"/>
        <v>91.199999999999989</v>
      </c>
      <c r="I299" s="32" t="s">
        <v>54</v>
      </c>
      <c r="J299" s="37">
        <v>1.2</v>
      </c>
      <c r="K299" s="38">
        <f t="shared" si="41"/>
        <v>96</v>
      </c>
      <c r="L299" s="38" t="s">
        <v>41</v>
      </c>
      <c r="M299" s="37">
        <v>1.23</v>
      </c>
      <c r="N299" s="38">
        <f t="shared" si="42"/>
        <v>98.4</v>
      </c>
      <c r="O299" s="39">
        <f t="shared" si="43"/>
        <v>1.19</v>
      </c>
      <c r="P299" s="40">
        <f t="shared" si="44"/>
        <v>-0.84033613445377853</v>
      </c>
      <c r="Q299" s="39">
        <f t="shared" si="45"/>
        <v>94.399999999999991</v>
      </c>
      <c r="R299" s="41"/>
      <c r="T299" s="42">
        <f t="shared" si="46"/>
        <v>-4</v>
      </c>
      <c r="U299" s="42">
        <f t="shared" si="47"/>
        <v>1</v>
      </c>
      <c r="V299" s="42">
        <f t="shared" si="48"/>
        <v>3</v>
      </c>
    </row>
    <row r="300" spans="1:22" s="28" customFormat="1" ht="73.5" customHeight="1" x14ac:dyDescent="0.2">
      <c r="A300" s="30">
        <v>289</v>
      </c>
      <c r="B300" s="31" t="s">
        <v>414</v>
      </c>
      <c r="C300" s="32" t="s">
        <v>25</v>
      </c>
      <c r="D300" s="33">
        <v>40</v>
      </c>
      <c r="E300" s="35">
        <v>3.91</v>
      </c>
      <c r="F300" s="32" t="s">
        <v>39</v>
      </c>
      <c r="G300" s="37">
        <v>3.82</v>
      </c>
      <c r="H300" s="38">
        <f t="shared" si="49"/>
        <v>152.79999999999998</v>
      </c>
      <c r="I300" s="32" t="s">
        <v>54</v>
      </c>
      <c r="J300" s="37">
        <v>4.01</v>
      </c>
      <c r="K300" s="38">
        <f t="shared" si="41"/>
        <v>160.39999999999998</v>
      </c>
      <c r="L300" s="38" t="s">
        <v>41</v>
      </c>
      <c r="M300" s="37">
        <v>4.05</v>
      </c>
      <c r="N300" s="38">
        <f t="shared" si="42"/>
        <v>162</v>
      </c>
      <c r="O300" s="39">
        <f t="shared" si="43"/>
        <v>3.9599999999999995</v>
      </c>
      <c r="P300" s="40">
        <f t="shared" si="44"/>
        <v>-1.2626262626262559</v>
      </c>
      <c r="Q300" s="39">
        <f t="shared" si="45"/>
        <v>156.4</v>
      </c>
      <c r="R300" s="41"/>
      <c r="T300" s="42">
        <f t="shared" si="46"/>
        <v>-4</v>
      </c>
      <c r="U300" s="42">
        <f t="shared" si="47"/>
        <v>1</v>
      </c>
      <c r="V300" s="42">
        <f t="shared" si="48"/>
        <v>2</v>
      </c>
    </row>
    <row r="301" spans="1:22" s="28" customFormat="1" ht="73.5" customHeight="1" x14ac:dyDescent="0.2">
      <c r="A301" s="30">
        <v>290</v>
      </c>
      <c r="B301" s="31" t="s">
        <v>415</v>
      </c>
      <c r="C301" s="32" t="s">
        <v>25</v>
      </c>
      <c r="D301" s="33">
        <v>960</v>
      </c>
      <c r="E301" s="35">
        <v>2.4</v>
      </c>
      <c r="F301" s="32" t="s">
        <v>39</v>
      </c>
      <c r="G301" s="37">
        <v>2.36</v>
      </c>
      <c r="H301" s="38">
        <f t="shared" si="49"/>
        <v>2265.6</v>
      </c>
      <c r="I301" s="32" t="s">
        <v>54</v>
      </c>
      <c r="J301" s="37">
        <v>2.42</v>
      </c>
      <c r="K301" s="38">
        <f t="shared" si="41"/>
        <v>2323.1999999999998</v>
      </c>
      <c r="L301" s="38" t="s">
        <v>41</v>
      </c>
      <c r="M301" s="37">
        <v>2.4500000000000002</v>
      </c>
      <c r="N301" s="38">
        <f t="shared" si="42"/>
        <v>2352</v>
      </c>
      <c r="O301" s="39">
        <f t="shared" si="43"/>
        <v>2.4099999999999997</v>
      </c>
      <c r="P301" s="40">
        <f t="shared" si="44"/>
        <v>-0.4149377593360839</v>
      </c>
      <c r="Q301" s="39">
        <f t="shared" si="45"/>
        <v>2304</v>
      </c>
      <c r="R301" s="41"/>
      <c r="T301" s="42">
        <f t="shared" si="46"/>
        <v>-2</v>
      </c>
      <c r="U301" s="42">
        <f t="shared" si="47"/>
        <v>0</v>
      </c>
      <c r="V301" s="42">
        <f t="shared" si="48"/>
        <v>2</v>
      </c>
    </row>
    <row r="302" spans="1:22" s="28" customFormat="1" ht="73.5" customHeight="1" x14ac:dyDescent="0.2">
      <c r="A302" s="30">
        <v>291</v>
      </c>
      <c r="B302" s="31" t="s">
        <v>416</v>
      </c>
      <c r="C302" s="32" t="s">
        <v>25</v>
      </c>
      <c r="D302" s="33">
        <v>1200</v>
      </c>
      <c r="E302" s="35">
        <v>12.6</v>
      </c>
      <c r="F302" s="32" t="s">
        <v>39</v>
      </c>
      <c r="G302" s="37">
        <v>12.21</v>
      </c>
      <c r="H302" s="38">
        <f t="shared" si="49"/>
        <v>14652.000000000002</v>
      </c>
      <c r="I302" s="32" t="s">
        <v>54</v>
      </c>
      <c r="J302" s="37">
        <v>12.8</v>
      </c>
      <c r="K302" s="38">
        <f t="shared" si="41"/>
        <v>15360</v>
      </c>
      <c r="L302" s="38" t="s">
        <v>41</v>
      </c>
      <c r="M302" s="37">
        <v>13.01</v>
      </c>
      <c r="N302" s="38">
        <f t="shared" si="42"/>
        <v>15612</v>
      </c>
      <c r="O302" s="39">
        <f t="shared" si="43"/>
        <v>12.673333333333334</v>
      </c>
      <c r="P302" s="40">
        <f t="shared" si="44"/>
        <v>-0.57864281956865682</v>
      </c>
      <c r="Q302" s="39">
        <f t="shared" si="45"/>
        <v>15120</v>
      </c>
      <c r="R302" s="41"/>
      <c r="T302" s="42">
        <f t="shared" si="46"/>
        <v>-4</v>
      </c>
      <c r="U302" s="42">
        <f t="shared" si="47"/>
        <v>1</v>
      </c>
      <c r="V302" s="42">
        <f t="shared" si="48"/>
        <v>3</v>
      </c>
    </row>
    <row r="303" spans="1:22" s="28" customFormat="1" ht="73.5" customHeight="1" x14ac:dyDescent="0.2">
      <c r="A303" s="30">
        <v>292</v>
      </c>
      <c r="B303" s="31" t="s">
        <v>417</v>
      </c>
      <c r="C303" s="32" t="s">
        <v>25</v>
      </c>
      <c r="D303" s="33">
        <v>80</v>
      </c>
      <c r="E303" s="35">
        <v>1.17</v>
      </c>
      <c r="F303" s="32" t="s">
        <v>39</v>
      </c>
      <c r="G303" s="37">
        <v>1.1100000000000001</v>
      </c>
      <c r="H303" s="38">
        <f t="shared" si="49"/>
        <v>88.800000000000011</v>
      </c>
      <c r="I303" s="32" t="s">
        <v>54</v>
      </c>
      <c r="J303" s="37">
        <v>1.1599999999999999</v>
      </c>
      <c r="K303" s="38">
        <f t="shared" si="41"/>
        <v>92.8</v>
      </c>
      <c r="L303" s="38" t="s">
        <v>41</v>
      </c>
      <c r="M303" s="37">
        <v>1.31</v>
      </c>
      <c r="N303" s="38">
        <f t="shared" si="42"/>
        <v>104.80000000000001</v>
      </c>
      <c r="O303" s="39">
        <f t="shared" si="43"/>
        <v>1.1933333333333334</v>
      </c>
      <c r="P303" s="40">
        <f t="shared" si="44"/>
        <v>-1.955307262569832</v>
      </c>
      <c r="Q303" s="39">
        <f t="shared" si="45"/>
        <v>93.6</v>
      </c>
      <c r="R303" s="41"/>
      <c r="T303" s="42">
        <f t="shared" si="46"/>
        <v>-7</v>
      </c>
      <c r="U303" s="42">
        <f t="shared" si="47"/>
        <v>-3</v>
      </c>
      <c r="V303" s="42">
        <f t="shared" si="48"/>
        <v>10</v>
      </c>
    </row>
    <row r="304" spans="1:22" s="28" customFormat="1" ht="73.5" customHeight="1" x14ac:dyDescent="0.2">
      <c r="A304" s="30">
        <v>293</v>
      </c>
      <c r="B304" s="31" t="s">
        <v>418</v>
      </c>
      <c r="C304" s="32" t="s">
        <v>25</v>
      </c>
      <c r="D304" s="33">
        <v>60</v>
      </c>
      <c r="E304" s="35">
        <v>0.51</v>
      </c>
      <c r="F304" s="32" t="s">
        <v>39</v>
      </c>
      <c r="G304" s="37">
        <v>0.49</v>
      </c>
      <c r="H304" s="38">
        <f t="shared" si="49"/>
        <v>29.4</v>
      </c>
      <c r="I304" s="32" t="s">
        <v>54</v>
      </c>
      <c r="J304" s="37">
        <v>0.51</v>
      </c>
      <c r="K304" s="38">
        <f t="shared" si="41"/>
        <v>30.6</v>
      </c>
      <c r="L304" s="38" t="s">
        <v>41</v>
      </c>
      <c r="M304" s="37">
        <v>0.55000000000000004</v>
      </c>
      <c r="N304" s="38">
        <f t="shared" si="42"/>
        <v>33</v>
      </c>
      <c r="O304" s="39">
        <f t="shared" si="43"/>
        <v>0.51666666666666672</v>
      </c>
      <c r="P304" s="40">
        <f t="shared" si="44"/>
        <v>-1.2903225806451672</v>
      </c>
      <c r="Q304" s="39">
        <f t="shared" si="45"/>
        <v>30.6</v>
      </c>
      <c r="R304" s="41"/>
      <c r="T304" s="42">
        <f t="shared" si="46"/>
        <v>-5</v>
      </c>
      <c r="U304" s="42">
        <f t="shared" si="47"/>
        <v>-1</v>
      </c>
      <c r="V304" s="42">
        <f t="shared" si="48"/>
        <v>6</v>
      </c>
    </row>
    <row r="305" spans="1:22" s="28" customFormat="1" ht="73.5" customHeight="1" x14ac:dyDescent="0.2">
      <c r="A305" s="30">
        <v>294</v>
      </c>
      <c r="B305" s="31" t="s">
        <v>419</v>
      </c>
      <c r="C305" s="32" t="s">
        <v>25</v>
      </c>
      <c r="D305" s="33">
        <v>40</v>
      </c>
      <c r="E305" s="35">
        <v>2.35</v>
      </c>
      <c r="F305" s="32" t="s">
        <v>39</v>
      </c>
      <c r="G305" s="37">
        <v>2.14</v>
      </c>
      <c r="H305" s="38">
        <f t="shared" si="49"/>
        <v>85.600000000000009</v>
      </c>
      <c r="I305" s="32" t="s">
        <v>54</v>
      </c>
      <c r="J305" s="37">
        <v>2.64</v>
      </c>
      <c r="K305" s="38">
        <f t="shared" si="41"/>
        <v>105.60000000000001</v>
      </c>
      <c r="L305" s="38" t="s">
        <v>41</v>
      </c>
      <c r="M305" s="37">
        <v>2.33</v>
      </c>
      <c r="N305" s="38">
        <f t="shared" si="42"/>
        <v>93.2</v>
      </c>
      <c r="O305" s="39">
        <f t="shared" si="43"/>
        <v>2.37</v>
      </c>
      <c r="P305" s="40">
        <f t="shared" si="44"/>
        <v>-0.84388185654009362</v>
      </c>
      <c r="Q305" s="39">
        <f t="shared" si="45"/>
        <v>94</v>
      </c>
      <c r="R305" s="41"/>
      <c r="T305" s="42">
        <f t="shared" si="46"/>
        <v>-10</v>
      </c>
      <c r="U305" s="42">
        <f t="shared" si="47"/>
        <v>11</v>
      </c>
      <c r="V305" s="42">
        <f t="shared" si="48"/>
        <v>-2</v>
      </c>
    </row>
    <row r="306" spans="1:22" s="28" customFormat="1" ht="73.5" customHeight="1" x14ac:dyDescent="0.2">
      <c r="A306" s="30">
        <v>295</v>
      </c>
      <c r="B306" s="31" t="s">
        <v>420</v>
      </c>
      <c r="C306" s="32" t="s">
        <v>25</v>
      </c>
      <c r="D306" s="33" t="s">
        <v>421</v>
      </c>
      <c r="E306" s="35">
        <v>2.71</v>
      </c>
      <c r="F306" s="32" t="s">
        <v>39</v>
      </c>
      <c r="G306" s="37">
        <v>2.68</v>
      </c>
      <c r="H306" s="38">
        <f t="shared" si="49"/>
        <v>6592.8</v>
      </c>
      <c r="I306" s="32" t="s">
        <v>54</v>
      </c>
      <c r="J306" s="37">
        <v>2.72</v>
      </c>
      <c r="K306" s="38">
        <f t="shared" si="41"/>
        <v>6691.2000000000007</v>
      </c>
      <c r="L306" s="38" t="s">
        <v>41</v>
      </c>
      <c r="M306" s="37">
        <v>2.75</v>
      </c>
      <c r="N306" s="38">
        <f t="shared" si="42"/>
        <v>6765</v>
      </c>
      <c r="O306" s="39">
        <f t="shared" si="43"/>
        <v>2.7166666666666668</v>
      </c>
      <c r="P306" s="40">
        <f t="shared" si="44"/>
        <v>-0.24539877300614421</v>
      </c>
      <c r="Q306" s="39">
        <f t="shared" si="45"/>
        <v>6666.6</v>
      </c>
      <c r="R306" s="41"/>
      <c r="T306" s="42">
        <f t="shared" si="46"/>
        <v>-1</v>
      </c>
      <c r="U306" s="42">
        <f t="shared" si="47"/>
        <v>0</v>
      </c>
      <c r="V306" s="42">
        <f t="shared" si="48"/>
        <v>1</v>
      </c>
    </row>
    <row r="307" spans="1:22" s="28" customFormat="1" ht="73.5" customHeight="1" x14ac:dyDescent="0.2">
      <c r="A307" s="30">
        <v>296</v>
      </c>
      <c r="B307" s="31" t="s">
        <v>422</v>
      </c>
      <c r="C307" s="32" t="s">
        <v>25</v>
      </c>
      <c r="D307" s="33">
        <v>480</v>
      </c>
      <c r="E307" s="35">
        <v>5.82</v>
      </c>
      <c r="F307" s="32" t="s">
        <v>39</v>
      </c>
      <c r="G307" s="37">
        <v>5.76</v>
      </c>
      <c r="H307" s="38">
        <f t="shared" si="49"/>
        <v>2764.7999999999997</v>
      </c>
      <c r="I307" s="32" t="s">
        <v>54</v>
      </c>
      <c r="J307" s="37">
        <v>5.87</v>
      </c>
      <c r="K307" s="38">
        <f t="shared" si="41"/>
        <v>2817.6</v>
      </c>
      <c r="L307" s="38" t="s">
        <v>41</v>
      </c>
      <c r="M307" s="37">
        <v>6.02</v>
      </c>
      <c r="N307" s="38">
        <f t="shared" si="42"/>
        <v>2889.6</v>
      </c>
      <c r="O307" s="39">
        <f t="shared" si="43"/>
        <v>5.8833333333333329</v>
      </c>
      <c r="P307" s="40">
        <f t="shared" si="44"/>
        <v>-1.076487252124636</v>
      </c>
      <c r="Q307" s="39">
        <f t="shared" si="45"/>
        <v>2793.6000000000004</v>
      </c>
      <c r="R307" s="41"/>
      <c r="T307" s="42">
        <f t="shared" si="46"/>
        <v>-2</v>
      </c>
      <c r="U307" s="42">
        <f t="shared" si="47"/>
        <v>0</v>
      </c>
      <c r="V307" s="42">
        <f t="shared" si="48"/>
        <v>2</v>
      </c>
    </row>
    <row r="308" spans="1:22" s="28" customFormat="1" ht="73.5" customHeight="1" x14ac:dyDescent="0.2">
      <c r="A308" s="30">
        <v>297</v>
      </c>
      <c r="B308" s="31" t="s">
        <v>423</v>
      </c>
      <c r="C308" s="32" t="s">
        <v>25</v>
      </c>
      <c r="D308" s="33">
        <v>40</v>
      </c>
      <c r="E308" s="35">
        <v>0.39</v>
      </c>
      <c r="F308" s="32" t="s">
        <v>39</v>
      </c>
      <c r="G308" s="37">
        <v>0.34</v>
      </c>
      <c r="H308" s="38">
        <f t="shared" si="49"/>
        <v>13.600000000000001</v>
      </c>
      <c r="I308" s="32" t="s">
        <v>54</v>
      </c>
      <c r="J308" s="37">
        <v>0.44</v>
      </c>
      <c r="K308" s="38">
        <f t="shared" si="41"/>
        <v>17.600000000000001</v>
      </c>
      <c r="L308" s="38" t="s">
        <v>41</v>
      </c>
      <c r="M308" s="37">
        <v>0.42</v>
      </c>
      <c r="N308" s="38">
        <f t="shared" si="42"/>
        <v>16.8</v>
      </c>
      <c r="O308" s="39">
        <f t="shared" si="43"/>
        <v>0.39999999999999997</v>
      </c>
      <c r="P308" s="40">
        <f t="shared" si="44"/>
        <v>-2.4999999999999858</v>
      </c>
      <c r="Q308" s="39">
        <f t="shared" si="45"/>
        <v>15.600000000000001</v>
      </c>
      <c r="R308" s="41"/>
      <c r="T308" s="42">
        <f t="shared" si="46"/>
        <v>-15</v>
      </c>
      <c r="U308" s="42">
        <f t="shared" si="47"/>
        <v>10</v>
      </c>
      <c r="V308" s="42">
        <f t="shared" si="48"/>
        <v>5</v>
      </c>
    </row>
    <row r="309" spans="1:22" s="28" customFormat="1" ht="73.5" customHeight="1" x14ac:dyDescent="0.2">
      <c r="A309" s="30">
        <v>298</v>
      </c>
      <c r="B309" s="31" t="s">
        <v>424</v>
      </c>
      <c r="C309" s="32" t="s">
        <v>25</v>
      </c>
      <c r="D309" s="33">
        <v>30</v>
      </c>
      <c r="E309" s="35">
        <v>1.44</v>
      </c>
      <c r="F309" s="32" t="s">
        <v>39</v>
      </c>
      <c r="G309" s="37">
        <v>1.37</v>
      </c>
      <c r="H309" s="38">
        <f t="shared" si="49"/>
        <v>41.1</v>
      </c>
      <c r="I309" s="32" t="s">
        <v>54</v>
      </c>
      <c r="J309" s="37">
        <v>1.58</v>
      </c>
      <c r="K309" s="38">
        <f t="shared" si="41"/>
        <v>47.400000000000006</v>
      </c>
      <c r="L309" s="38" t="s">
        <v>41</v>
      </c>
      <c r="M309" s="37">
        <v>1.44</v>
      </c>
      <c r="N309" s="38">
        <f t="shared" si="42"/>
        <v>43.199999999999996</v>
      </c>
      <c r="O309" s="39">
        <f t="shared" si="43"/>
        <v>1.4633333333333336</v>
      </c>
      <c r="P309" s="40">
        <f t="shared" si="44"/>
        <v>-1.5945330296127764</v>
      </c>
      <c r="Q309" s="39">
        <f t="shared" si="45"/>
        <v>43.199999999999996</v>
      </c>
      <c r="R309" s="41"/>
      <c r="T309" s="42">
        <f t="shared" si="46"/>
        <v>-6</v>
      </c>
      <c r="U309" s="42">
        <f t="shared" si="47"/>
        <v>8</v>
      </c>
      <c r="V309" s="42">
        <f t="shared" si="48"/>
        <v>-2</v>
      </c>
    </row>
    <row r="310" spans="1:22" s="28" customFormat="1" ht="66.75" customHeight="1" x14ac:dyDescent="0.2">
      <c r="A310" s="30">
        <v>299</v>
      </c>
      <c r="B310" s="31" t="s">
        <v>425</v>
      </c>
      <c r="C310" s="32" t="s">
        <v>25</v>
      </c>
      <c r="D310" s="33">
        <v>200</v>
      </c>
      <c r="E310" s="35">
        <v>39</v>
      </c>
      <c r="F310" s="32" t="s">
        <v>39</v>
      </c>
      <c r="G310" s="37">
        <v>37.82</v>
      </c>
      <c r="H310" s="38">
        <f t="shared" si="49"/>
        <v>7564</v>
      </c>
      <c r="I310" s="32" t="s">
        <v>54</v>
      </c>
      <c r="J310" s="37">
        <v>41.02</v>
      </c>
      <c r="K310" s="38">
        <f t="shared" si="41"/>
        <v>8204</v>
      </c>
      <c r="L310" s="38" t="s">
        <v>41</v>
      </c>
      <c r="M310" s="37">
        <v>38.46</v>
      </c>
      <c r="N310" s="38">
        <f t="shared" si="42"/>
        <v>7692</v>
      </c>
      <c r="O310" s="39">
        <f t="shared" si="43"/>
        <v>39.1</v>
      </c>
      <c r="P310" s="40">
        <f t="shared" si="44"/>
        <v>-0.25575447570332699</v>
      </c>
      <c r="Q310" s="39">
        <f t="shared" si="45"/>
        <v>7800</v>
      </c>
      <c r="R310" s="41"/>
      <c r="T310" s="42">
        <f t="shared" si="46"/>
        <v>-3</v>
      </c>
      <c r="U310" s="42">
        <f t="shared" si="47"/>
        <v>5</v>
      </c>
      <c r="V310" s="42">
        <f t="shared" si="48"/>
        <v>-2</v>
      </c>
    </row>
    <row r="311" spans="1:22" s="28" customFormat="1" ht="73.5" customHeight="1" x14ac:dyDescent="0.2">
      <c r="A311" s="30">
        <v>300</v>
      </c>
      <c r="B311" s="31" t="s">
        <v>426</v>
      </c>
      <c r="C311" s="32" t="s">
        <v>147</v>
      </c>
      <c r="D311" s="33">
        <v>48</v>
      </c>
      <c r="E311" s="35">
        <v>17801.5</v>
      </c>
      <c r="F311" s="32" t="s">
        <v>27</v>
      </c>
      <c r="G311" s="37">
        <f>20996.75/1.2</f>
        <v>17497.291666666668</v>
      </c>
      <c r="H311" s="38">
        <f t="shared" si="49"/>
        <v>839870</v>
      </c>
      <c r="I311" s="38" t="s">
        <v>28</v>
      </c>
      <c r="J311" s="37">
        <v>17891.400000000001</v>
      </c>
      <c r="K311" s="38">
        <f t="shared" si="41"/>
        <v>858787.20000000007</v>
      </c>
      <c r="L311" s="33" t="s">
        <v>29</v>
      </c>
      <c r="M311" s="37">
        <v>18112.77</v>
      </c>
      <c r="N311" s="38">
        <f t="shared" si="42"/>
        <v>869412.96</v>
      </c>
      <c r="O311" s="39">
        <f t="shared" si="43"/>
        <v>17833.820555555558</v>
      </c>
      <c r="P311" s="40">
        <f t="shared" si="44"/>
        <v>-0.18123180871351963</v>
      </c>
      <c r="Q311" s="39">
        <f t="shared" si="45"/>
        <v>854472</v>
      </c>
      <c r="R311" s="41"/>
      <c r="T311" s="42">
        <f t="shared" si="46"/>
        <v>-2</v>
      </c>
      <c r="U311" s="42">
        <f t="shared" si="47"/>
        <v>0</v>
      </c>
      <c r="V311" s="42">
        <f t="shared" si="48"/>
        <v>2</v>
      </c>
    </row>
    <row r="312" spans="1:22" s="28" customFormat="1" ht="73.5" customHeight="1" x14ac:dyDescent="0.2">
      <c r="A312" s="30">
        <v>301</v>
      </c>
      <c r="B312" s="31" t="s">
        <v>427</v>
      </c>
      <c r="C312" s="32" t="s">
        <v>25</v>
      </c>
      <c r="D312" s="33">
        <v>96</v>
      </c>
      <c r="E312" s="35">
        <v>15087.84</v>
      </c>
      <c r="F312" s="32" t="s">
        <v>27</v>
      </c>
      <c r="G312" s="37">
        <v>15023.18</v>
      </c>
      <c r="H312" s="38">
        <f t="shared" si="49"/>
        <v>1442225.28</v>
      </c>
      <c r="I312" s="38" t="s">
        <v>28</v>
      </c>
      <c r="J312" s="37">
        <v>14681.33</v>
      </c>
      <c r="K312" s="38">
        <f t="shared" si="41"/>
        <v>1409407.68</v>
      </c>
      <c r="L312" s="33" t="s">
        <v>29</v>
      </c>
      <c r="M312" s="37">
        <v>15762.2</v>
      </c>
      <c r="N312" s="38">
        <f t="shared" si="42"/>
        <v>1513171.2000000002</v>
      </c>
      <c r="O312" s="39">
        <f t="shared" si="43"/>
        <v>15155.570000000002</v>
      </c>
      <c r="P312" s="40">
        <f t="shared" si="44"/>
        <v>-0.44689840104992129</v>
      </c>
      <c r="Q312" s="39">
        <f t="shared" si="45"/>
        <v>1448432.6400000001</v>
      </c>
      <c r="R312" s="41"/>
      <c r="T312" s="42">
        <f t="shared" si="46"/>
        <v>-1</v>
      </c>
      <c r="U312" s="42">
        <f t="shared" si="47"/>
        <v>-3</v>
      </c>
      <c r="V312" s="42">
        <f t="shared" si="48"/>
        <v>4</v>
      </c>
    </row>
    <row r="313" spans="1:22" s="28" customFormat="1" ht="73.5" customHeight="1" x14ac:dyDescent="0.2">
      <c r="A313" s="30">
        <v>302</v>
      </c>
      <c r="B313" s="31" t="s">
        <v>428</v>
      </c>
      <c r="C313" s="32" t="s">
        <v>25</v>
      </c>
      <c r="D313" s="33">
        <v>48</v>
      </c>
      <c r="E313" s="35">
        <v>24326.9</v>
      </c>
      <c r="F313" s="32" t="s">
        <v>56</v>
      </c>
      <c r="G313" s="37">
        <v>24568.84</v>
      </c>
      <c r="H313" s="38">
        <f t="shared" si="49"/>
        <v>1179304.32</v>
      </c>
      <c r="I313" s="32" t="s">
        <v>57</v>
      </c>
      <c r="J313" s="37">
        <v>25037.67</v>
      </c>
      <c r="K313" s="38">
        <f t="shared" si="41"/>
        <v>1201808.1599999999</v>
      </c>
      <c r="L313" s="32" t="s">
        <v>119</v>
      </c>
      <c r="M313" s="37">
        <v>23991.05</v>
      </c>
      <c r="N313" s="38">
        <f t="shared" si="42"/>
        <v>1151570.3999999999</v>
      </c>
      <c r="O313" s="39">
        <f t="shared" si="43"/>
        <v>24532.52</v>
      </c>
      <c r="P313" s="40">
        <f t="shared" si="44"/>
        <v>-0.83815278658694581</v>
      </c>
      <c r="Q313" s="39">
        <f t="shared" si="45"/>
        <v>1167691.2000000002</v>
      </c>
      <c r="R313" s="41"/>
      <c r="T313" s="42">
        <f t="shared" si="46"/>
        <v>0</v>
      </c>
      <c r="U313" s="42">
        <f t="shared" si="47"/>
        <v>2</v>
      </c>
      <c r="V313" s="42">
        <f t="shared" si="48"/>
        <v>-2</v>
      </c>
    </row>
    <row r="314" spans="1:22" s="28" customFormat="1" ht="73.5" customHeight="1" x14ac:dyDescent="0.2">
      <c r="A314" s="30">
        <v>303</v>
      </c>
      <c r="B314" s="31" t="s">
        <v>429</v>
      </c>
      <c r="C314" s="32" t="s">
        <v>25</v>
      </c>
      <c r="D314" s="33">
        <v>400</v>
      </c>
      <c r="E314" s="35">
        <v>37.4</v>
      </c>
      <c r="F314" s="32" t="s">
        <v>39</v>
      </c>
      <c r="G314" s="37">
        <v>39.6</v>
      </c>
      <c r="H314" s="38">
        <f t="shared" si="49"/>
        <v>15840</v>
      </c>
      <c r="I314" s="32" t="s">
        <v>430</v>
      </c>
      <c r="J314" s="37">
        <f>46.28/1.2</f>
        <v>38.56666666666667</v>
      </c>
      <c r="K314" s="38">
        <f t="shared" si="41"/>
        <v>15426.666666666668</v>
      </c>
      <c r="L314" s="32" t="s">
        <v>431</v>
      </c>
      <c r="M314" s="37">
        <f>42.67/1.2</f>
        <v>35.558333333333337</v>
      </c>
      <c r="N314" s="38">
        <f t="shared" si="42"/>
        <v>14223.333333333336</v>
      </c>
      <c r="O314" s="39">
        <f t="shared" si="43"/>
        <v>37.908333333333339</v>
      </c>
      <c r="P314" s="40">
        <f t="shared" si="44"/>
        <v>-1.3409540558364625</v>
      </c>
      <c r="Q314" s="39">
        <f t="shared" si="45"/>
        <v>14960</v>
      </c>
      <c r="R314" s="41"/>
      <c r="T314" s="42">
        <f t="shared" si="46"/>
        <v>4</v>
      </c>
      <c r="U314" s="42">
        <f t="shared" si="47"/>
        <v>2</v>
      </c>
      <c r="V314" s="42">
        <f t="shared" si="48"/>
        <v>-6</v>
      </c>
    </row>
    <row r="315" spans="1:22" s="28" customFormat="1" ht="73.5" customHeight="1" x14ac:dyDescent="0.2">
      <c r="A315" s="30">
        <v>304</v>
      </c>
      <c r="B315" s="31" t="s">
        <v>432</v>
      </c>
      <c r="C315" s="32" t="s">
        <v>147</v>
      </c>
      <c r="D315" s="33" t="s">
        <v>433</v>
      </c>
      <c r="E315" s="35">
        <v>11.03</v>
      </c>
      <c r="F315" s="32" t="s">
        <v>90</v>
      </c>
      <c r="G315" s="37">
        <f>13.24/1.2</f>
        <v>11.033333333333333</v>
      </c>
      <c r="H315" s="38">
        <f t="shared" si="49"/>
        <v>17653.333333333332</v>
      </c>
      <c r="I315" s="32" t="s">
        <v>46</v>
      </c>
      <c r="J315" s="37">
        <v>10.93</v>
      </c>
      <c r="K315" s="38">
        <f t="shared" si="41"/>
        <v>17488</v>
      </c>
      <c r="L315" s="32" t="s">
        <v>58</v>
      </c>
      <c r="M315" s="37">
        <v>11.89</v>
      </c>
      <c r="N315" s="38">
        <f t="shared" si="42"/>
        <v>19024</v>
      </c>
      <c r="O315" s="39">
        <f t="shared" si="43"/>
        <v>11.284444444444444</v>
      </c>
      <c r="P315" s="40">
        <f t="shared" si="44"/>
        <v>-2.2548247341473058</v>
      </c>
      <c r="Q315" s="39">
        <f t="shared" si="45"/>
        <v>17648</v>
      </c>
      <c r="R315" s="41"/>
      <c r="T315" s="42">
        <f t="shared" si="46"/>
        <v>-2</v>
      </c>
      <c r="U315" s="42">
        <f t="shared" si="47"/>
        <v>-3</v>
      </c>
      <c r="V315" s="42">
        <f t="shared" si="48"/>
        <v>5</v>
      </c>
    </row>
    <row r="316" spans="1:22" s="28" customFormat="1" ht="73.5" customHeight="1" x14ac:dyDescent="0.2">
      <c r="A316" s="30">
        <v>305</v>
      </c>
      <c r="B316" s="31" t="s">
        <v>434</v>
      </c>
      <c r="C316" s="32" t="s">
        <v>25</v>
      </c>
      <c r="D316" s="33">
        <v>30</v>
      </c>
      <c r="E316" s="35">
        <v>1285.6600000000001</v>
      </c>
      <c r="F316" s="32" t="s">
        <v>435</v>
      </c>
      <c r="G316" s="37">
        <v>1300</v>
      </c>
      <c r="H316" s="38">
        <f t="shared" si="49"/>
        <v>39000</v>
      </c>
      <c r="I316" s="32" t="s">
        <v>436</v>
      </c>
      <c r="J316" s="37">
        <v>1300</v>
      </c>
      <c r="K316" s="38">
        <f t="shared" si="41"/>
        <v>39000</v>
      </c>
      <c r="L316" s="32" t="s">
        <v>437</v>
      </c>
      <c r="M316" s="37">
        <v>1260</v>
      </c>
      <c r="N316" s="38">
        <f t="shared" si="42"/>
        <v>37800</v>
      </c>
      <c r="O316" s="39">
        <f t="shared" si="43"/>
        <v>1286.6666666666667</v>
      </c>
      <c r="P316" s="40">
        <f t="shared" si="44"/>
        <v>-7.823834196891255E-2</v>
      </c>
      <c r="Q316" s="39">
        <f t="shared" si="45"/>
        <v>38569.800000000003</v>
      </c>
      <c r="R316" s="41"/>
      <c r="T316" s="42">
        <f t="shared" si="46"/>
        <v>1</v>
      </c>
      <c r="U316" s="42">
        <f t="shared" si="47"/>
        <v>1</v>
      </c>
      <c r="V316" s="42">
        <f t="shared" si="48"/>
        <v>-2</v>
      </c>
    </row>
    <row r="317" spans="1:22" s="28" customFormat="1" ht="73.5" customHeight="1" x14ac:dyDescent="0.2">
      <c r="A317" s="30">
        <v>306</v>
      </c>
      <c r="B317" s="31" t="s">
        <v>438</v>
      </c>
      <c r="C317" s="32" t="s">
        <v>25</v>
      </c>
      <c r="D317" s="33">
        <v>1</v>
      </c>
      <c r="E317" s="35">
        <v>26054.6</v>
      </c>
      <c r="F317" s="32" t="s">
        <v>27</v>
      </c>
      <c r="G317" s="37">
        <f>30302.49/1.2</f>
        <v>25252.075000000001</v>
      </c>
      <c r="H317" s="38">
        <f t="shared" si="49"/>
        <v>25252.075000000001</v>
      </c>
      <c r="I317" s="38" t="s">
        <v>28</v>
      </c>
      <c r="J317" s="37">
        <v>26315.4</v>
      </c>
      <c r="K317" s="38">
        <f t="shared" si="41"/>
        <v>26315.4</v>
      </c>
      <c r="L317" s="33" t="s">
        <v>29</v>
      </c>
      <c r="M317" s="37">
        <v>26678.22</v>
      </c>
      <c r="N317" s="38">
        <f t="shared" si="42"/>
        <v>26678.22</v>
      </c>
      <c r="O317" s="39">
        <f t="shared" si="43"/>
        <v>26081.898333333334</v>
      </c>
      <c r="P317" s="40">
        <f t="shared" si="44"/>
        <v>-0.10466390515159674</v>
      </c>
      <c r="Q317" s="39">
        <f t="shared" si="45"/>
        <v>26054.6</v>
      </c>
      <c r="R317" s="41"/>
      <c r="T317" s="42">
        <f t="shared" si="46"/>
        <v>-3</v>
      </c>
      <c r="U317" s="42">
        <f t="shared" si="47"/>
        <v>1</v>
      </c>
      <c r="V317" s="42">
        <f t="shared" si="48"/>
        <v>2</v>
      </c>
    </row>
    <row r="318" spans="1:22" s="28" customFormat="1" ht="73.5" customHeight="1" x14ac:dyDescent="0.2">
      <c r="A318" s="30">
        <v>307</v>
      </c>
      <c r="B318" s="31" t="s">
        <v>439</v>
      </c>
      <c r="C318" s="32" t="s">
        <v>25</v>
      </c>
      <c r="D318" s="33">
        <v>1</v>
      </c>
      <c r="E318" s="35">
        <v>8930.15</v>
      </c>
      <c r="F318" s="32" t="s">
        <v>56</v>
      </c>
      <c r="G318" s="37">
        <v>9150.2199999999993</v>
      </c>
      <c r="H318" s="38">
        <f t="shared" si="49"/>
        <v>9150.2199999999993</v>
      </c>
      <c r="I318" s="32" t="s">
        <v>57</v>
      </c>
      <c r="J318" s="37">
        <v>8700</v>
      </c>
      <c r="K318" s="38">
        <f t="shared" si="41"/>
        <v>8700</v>
      </c>
      <c r="L318" s="38" t="s">
        <v>67</v>
      </c>
      <c r="M318" s="37">
        <f>10766.52/1.2</f>
        <v>8972.1</v>
      </c>
      <c r="N318" s="38">
        <f t="shared" si="42"/>
        <v>8972.1</v>
      </c>
      <c r="O318" s="39">
        <f t="shared" si="43"/>
        <v>8940.7733333333326</v>
      </c>
      <c r="P318" s="40">
        <f t="shared" si="44"/>
        <v>-0.11881895376686202</v>
      </c>
      <c r="Q318" s="39">
        <f t="shared" si="45"/>
        <v>8930.15</v>
      </c>
      <c r="R318" s="41"/>
      <c r="T318" s="42">
        <f t="shared" si="46"/>
        <v>2</v>
      </c>
      <c r="U318" s="42">
        <f t="shared" si="47"/>
        <v>-3</v>
      </c>
      <c r="V318" s="42">
        <f t="shared" si="48"/>
        <v>0</v>
      </c>
    </row>
    <row r="319" spans="1:22" s="28" customFormat="1" ht="73.5" customHeight="1" x14ac:dyDescent="0.2">
      <c r="A319" s="30">
        <v>308</v>
      </c>
      <c r="B319" s="31" t="s">
        <v>440</v>
      </c>
      <c r="C319" s="32" t="s">
        <v>25</v>
      </c>
      <c r="D319" s="33">
        <v>1</v>
      </c>
      <c r="E319" s="35">
        <v>9080.1200000000008</v>
      </c>
      <c r="F319" s="32" t="s">
        <v>56</v>
      </c>
      <c r="G319" s="37">
        <v>9205.49</v>
      </c>
      <c r="H319" s="38">
        <f t="shared" si="49"/>
        <v>9205.49</v>
      </c>
      <c r="I319" s="32" t="s">
        <v>57</v>
      </c>
      <c r="J319" s="37">
        <v>8900</v>
      </c>
      <c r="K319" s="38">
        <f t="shared" si="41"/>
        <v>8900</v>
      </c>
      <c r="L319" s="38" t="s">
        <v>67</v>
      </c>
      <c r="M319" s="37">
        <f>10969.78/1.2</f>
        <v>9141.4833333333336</v>
      </c>
      <c r="N319" s="38">
        <f t="shared" si="42"/>
        <v>9141.4833333333336</v>
      </c>
      <c r="O319" s="39">
        <f t="shared" si="43"/>
        <v>9082.3244444444445</v>
      </c>
      <c r="P319" s="40">
        <f t="shared" si="44"/>
        <v>-2.427180902782311E-2</v>
      </c>
      <c r="Q319" s="39">
        <f t="shared" si="45"/>
        <v>9080.1200000000008</v>
      </c>
      <c r="R319" s="41"/>
      <c r="T319" s="42">
        <f t="shared" si="46"/>
        <v>1</v>
      </c>
      <c r="U319" s="42">
        <f t="shared" si="47"/>
        <v>-2</v>
      </c>
      <c r="V319" s="42">
        <f t="shared" si="48"/>
        <v>1</v>
      </c>
    </row>
    <row r="320" spans="1:22" s="28" customFormat="1" ht="73.5" customHeight="1" x14ac:dyDescent="0.2">
      <c r="A320" s="30">
        <v>309</v>
      </c>
      <c r="B320" s="31" t="s">
        <v>441</v>
      </c>
      <c r="C320" s="32" t="s">
        <v>25</v>
      </c>
      <c r="D320" s="33">
        <v>2</v>
      </c>
      <c r="E320" s="35">
        <v>33102.400000000001</v>
      </c>
      <c r="F320" s="32" t="s">
        <v>56</v>
      </c>
      <c r="G320" s="37">
        <v>33450</v>
      </c>
      <c r="H320" s="38">
        <f t="shared" si="49"/>
        <v>66900</v>
      </c>
      <c r="I320" s="32" t="s">
        <v>57</v>
      </c>
      <c r="J320" s="37">
        <v>32000</v>
      </c>
      <c r="K320" s="38">
        <f t="shared" si="41"/>
        <v>64000</v>
      </c>
      <c r="L320" s="38" t="s">
        <v>67</v>
      </c>
      <c r="M320" s="37">
        <f>40734.72/1.2</f>
        <v>33945.600000000006</v>
      </c>
      <c r="N320" s="38">
        <f t="shared" si="42"/>
        <v>67891.200000000012</v>
      </c>
      <c r="O320" s="39">
        <f t="shared" si="43"/>
        <v>33131.866666666669</v>
      </c>
      <c r="P320" s="40">
        <f t="shared" si="44"/>
        <v>-8.8937538482596779E-2</v>
      </c>
      <c r="Q320" s="39">
        <f t="shared" si="45"/>
        <v>66204.800000000003</v>
      </c>
      <c r="R320" s="41"/>
      <c r="T320" s="42">
        <f t="shared" si="46"/>
        <v>1</v>
      </c>
      <c r="U320" s="42">
        <f t="shared" si="47"/>
        <v>-3</v>
      </c>
      <c r="V320" s="42">
        <f t="shared" si="48"/>
        <v>2</v>
      </c>
    </row>
    <row r="321" spans="1:22" s="28" customFormat="1" ht="73.5" customHeight="1" x14ac:dyDescent="0.2">
      <c r="A321" s="30">
        <v>310</v>
      </c>
      <c r="B321" s="31" t="s">
        <v>442</v>
      </c>
      <c r="C321" s="32" t="s">
        <v>25</v>
      </c>
      <c r="D321" s="33">
        <v>2</v>
      </c>
      <c r="E321" s="35">
        <v>69148.5</v>
      </c>
      <c r="F321" s="32" t="s">
        <v>56</v>
      </c>
      <c r="G321" s="37">
        <v>69725.600000000006</v>
      </c>
      <c r="H321" s="38">
        <f t="shared" si="49"/>
        <v>139451.20000000001</v>
      </c>
      <c r="I321" s="32" t="s">
        <v>57</v>
      </c>
      <c r="J321" s="37">
        <v>68000</v>
      </c>
      <c r="K321" s="38">
        <f t="shared" si="41"/>
        <v>136000</v>
      </c>
      <c r="L321" s="38" t="s">
        <v>67</v>
      </c>
      <c r="M321" s="37">
        <f>84060.86/1.2</f>
        <v>70050.716666666674</v>
      </c>
      <c r="N321" s="38">
        <f t="shared" si="42"/>
        <v>140101.43333333335</v>
      </c>
      <c r="O321" s="39">
        <f t="shared" si="43"/>
        <v>69258.772222222222</v>
      </c>
      <c r="P321" s="40">
        <f t="shared" si="44"/>
        <v>-0.15921769717257916</v>
      </c>
      <c r="Q321" s="39">
        <f t="shared" si="45"/>
        <v>138297</v>
      </c>
      <c r="R321" s="41"/>
      <c r="T321" s="42">
        <f t="shared" si="46"/>
        <v>1</v>
      </c>
      <c r="U321" s="42">
        <f t="shared" si="47"/>
        <v>-2</v>
      </c>
      <c r="V321" s="42">
        <f t="shared" si="48"/>
        <v>1</v>
      </c>
    </row>
    <row r="322" spans="1:22" s="28" customFormat="1" ht="73.5" customHeight="1" x14ac:dyDescent="0.2">
      <c r="A322" s="30">
        <v>311</v>
      </c>
      <c r="B322" s="31" t="s">
        <v>443</v>
      </c>
      <c r="C322" s="32" t="s">
        <v>45</v>
      </c>
      <c r="D322" s="33">
        <v>125.8</v>
      </c>
      <c r="E322" s="35">
        <v>395.2</v>
      </c>
      <c r="F322" s="32" t="s">
        <v>39</v>
      </c>
      <c r="G322" s="37">
        <v>388.09</v>
      </c>
      <c r="H322" s="38">
        <f t="shared" si="49"/>
        <v>48821.721999999994</v>
      </c>
      <c r="I322" s="32" t="s">
        <v>54</v>
      </c>
      <c r="J322" s="37">
        <v>410.77</v>
      </c>
      <c r="K322" s="38">
        <f t="shared" si="41"/>
        <v>51674.865999999995</v>
      </c>
      <c r="L322" s="38" t="s">
        <v>67</v>
      </c>
      <c r="M322" s="37">
        <f>488.26/1.2</f>
        <v>406.88333333333333</v>
      </c>
      <c r="N322" s="38">
        <f t="shared" si="42"/>
        <v>51185.923333333332</v>
      </c>
      <c r="O322" s="39">
        <f t="shared" si="43"/>
        <v>401.91444444444443</v>
      </c>
      <c r="P322" s="40">
        <f t="shared" si="44"/>
        <v>-1.6706153603724374</v>
      </c>
      <c r="Q322" s="39">
        <f t="shared" si="45"/>
        <v>49716.159999999996</v>
      </c>
      <c r="R322" s="41"/>
      <c r="T322" s="42">
        <f t="shared" si="46"/>
        <v>-3</v>
      </c>
      <c r="U322" s="42">
        <f t="shared" si="47"/>
        <v>2</v>
      </c>
      <c r="V322" s="42">
        <f t="shared" si="48"/>
        <v>1</v>
      </c>
    </row>
    <row r="323" spans="1:22" s="28" customFormat="1" ht="73.5" customHeight="1" x14ac:dyDescent="0.2">
      <c r="A323" s="30">
        <v>312</v>
      </c>
      <c r="B323" s="31" t="s">
        <v>444</v>
      </c>
      <c r="C323" s="32" t="s">
        <v>45</v>
      </c>
      <c r="D323" s="33" t="s">
        <v>445</v>
      </c>
      <c r="E323" s="35">
        <v>385.4</v>
      </c>
      <c r="F323" s="32" t="s">
        <v>39</v>
      </c>
      <c r="G323" s="37">
        <v>395.81</v>
      </c>
      <c r="H323" s="38">
        <f t="shared" si="49"/>
        <v>28498.32</v>
      </c>
      <c r="I323" s="32" t="s">
        <v>54</v>
      </c>
      <c r="J323" s="37">
        <v>403.69</v>
      </c>
      <c r="K323" s="38">
        <f t="shared" si="41"/>
        <v>29065.68</v>
      </c>
      <c r="L323" s="38" t="s">
        <v>67</v>
      </c>
      <c r="M323" s="37">
        <f>465/1.2</f>
        <v>387.5</v>
      </c>
      <c r="N323" s="38">
        <f t="shared" si="42"/>
        <v>27900</v>
      </c>
      <c r="O323" s="39">
        <f t="shared" si="43"/>
        <v>395.66666666666669</v>
      </c>
      <c r="P323" s="40">
        <f t="shared" si="44"/>
        <v>-2.594776748104465</v>
      </c>
      <c r="Q323" s="39">
        <f t="shared" si="45"/>
        <v>27748.799999999999</v>
      </c>
      <c r="R323" s="41"/>
      <c r="T323" s="42">
        <f t="shared" si="46"/>
        <v>0</v>
      </c>
      <c r="U323" s="42">
        <f t="shared" si="47"/>
        <v>2</v>
      </c>
      <c r="V323" s="42">
        <f t="shared" si="48"/>
        <v>-2</v>
      </c>
    </row>
    <row r="324" spans="1:22" s="28" customFormat="1" ht="73.5" customHeight="1" x14ac:dyDescent="0.2">
      <c r="A324" s="30">
        <v>313</v>
      </c>
      <c r="B324" s="31" t="s">
        <v>446</v>
      </c>
      <c r="C324" s="32" t="s">
        <v>45</v>
      </c>
      <c r="D324" s="33">
        <v>24</v>
      </c>
      <c r="E324" s="35">
        <v>383</v>
      </c>
      <c r="F324" s="32" t="s">
        <v>39</v>
      </c>
      <c r="G324" s="37">
        <v>395.81</v>
      </c>
      <c r="H324" s="38">
        <f t="shared" ref="H324:H331" si="50">D324*G324</f>
        <v>9499.44</v>
      </c>
      <c r="I324" s="32" t="s">
        <v>54</v>
      </c>
      <c r="J324" s="37">
        <v>403.69</v>
      </c>
      <c r="K324" s="38">
        <f t="shared" si="41"/>
        <v>9688.56</v>
      </c>
      <c r="L324" s="38" t="s">
        <v>67</v>
      </c>
      <c r="M324" s="37">
        <f>460.44/1.2</f>
        <v>383.7</v>
      </c>
      <c r="N324" s="38">
        <f t="shared" si="42"/>
        <v>9208.7999999999993</v>
      </c>
      <c r="O324" s="39">
        <f t="shared" si="43"/>
        <v>394.40000000000003</v>
      </c>
      <c r="P324" s="40">
        <f t="shared" si="44"/>
        <v>-2.8904665314401683</v>
      </c>
      <c r="Q324" s="39">
        <f t="shared" si="45"/>
        <v>9192</v>
      </c>
      <c r="R324" s="41"/>
      <c r="T324" s="42">
        <f t="shared" si="46"/>
        <v>0</v>
      </c>
      <c r="U324" s="42">
        <f t="shared" si="47"/>
        <v>2</v>
      </c>
      <c r="V324" s="42">
        <f t="shared" si="48"/>
        <v>-3</v>
      </c>
    </row>
    <row r="325" spans="1:22" s="28" customFormat="1" ht="73.5" customHeight="1" x14ac:dyDescent="0.2">
      <c r="A325" s="30">
        <v>314</v>
      </c>
      <c r="B325" s="31" t="s">
        <v>447</v>
      </c>
      <c r="C325" s="32" t="s">
        <v>25</v>
      </c>
      <c r="D325" s="33">
        <v>4</v>
      </c>
      <c r="E325" s="35">
        <v>1175.2</v>
      </c>
      <c r="F325" s="32" t="s">
        <v>27</v>
      </c>
      <c r="G325" s="37">
        <f>1338.34/1.2</f>
        <v>1115.2833333333333</v>
      </c>
      <c r="H325" s="38">
        <f t="shared" si="50"/>
        <v>4461.1333333333332</v>
      </c>
      <c r="I325" s="38" t="s">
        <v>28</v>
      </c>
      <c r="J325" s="37">
        <v>1170.6400000000001</v>
      </c>
      <c r="K325" s="38">
        <f t="shared" si="41"/>
        <v>4682.5600000000004</v>
      </c>
      <c r="L325" s="33" t="s">
        <v>29</v>
      </c>
      <c r="M325" s="37">
        <v>1246.5</v>
      </c>
      <c r="N325" s="38">
        <f t="shared" si="42"/>
        <v>4986</v>
      </c>
      <c r="O325" s="39">
        <f t="shared" si="43"/>
        <v>1177.4744444444443</v>
      </c>
      <c r="P325" s="40">
        <f t="shared" si="44"/>
        <v>-0.19316295611982071</v>
      </c>
      <c r="Q325" s="39">
        <f t="shared" si="45"/>
        <v>4700.8</v>
      </c>
      <c r="R325" s="41"/>
      <c r="T325" s="42">
        <f t="shared" si="46"/>
        <v>-5</v>
      </c>
      <c r="U325" s="42">
        <f t="shared" si="47"/>
        <v>-1</v>
      </c>
      <c r="V325" s="42">
        <f t="shared" si="48"/>
        <v>6</v>
      </c>
    </row>
    <row r="326" spans="1:22" s="28" customFormat="1" ht="73.5" customHeight="1" x14ac:dyDescent="0.2">
      <c r="A326" s="30">
        <v>315</v>
      </c>
      <c r="B326" s="31" t="s">
        <v>448</v>
      </c>
      <c r="C326" s="32" t="s">
        <v>25</v>
      </c>
      <c r="D326" s="32">
        <v>71</v>
      </c>
      <c r="E326" s="35">
        <v>1974.45</v>
      </c>
      <c r="F326" s="32" t="s">
        <v>27</v>
      </c>
      <c r="G326" s="37">
        <f>2332.39/1.2</f>
        <v>1943.6583333333333</v>
      </c>
      <c r="H326" s="38">
        <f t="shared" si="50"/>
        <v>137999.74166666667</v>
      </c>
      <c r="I326" s="38" t="s">
        <v>28</v>
      </c>
      <c r="J326" s="37">
        <v>2010.42</v>
      </c>
      <c r="K326" s="38">
        <f t="shared" si="41"/>
        <v>142739.82</v>
      </c>
      <c r="L326" s="33" t="s">
        <v>29</v>
      </c>
      <c r="M326" s="37">
        <v>1972.2</v>
      </c>
      <c r="N326" s="38">
        <f t="shared" si="42"/>
        <v>140026.20000000001</v>
      </c>
      <c r="O326" s="39">
        <f t="shared" si="43"/>
        <v>1975.4261111111111</v>
      </c>
      <c r="P326" s="40">
        <f t="shared" si="44"/>
        <v>-4.9412686489304747E-2</v>
      </c>
      <c r="Q326" s="39">
        <f t="shared" si="45"/>
        <v>140185.95000000001</v>
      </c>
      <c r="R326" s="41"/>
      <c r="T326" s="42">
        <f t="shared" si="46"/>
        <v>-2</v>
      </c>
      <c r="U326" s="42">
        <f t="shared" si="47"/>
        <v>2</v>
      </c>
      <c r="V326" s="42">
        <f t="shared" si="48"/>
        <v>0</v>
      </c>
    </row>
    <row r="327" spans="1:22" s="28" customFormat="1" ht="73.5" customHeight="1" x14ac:dyDescent="0.2">
      <c r="A327" s="30">
        <v>316</v>
      </c>
      <c r="B327" s="31" t="s">
        <v>449</v>
      </c>
      <c r="C327" s="32" t="s">
        <v>25</v>
      </c>
      <c r="D327" s="33">
        <v>34</v>
      </c>
      <c r="E327" s="35">
        <v>2651.1</v>
      </c>
      <c r="F327" s="32" t="s">
        <v>27</v>
      </c>
      <c r="G327" s="37">
        <f>2925.52/1.2</f>
        <v>2437.9333333333334</v>
      </c>
      <c r="H327" s="38">
        <f t="shared" si="50"/>
        <v>82889.733333333337</v>
      </c>
      <c r="I327" s="38" t="s">
        <v>28</v>
      </c>
      <c r="J327" s="37">
        <v>2845.3</v>
      </c>
      <c r="K327" s="38">
        <f t="shared" si="41"/>
        <v>96740.200000000012</v>
      </c>
      <c r="L327" s="33" t="s">
        <v>29</v>
      </c>
      <c r="M327" s="37">
        <v>2680.49</v>
      </c>
      <c r="N327" s="38">
        <f t="shared" si="42"/>
        <v>91136.659999999989</v>
      </c>
      <c r="O327" s="39">
        <f t="shared" si="43"/>
        <v>2654.5744444444445</v>
      </c>
      <c r="P327" s="40">
        <f t="shared" si="44"/>
        <v>-0.13088517640618136</v>
      </c>
      <c r="Q327" s="39">
        <f t="shared" si="45"/>
        <v>90137.4</v>
      </c>
      <c r="R327" s="41"/>
      <c r="T327" s="42">
        <f t="shared" si="46"/>
        <v>-8</v>
      </c>
      <c r="U327" s="42">
        <f t="shared" si="47"/>
        <v>7</v>
      </c>
      <c r="V327" s="42">
        <f t="shared" si="48"/>
        <v>1</v>
      </c>
    </row>
    <row r="328" spans="1:22" s="28" customFormat="1" ht="73.5" customHeight="1" x14ac:dyDescent="0.2">
      <c r="A328" s="30">
        <v>317</v>
      </c>
      <c r="B328" s="31" t="s">
        <v>450</v>
      </c>
      <c r="C328" s="32" t="s">
        <v>25</v>
      </c>
      <c r="D328" s="33" t="s">
        <v>451</v>
      </c>
      <c r="E328" s="35">
        <v>3640.5</v>
      </c>
      <c r="F328" s="32" t="s">
        <v>27</v>
      </c>
      <c r="G328" s="37">
        <f>4199.67/1.2</f>
        <v>3499.7250000000004</v>
      </c>
      <c r="H328" s="38">
        <f t="shared" si="50"/>
        <v>34997.25</v>
      </c>
      <c r="I328" s="38" t="s">
        <v>28</v>
      </c>
      <c r="J328" s="37">
        <v>3754.2</v>
      </c>
      <c r="K328" s="38">
        <f t="shared" si="41"/>
        <v>37542</v>
      </c>
      <c r="L328" s="33" t="s">
        <v>29</v>
      </c>
      <c r="M328" s="37">
        <v>3674.62</v>
      </c>
      <c r="N328" s="38">
        <f t="shared" si="42"/>
        <v>36746.199999999997</v>
      </c>
      <c r="O328" s="39">
        <f t="shared" si="43"/>
        <v>3642.8483333333334</v>
      </c>
      <c r="P328" s="40">
        <f t="shared" si="44"/>
        <v>-6.4464208181419735E-2</v>
      </c>
      <c r="Q328" s="39">
        <f t="shared" si="45"/>
        <v>36405</v>
      </c>
      <c r="R328" s="41"/>
      <c r="T328" s="42">
        <f t="shared" si="46"/>
        <v>-4</v>
      </c>
      <c r="U328" s="42">
        <f t="shared" si="47"/>
        <v>3</v>
      </c>
      <c r="V328" s="42">
        <f t="shared" si="48"/>
        <v>1</v>
      </c>
    </row>
    <row r="329" spans="1:22" s="28" customFormat="1" ht="73.5" customHeight="1" x14ac:dyDescent="0.2">
      <c r="A329" s="30">
        <v>318</v>
      </c>
      <c r="B329" s="31" t="s">
        <v>452</v>
      </c>
      <c r="C329" s="32" t="s">
        <v>25</v>
      </c>
      <c r="D329" s="33">
        <v>266</v>
      </c>
      <c r="E329" s="35">
        <v>591.6</v>
      </c>
      <c r="F329" s="32" t="s">
        <v>56</v>
      </c>
      <c r="G329" s="37">
        <v>589.70000000000005</v>
      </c>
      <c r="H329" s="38">
        <f t="shared" si="50"/>
        <v>156860.20000000001</v>
      </c>
      <c r="I329" s="32" t="s">
        <v>57</v>
      </c>
      <c r="J329" s="37">
        <v>578.64</v>
      </c>
      <c r="K329" s="38">
        <f t="shared" si="41"/>
        <v>153918.24</v>
      </c>
      <c r="L329" s="38" t="s">
        <v>68</v>
      </c>
      <c r="M329" s="37">
        <v>610.24</v>
      </c>
      <c r="N329" s="38">
        <f t="shared" si="42"/>
        <v>162323.84</v>
      </c>
      <c r="O329" s="39">
        <f t="shared" si="43"/>
        <v>592.86</v>
      </c>
      <c r="P329" s="40">
        <f t="shared" si="44"/>
        <v>-0.21252909624531924</v>
      </c>
      <c r="Q329" s="39">
        <f t="shared" si="45"/>
        <v>157365.6</v>
      </c>
      <c r="R329" s="41"/>
      <c r="T329" s="42">
        <f t="shared" si="46"/>
        <v>-1</v>
      </c>
      <c r="U329" s="42">
        <f t="shared" si="47"/>
        <v>-2</v>
      </c>
      <c r="V329" s="42">
        <f t="shared" si="48"/>
        <v>3</v>
      </c>
    </row>
    <row r="330" spans="1:22" s="28" customFormat="1" ht="73.5" customHeight="1" x14ac:dyDescent="0.2">
      <c r="A330" s="30">
        <v>319</v>
      </c>
      <c r="B330" s="31" t="s">
        <v>453</v>
      </c>
      <c r="C330" s="32" t="s">
        <v>25</v>
      </c>
      <c r="D330" s="33">
        <v>654</v>
      </c>
      <c r="E330" s="35">
        <v>595.79999999999995</v>
      </c>
      <c r="F330" s="32" t="s">
        <v>56</v>
      </c>
      <c r="G330" s="37">
        <v>630.12</v>
      </c>
      <c r="H330" s="38">
        <f t="shared" si="50"/>
        <v>412098.48</v>
      </c>
      <c r="I330" s="32" t="s">
        <v>57</v>
      </c>
      <c r="J330" s="37">
        <v>562.09</v>
      </c>
      <c r="K330" s="38">
        <f t="shared" si="41"/>
        <v>367606.86000000004</v>
      </c>
      <c r="L330" s="38" t="s">
        <v>68</v>
      </c>
      <c r="M330" s="37">
        <v>599.4</v>
      </c>
      <c r="N330" s="38">
        <f t="shared" si="42"/>
        <v>392007.6</v>
      </c>
      <c r="O330" s="39">
        <f t="shared" si="43"/>
        <v>597.20333333333338</v>
      </c>
      <c r="P330" s="40">
        <f t="shared" si="44"/>
        <v>-0.23498417624372792</v>
      </c>
      <c r="Q330" s="39">
        <f t="shared" si="45"/>
        <v>389653.19999999995</v>
      </c>
      <c r="R330" s="64"/>
      <c r="T330" s="42">
        <f t="shared" si="46"/>
        <v>6</v>
      </c>
      <c r="U330" s="42">
        <f t="shared" si="47"/>
        <v>-6</v>
      </c>
      <c r="V330" s="42">
        <f t="shared" si="48"/>
        <v>0</v>
      </c>
    </row>
    <row r="331" spans="1:22" s="28" customFormat="1" ht="73.5" customHeight="1" x14ac:dyDescent="0.2">
      <c r="A331" s="30">
        <v>320</v>
      </c>
      <c r="B331" s="31" t="s">
        <v>454</v>
      </c>
      <c r="C331" s="32" t="s">
        <v>25</v>
      </c>
      <c r="D331" s="33">
        <v>20</v>
      </c>
      <c r="E331" s="35">
        <v>2045.3</v>
      </c>
      <c r="F331" s="32" t="s">
        <v>27</v>
      </c>
      <c r="G331" s="37">
        <f>2395.66/1.2</f>
        <v>1996.3833333333332</v>
      </c>
      <c r="H331" s="38">
        <f t="shared" si="50"/>
        <v>39927.666666666664</v>
      </c>
      <c r="I331" s="38" t="s">
        <v>28</v>
      </c>
      <c r="J331" s="37">
        <v>2100.3000000000002</v>
      </c>
      <c r="K331" s="38">
        <f t="shared" si="41"/>
        <v>42006</v>
      </c>
      <c r="L331" s="33" t="s">
        <v>29</v>
      </c>
      <c r="M331" s="37">
        <v>2050.88</v>
      </c>
      <c r="N331" s="38">
        <f t="shared" si="42"/>
        <v>41017.600000000006</v>
      </c>
      <c r="O331" s="39">
        <f t="shared" si="43"/>
        <v>2049.1877777777777</v>
      </c>
      <c r="P331" s="40">
        <f t="shared" si="44"/>
        <v>-0.18972286580753916</v>
      </c>
      <c r="Q331" s="39">
        <f t="shared" si="45"/>
        <v>40906</v>
      </c>
      <c r="R331" s="41"/>
      <c r="T331" s="42">
        <f t="shared" si="46"/>
        <v>-3</v>
      </c>
      <c r="U331" s="42">
        <f t="shared" si="47"/>
        <v>2</v>
      </c>
      <c r="V331" s="42">
        <f t="shared" si="48"/>
        <v>0</v>
      </c>
    </row>
    <row r="332" spans="1:22" s="28" customFormat="1" ht="32.25" customHeight="1" x14ac:dyDescent="0.2">
      <c r="A332" s="30"/>
      <c r="B332" s="178" t="s">
        <v>455</v>
      </c>
      <c r="C332" s="178"/>
      <c r="D332" s="178"/>
      <c r="E332" s="178"/>
      <c r="F332" s="178"/>
      <c r="G332" s="178"/>
      <c r="H332" s="178"/>
      <c r="I332" s="178"/>
      <c r="J332" s="178"/>
      <c r="K332" s="178"/>
      <c r="L332" s="178"/>
      <c r="M332" s="178"/>
      <c r="N332" s="178"/>
      <c r="O332" s="178"/>
      <c r="P332" s="178"/>
      <c r="Q332" s="178"/>
      <c r="R332" s="178"/>
      <c r="T332" s="42"/>
      <c r="U332" s="42"/>
      <c r="V332" s="42"/>
    </row>
    <row r="333" spans="1:22" s="28" customFormat="1" ht="73.5" customHeight="1" x14ac:dyDescent="0.2">
      <c r="A333" s="30">
        <v>321</v>
      </c>
      <c r="B333" s="31" t="s">
        <v>456</v>
      </c>
      <c r="C333" s="32" t="s">
        <v>25</v>
      </c>
      <c r="D333" s="33">
        <v>8</v>
      </c>
      <c r="E333" s="35">
        <v>87042.7</v>
      </c>
      <c r="F333" s="32" t="s">
        <v>56</v>
      </c>
      <c r="G333" s="37">
        <v>85925.72</v>
      </c>
      <c r="H333" s="38">
        <f>D333*G333</f>
        <v>687405.76</v>
      </c>
      <c r="I333" s="32" t="s">
        <v>57</v>
      </c>
      <c r="J333" s="37">
        <v>88479.67</v>
      </c>
      <c r="K333" s="38">
        <f>D333*J333</f>
        <v>707837.36</v>
      </c>
      <c r="L333" s="32" t="s">
        <v>457</v>
      </c>
      <c r="M333" s="37">
        <f>87011.83</f>
        <v>87011.83</v>
      </c>
      <c r="N333" s="38">
        <f>D333*M333</f>
        <v>696094.64</v>
      </c>
      <c r="O333" s="39">
        <f>AVERAGE(G333,J333,M333)</f>
        <v>87139.073333333348</v>
      </c>
      <c r="P333" s="40">
        <f>E333*100/O333-100</f>
        <v>-0.11059715193974284</v>
      </c>
      <c r="Q333" s="39">
        <f>D333*E333</f>
        <v>696341.6</v>
      </c>
      <c r="R333" s="31"/>
      <c r="T333" s="42">
        <f>ROUND(G333*100/O333-100,0)</f>
        <v>-1</v>
      </c>
      <c r="U333" s="42">
        <f>ROUND(J333*100/O333-100,0)</f>
        <v>2</v>
      </c>
      <c r="V333" s="42">
        <f>ROUND(M333*100/O333-100,0)</f>
        <v>0</v>
      </c>
    </row>
    <row r="334" spans="1:22" s="28" customFormat="1" ht="25.5" customHeight="1" x14ac:dyDescent="0.2">
      <c r="A334" s="189" t="s">
        <v>458</v>
      </c>
      <c r="B334" s="189"/>
      <c r="C334" s="189"/>
      <c r="D334" s="189"/>
      <c r="E334" s="189"/>
      <c r="F334" s="189"/>
      <c r="G334" s="189"/>
      <c r="H334" s="189"/>
      <c r="I334" s="189"/>
      <c r="J334" s="189"/>
      <c r="K334" s="189"/>
      <c r="L334" s="189"/>
      <c r="M334" s="189"/>
      <c r="N334" s="189"/>
      <c r="O334" s="39">
        <f>SUM(O11:O333)</f>
        <v>6352235.0567752169</v>
      </c>
      <c r="P334" s="40"/>
      <c r="Q334" s="39">
        <f>SUM(Q11:Q333)</f>
        <v>44179579.447400019</v>
      </c>
      <c r="R334" s="31"/>
    </row>
    <row r="335" spans="1:22" s="10" customFormat="1" ht="33" customHeight="1" x14ac:dyDescent="0.25">
      <c r="A335" s="58"/>
      <c r="B335" s="190"/>
      <c r="C335" s="190"/>
      <c r="D335" s="190"/>
      <c r="E335" s="190"/>
      <c r="F335" s="190"/>
      <c r="G335" s="190"/>
      <c r="H335" s="190"/>
      <c r="I335" s="59"/>
      <c r="J335" s="60"/>
      <c r="K335" s="58"/>
      <c r="L335" s="58"/>
      <c r="M335" s="60"/>
      <c r="N335" s="58"/>
      <c r="O335" s="58"/>
      <c r="P335" s="58"/>
      <c r="Q335" s="58"/>
      <c r="R335" s="58"/>
    </row>
    <row r="336" spans="1:22" ht="15.75" x14ac:dyDescent="0.25">
      <c r="I336" s="59"/>
    </row>
    <row r="337" spans="2:16" ht="15.75" x14ac:dyDescent="0.25">
      <c r="I337" s="59"/>
    </row>
    <row r="339" spans="2:16" ht="124.5" customHeight="1" x14ac:dyDescent="0.25">
      <c r="B339" s="191" t="s">
        <v>459</v>
      </c>
      <c r="C339" s="191"/>
      <c r="D339" s="191"/>
      <c r="E339" s="191"/>
      <c r="F339" s="191"/>
      <c r="G339" s="191"/>
      <c r="H339" s="191"/>
      <c r="I339" s="191"/>
      <c r="J339" s="191"/>
      <c r="K339" s="191"/>
      <c r="L339" s="191"/>
      <c r="M339" s="191"/>
      <c r="N339" s="191"/>
      <c r="O339" s="191"/>
      <c r="P339" s="191"/>
    </row>
    <row r="341" spans="2:16" ht="32.25" customHeight="1" x14ac:dyDescent="0.25">
      <c r="B341" s="191" t="s">
        <v>460</v>
      </c>
      <c r="C341" s="191"/>
      <c r="D341" s="191"/>
      <c r="E341" s="191"/>
      <c r="F341" s="191"/>
      <c r="G341" s="191"/>
      <c r="H341" s="191"/>
      <c r="I341" s="191"/>
      <c r="J341" s="191"/>
      <c r="K341" s="191"/>
      <c r="L341" s="191"/>
      <c r="M341" s="191"/>
      <c r="N341" s="191"/>
      <c r="O341" s="191"/>
      <c r="P341" s="191"/>
    </row>
    <row r="349" spans="2:16" x14ac:dyDescent="0.2">
      <c r="F349" s="36"/>
      <c r="G349" s="37"/>
    </row>
  </sheetData>
  <autoFilter ref="A10:R334"/>
  <mergeCells count="23">
    <mergeCell ref="B339:P339"/>
    <mergeCell ref="B341:P341"/>
    <mergeCell ref="T7:V8"/>
    <mergeCell ref="A11:R11"/>
    <mergeCell ref="B332:R332"/>
    <mergeCell ref="A334:N334"/>
    <mergeCell ref="B335:H335"/>
    <mergeCell ref="O1:R1"/>
    <mergeCell ref="O2:R2"/>
    <mergeCell ref="A3:O3"/>
    <mergeCell ref="A5:P5"/>
    <mergeCell ref="A7:A9"/>
    <mergeCell ref="B7:B9"/>
    <mergeCell ref="C7:C9"/>
    <mergeCell ref="D7:D9"/>
    <mergeCell ref="E7:E9"/>
    <mergeCell ref="F7:H8"/>
    <mergeCell ref="I7:K8"/>
    <mergeCell ref="L7:N8"/>
    <mergeCell ref="O7:O9"/>
    <mergeCell ref="P7:P9"/>
    <mergeCell ref="Q7:Q9"/>
    <mergeCell ref="R7:R9"/>
  </mergeCells>
  <conditionalFormatting sqref="P333">
    <cfRule type="cellIs" dxfId="10" priority="2" operator="greaterThan">
      <formula>0</formula>
    </cfRule>
  </conditionalFormatting>
  <conditionalFormatting sqref="T11:V333">
    <cfRule type="expression" dxfId="9" priority="3">
      <formula>AND(T11&lt;-20,T11&lt;0)</formula>
    </cfRule>
    <cfRule type="expression" dxfId="8" priority="4">
      <formula>AND(T11&gt;20,T11&gt;0)</formula>
    </cfRule>
  </conditionalFormatting>
  <conditionalFormatting sqref="P12:P331">
    <cfRule type="cellIs" dxfId="7" priority="5" operator="greaterThan">
      <formula>0</formula>
    </cfRule>
  </conditionalFormatting>
  <hyperlinks>
    <hyperlink ref="L33" r:id="rId1"/>
  </hyperlinks>
  <pageMargins left="0.25" right="0.25" top="0.75" bottom="0.75" header="0.511811023622047" footer="0.511811023622047"/>
  <pageSetup paperSize="9" scale="35" orientation="landscape" horizontalDpi="300" verticalDpi="30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72"/>
  <sheetViews>
    <sheetView topLeftCell="A7" zoomScale="65" zoomScaleNormal="65" workbookViewId="0">
      <pane ySplit="5" topLeftCell="A69" activePane="bottomLeft" state="frozen"/>
      <selection activeCell="A7" sqref="A7"/>
      <selection pane="bottomLeft" activeCell="B73" activeCellId="1" sqref="J50:J51 B73"/>
    </sheetView>
  </sheetViews>
  <sheetFormatPr defaultColWidth="9.140625" defaultRowHeight="14.25" outlineLevelCol="1" x14ac:dyDescent="0.2"/>
  <cols>
    <col min="1" max="1" width="6.7109375" style="1" customWidth="1"/>
    <col min="2" max="2" width="52.140625" style="91" customWidth="1"/>
    <col min="3" max="3" width="14.28515625" style="92" customWidth="1"/>
    <col min="4" max="4" width="15.140625" style="92" customWidth="1"/>
    <col min="5" max="5" width="15.140625" style="93" customWidth="1"/>
    <col min="6" max="6" width="16" style="1" customWidth="1"/>
    <col min="7" max="7" width="23.5703125" style="1" customWidth="1"/>
    <col min="8" max="8" width="17.5703125" style="4" customWidth="1"/>
    <col min="9" max="9" width="17.42578125" style="1" customWidth="1"/>
    <col min="10" max="10" width="21.140625" style="1" customWidth="1"/>
    <col min="11" max="11" width="17.42578125" style="4" customWidth="1"/>
    <col min="12" max="12" width="17.85546875" style="1" customWidth="1"/>
    <col min="13" max="13" width="21.5703125" style="1" customWidth="1"/>
    <col min="14" max="14" width="18.140625" style="4" customWidth="1"/>
    <col min="15" max="15" width="19.7109375" style="1" customWidth="1"/>
    <col min="16" max="16" width="20.85546875" style="1" customWidth="1"/>
    <col min="17" max="17" width="19.28515625" style="1" customWidth="1"/>
    <col min="18" max="18" width="19.7109375" style="1" customWidth="1"/>
    <col min="19" max="19" width="23.140625" style="1" customWidth="1"/>
    <col min="20" max="20" width="9.140625" style="1"/>
    <col min="21" max="21" width="13" style="94" customWidth="1" outlineLevel="1"/>
    <col min="22" max="23" width="13" style="1" customWidth="1" outlineLevel="1"/>
    <col min="24" max="16384" width="9.140625" style="1"/>
  </cols>
  <sheetData>
    <row r="1" spans="1:36" x14ac:dyDescent="0.2">
      <c r="P1" s="179" t="s">
        <v>0</v>
      </c>
      <c r="Q1" s="179"/>
      <c r="R1" s="179"/>
      <c r="S1" s="179"/>
    </row>
    <row r="2" spans="1:36" ht="32.25" customHeight="1" x14ac:dyDescent="0.2">
      <c r="P2" s="180" t="s">
        <v>1</v>
      </c>
      <c r="Q2" s="180"/>
      <c r="R2" s="180"/>
      <c r="S2" s="180"/>
    </row>
    <row r="3" spans="1:36" ht="25.5" customHeight="1" x14ac:dyDescent="0.2">
      <c r="A3" s="195" t="s">
        <v>2</v>
      </c>
      <c r="B3" s="195"/>
      <c r="C3" s="195"/>
      <c r="D3" s="195"/>
      <c r="E3" s="195"/>
      <c r="F3" s="195"/>
      <c r="G3" s="195"/>
      <c r="H3" s="195"/>
      <c r="I3" s="195"/>
      <c r="J3" s="195"/>
      <c r="K3" s="195"/>
      <c r="L3" s="195"/>
      <c r="M3" s="195"/>
      <c r="N3" s="195"/>
      <c r="O3" s="195"/>
      <c r="P3" s="195"/>
      <c r="Q3" s="95"/>
      <c r="R3" s="95"/>
    </row>
    <row r="4" spans="1:36" ht="17.25" customHeight="1" x14ac:dyDescent="0.2">
      <c r="A4" s="6"/>
      <c r="B4" s="7"/>
      <c r="C4" s="96"/>
      <c r="D4" s="96"/>
      <c r="E4" s="97"/>
      <c r="F4" s="6"/>
      <c r="G4" s="6"/>
      <c r="H4" s="9"/>
      <c r="I4" s="6"/>
      <c r="J4" s="6"/>
      <c r="K4" s="9"/>
      <c r="L4" s="6"/>
      <c r="M4" s="6"/>
      <c r="N4" s="9"/>
      <c r="O4" s="6"/>
    </row>
    <row r="5" spans="1:36" s="10" customFormat="1" ht="28.5" customHeight="1" x14ac:dyDescent="0.2">
      <c r="A5" s="196" t="s">
        <v>3</v>
      </c>
      <c r="B5" s="196"/>
      <c r="C5" s="196"/>
      <c r="D5" s="196"/>
      <c r="E5" s="196"/>
      <c r="F5" s="196"/>
      <c r="G5" s="196"/>
      <c r="H5" s="196"/>
      <c r="I5" s="196"/>
      <c r="J5" s="196"/>
      <c r="K5" s="196"/>
      <c r="L5" s="196"/>
      <c r="M5" s="196"/>
      <c r="N5" s="196"/>
      <c r="O5" s="196"/>
      <c r="P5" s="196"/>
      <c r="Q5" s="196"/>
      <c r="U5" s="99"/>
    </row>
    <row r="6" spans="1:36" s="10" customFormat="1" x14ac:dyDescent="0.2">
      <c r="B6" s="100"/>
      <c r="C6" s="101"/>
      <c r="D6" s="101"/>
      <c r="E6" s="102"/>
      <c r="H6" s="13"/>
      <c r="K6" s="13"/>
      <c r="N6" s="13"/>
      <c r="U6" s="99"/>
    </row>
    <row r="7" spans="1:36" s="10" customFormat="1" ht="27" customHeight="1" x14ac:dyDescent="0.2">
      <c r="A7" s="197" t="s">
        <v>4</v>
      </c>
      <c r="B7" s="198" t="s">
        <v>5</v>
      </c>
      <c r="C7" s="199" t="s">
        <v>6</v>
      </c>
      <c r="D7" s="199" t="s">
        <v>7</v>
      </c>
      <c r="E7" s="200" t="s">
        <v>495</v>
      </c>
      <c r="F7" s="201" t="s">
        <v>9</v>
      </c>
      <c r="G7" s="202" t="s">
        <v>10</v>
      </c>
      <c r="H7" s="202"/>
      <c r="I7" s="202"/>
      <c r="J7" s="202" t="s">
        <v>11</v>
      </c>
      <c r="K7" s="202"/>
      <c r="L7" s="202"/>
      <c r="M7" s="203" t="s">
        <v>12</v>
      </c>
      <c r="N7" s="203"/>
      <c r="O7" s="203"/>
      <c r="P7" s="204" t="s">
        <v>496</v>
      </c>
      <c r="Q7" s="201" t="s">
        <v>14</v>
      </c>
      <c r="R7" s="204" t="s">
        <v>497</v>
      </c>
      <c r="S7" s="199" t="s">
        <v>16</v>
      </c>
      <c r="U7" s="206" t="s">
        <v>17</v>
      </c>
      <c r="V7" s="206"/>
      <c r="W7" s="206"/>
    </row>
    <row r="8" spans="1:36" s="10" customFormat="1" ht="30.75" customHeight="1" x14ac:dyDescent="0.2">
      <c r="A8" s="197"/>
      <c r="B8" s="198"/>
      <c r="C8" s="199"/>
      <c r="D8" s="199"/>
      <c r="E8" s="200"/>
      <c r="F8" s="201"/>
      <c r="G8" s="202"/>
      <c r="H8" s="202"/>
      <c r="I8" s="202"/>
      <c r="J8" s="202"/>
      <c r="K8" s="202"/>
      <c r="L8" s="202"/>
      <c r="M8" s="203"/>
      <c r="N8" s="203"/>
      <c r="O8" s="203"/>
      <c r="P8" s="204"/>
      <c r="Q8" s="201"/>
      <c r="R8" s="204"/>
      <c r="S8" s="199"/>
      <c r="U8" s="206"/>
      <c r="V8" s="206"/>
      <c r="W8" s="206"/>
    </row>
    <row r="9" spans="1:36" s="18" customFormat="1" ht="132.75" customHeight="1" x14ac:dyDescent="0.2">
      <c r="A9" s="197"/>
      <c r="B9" s="198"/>
      <c r="C9" s="199"/>
      <c r="D9" s="199"/>
      <c r="E9" s="200"/>
      <c r="F9" s="201"/>
      <c r="G9" s="103" t="s">
        <v>18</v>
      </c>
      <c r="H9" s="104" t="s">
        <v>19</v>
      </c>
      <c r="I9" s="104" t="s">
        <v>20</v>
      </c>
      <c r="J9" s="103" t="s">
        <v>18</v>
      </c>
      <c r="K9" s="104" t="s">
        <v>19</v>
      </c>
      <c r="L9" s="104" t="s">
        <v>20</v>
      </c>
      <c r="M9" s="103" t="s">
        <v>18</v>
      </c>
      <c r="N9" s="104" t="s">
        <v>21</v>
      </c>
      <c r="O9" s="104" t="s">
        <v>22</v>
      </c>
      <c r="P9" s="204"/>
      <c r="Q9" s="201"/>
      <c r="R9" s="204"/>
      <c r="S9" s="199"/>
      <c r="T9" s="10"/>
      <c r="U9" s="105" t="s">
        <v>10</v>
      </c>
      <c r="V9" s="105" t="s">
        <v>11</v>
      </c>
      <c r="W9" s="105" t="s">
        <v>12</v>
      </c>
      <c r="X9" s="10"/>
      <c r="Y9" s="10"/>
      <c r="Z9" s="10"/>
      <c r="AA9" s="10"/>
      <c r="AB9" s="10"/>
      <c r="AC9" s="10"/>
      <c r="AD9" s="10"/>
      <c r="AE9" s="10"/>
      <c r="AF9" s="10"/>
      <c r="AG9" s="10"/>
      <c r="AH9" s="10"/>
      <c r="AI9" s="10"/>
      <c r="AJ9" s="10"/>
    </row>
    <row r="10" spans="1:36" s="26" customFormat="1" ht="14.25" customHeight="1" x14ac:dyDescent="0.25">
      <c r="A10" s="106">
        <v>1</v>
      </c>
      <c r="B10" s="107">
        <v>2</v>
      </c>
      <c r="C10" s="108">
        <v>3</v>
      </c>
      <c r="D10" s="108">
        <v>4</v>
      </c>
      <c r="E10" s="109"/>
      <c r="F10" s="108">
        <v>5</v>
      </c>
      <c r="G10" s="110">
        <v>6</v>
      </c>
      <c r="H10" s="110">
        <v>7</v>
      </c>
      <c r="I10" s="111">
        <v>8</v>
      </c>
      <c r="J10" s="110">
        <v>9</v>
      </c>
      <c r="K10" s="111">
        <v>10</v>
      </c>
      <c r="L10" s="111">
        <v>11</v>
      </c>
      <c r="M10" s="110">
        <v>12</v>
      </c>
      <c r="N10" s="111">
        <v>13</v>
      </c>
      <c r="O10" s="111">
        <v>14</v>
      </c>
      <c r="P10" s="112">
        <v>15</v>
      </c>
      <c r="Q10" s="112">
        <v>16</v>
      </c>
      <c r="R10" s="112">
        <v>17</v>
      </c>
      <c r="S10" s="112">
        <v>18</v>
      </c>
      <c r="U10" s="113"/>
      <c r="V10" s="113"/>
      <c r="W10" s="113"/>
    </row>
    <row r="11" spans="1:36" s="28" customFormat="1" ht="28.5" customHeight="1" x14ac:dyDescent="0.2">
      <c r="A11" s="207" t="s">
        <v>498</v>
      </c>
      <c r="B11" s="207"/>
      <c r="C11" s="207"/>
      <c r="D11" s="207"/>
      <c r="E11" s="207"/>
      <c r="F11" s="207"/>
      <c r="G11" s="207"/>
      <c r="H11" s="207"/>
      <c r="I11" s="207"/>
      <c r="J11" s="207"/>
      <c r="K11" s="207"/>
      <c r="L11" s="207"/>
      <c r="M11" s="207"/>
      <c r="N11" s="207"/>
      <c r="O11" s="207"/>
      <c r="P11" s="207"/>
      <c r="Q11" s="207"/>
      <c r="R11" s="207"/>
      <c r="S11" s="207"/>
      <c r="U11" s="114"/>
      <c r="V11" s="114"/>
      <c r="W11" s="114"/>
    </row>
    <row r="12" spans="1:36" s="28" customFormat="1" ht="73.5" customHeight="1" x14ac:dyDescent="0.2">
      <c r="A12" s="30">
        <v>1</v>
      </c>
      <c r="B12" s="115" t="s">
        <v>499</v>
      </c>
      <c r="C12" s="116" t="s">
        <v>25</v>
      </c>
      <c r="D12" s="117">
        <v>25</v>
      </c>
      <c r="E12" s="118" t="s">
        <v>500</v>
      </c>
      <c r="F12" s="35"/>
      <c r="G12" s="32"/>
      <c r="H12" s="38"/>
      <c r="I12" s="38">
        <f t="shared" ref="I12:I43" si="0">D12*H12</f>
        <v>0</v>
      </c>
      <c r="J12" s="38"/>
      <c r="K12" s="38"/>
      <c r="L12" s="38">
        <f t="shared" ref="L12:L75" si="1">D12*K12</f>
        <v>0</v>
      </c>
      <c r="M12" s="32"/>
      <c r="N12" s="38"/>
      <c r="O12" s="38">
        <f t="shared" ref="O12:O43" si="2">D12*N12</f>
        <v>0</v>
      </c>
      <c r="P12" s="39" t="e">
        <f t="shared" ref="P12:P75" si="3">AVERAGE(H12,K12,N12)</f>
        <v>#DIV/0!</v>
      </c>
      <c r="Q12" s="40" t="e">
        <f t="shared" ref="Q12:Q75" si="4">F12*100/P12-100</f>
        <v>#DIV/0!</v>
      </c>
      <c r="R12" s="39">
        <f t="shared" ref="R12:R75" si="5">D12*F12</f>
        <v>0</v>
      </c>
      <c r="S12" s="32"/>
      <c r="U12" s="42" t="e">
        <f t="shared" ref="U12:U75" si="6">ROUND(H12*100/P12-100,0)</f>
        <v>#DIV/0!</v>
      </c>
      <c r="V12" s="42" t="e">
        <f t="shared" ref="V12:V75" si="7">ROUND(K12*100/P12-100,0)</f>
        <v>#DIV/0!</v>
      </c>
      <c r="W12" s="42" t="e">
        <f t="shared" ref="W12:W75" si="8">ROUND(N12*100/P12-100,0)</f>
        <v>#DIV/0!</v>
      </c>
    </row>
    <row r="13" spans="1:36" s="28" customFormat="1" ht="73.5" customHeight="1" x14ac:dyDescent="0.2">
      <c r="A13" s="30">
        <v>2</v>
      </c>
      <c r="B13" s="115" t="s">
        <v>35</v>
      </c>
      <c r="C13" s="116" t="s">
        <v>25</v>
      </c>
      <c r="D13" s="117">
        <v>1</v>
      </c>
      <c r="E13" s="118">
        <v>155.25</v>
      </c>
      <c r="F13" s="35"/>
      <c r="G13" s="32"/>
      <c r="H13" s="38"/>
      <c r="I13" s="38">
        <f t="shared" si="0"/>
        <v>0</v>
      </c>
      <c r="J13" s="32"/>
      <c r="K13" s="38"/>
      <c r="L13" s="38">
        <f t="shared" si="1"/>
        <v>0</v>
      </c>
      <c r="M13" s="32"/>
      <c r="N13" s="38"/>
      <c r="O13" s="38">
        <f t="shared" si="2"/>
        <v>0</v>
      </c>
      <c r="P13" s="39" t="e">
        <f t="shared" si="3"/>
        <v>#DIV/0!</v>
      </c>
      <c r="Q13" s="40" t="e">
        <f t="shared" si="4"/>
        <v>#DIV/0!</v>
      </c>
      <c r="R13" s="39">
        <f t="shared" si="5"/>
        <v>0</v>
      </c>
      <c r="S13" s="32"/>
      <c r="U13" s="42" t="e">
        <f t="shared" si="6"/>
        <v>#DIV/0!</v>
      </c>
      <c r="V13" s="42" t="e">
        <f t="shared" si="7"/>
        <v>#DIV/0!</v>
      </c>
      <c r="W13" s="42" t="e">
        <f t="shared" si="8"/>
        <v>#DIV/0!</v>
      </c>
    </row>
    <row r="14" spans="1:36" s="28" customFormat="1" ht="73.5" customHeight="1" x14ac:dyDescent="0.2">
      <c r="A14" s="30">
        <v>3</v>
      </c>
      <c r="B14" s="115" t="s">
        <v>36</v>
      </c>
      <c r="C14" s="116" t="s">
        <v>25</v>
      </c>
      <c r="D14" s="117">
        <v>5</v>
      </c>
      <c r="E14" s="118">
        <v>1088.6500000000001</v>
      </c>
      <c r="F14" s="35"/>
      <c r="G14" s="32"/>
      <c r="H14" s="38"/>
      <c r="I14" s="38">
        <f t="shared" si="0"/>
        <v>0</v>
      </c>
      <c r="J14" s="32"/>
      <c r="K14" s="38"/>
      <c r="L14" s="38">
        <f t="shared" si="1"/>
        <v>0</v>
      </c>
      <c r="M14" s="32"/>
      <c r="N14" s="38"/>
      <c r="O14" s="38">
        <f t="shared" si="2"/>
        <v>0</v>
      </c>
      <c r="P14" s="39" t="e">
        <f t="shared" si="3"/>
        <v>#DIV/0!</v>
      </c>
      <c r="Q14" s="40" t="e">
        <f t="shared" si="4"/>
        <v>#DIV/0!</v>
      </c>
      <c r="R14" s="39">
        <f t="shared" si="5"/>
        <v>0</v>
      </c>
      <c r="S14" s="32"/>
      <c r="U14" s="42" t="e">
        <f t="shared" si="6"/>
        <v>#DIV/0!</v>
      </c>
      <c r="V14" s="42" t="e">
        <f t="shared" si="7"/>
        <v>#DIV/0!</v>
      </c>
      <c r="W14" s="42" t="e">
        <f t="shared" si="8"/>
        <v>#DIV/0!</v>
      </c>
    </row>
    <row r="15" spans="1:36" s="28" customFormat="1" ht="73.5" customHeight="1" x14ac:dyDescent="0.2">
      <c r="A15" s="30">
        <v>4</v>
      </c>
      <c r="B15" s="115" t="s">
        <v>501</v>
      </c>
      <c r="C15" s="116" t="s">
        <v>25</v>
      </c>
      <c r="D15" s="117">
        <v>2</v>
      </c>
      <c r="E15" s="118" t="s">
        <v>500</v>
      </c>
      <c r="F15" s="35"/>
      <c r="G15" s="32"/>
      <c r="H15" s="38"/>
      <c r="I15" s="38">
        <f t="shared" si="0"/>
        <v>0</v>
      </c>
      <c r="J15" s="32"/>
      <c r="K15" s="38"/>
      <c r="L15" s="38">
        <f t="shared" si="1"/>
        <v>0</v>
      </c>
      <c r="M15" s="32"/>
      <c r="N15" s="38"/>
      <c r="O15" s="38">
        <f t="shared" si="2"/>
        <v>0</v>
      </c>
      <c r="P15" s="39" t="e">
        <f t="shared" si="3"/>
        <v>#DIV/0!</v>
      </c>
      <c r="Q15" s="40" t="e">
        <f t="shared" si="4"/>
        <v>#DIV/0!</v>
      </c>
      <c r="R15" s="39">
        <f t="shared" si="5"/>
        <v>0</v>
      </c>
      <c r="S15" s="32"/>
      <c r="U15" s="42" t="e">
        <f t="shared" si="6"/>
        <v>#DIV/0!</v>
      </c>
      <c r="V15" s="42" t="e">
        <f t="shared" si="7"/>
        <v>#DIV/0!</v>
      </c>
      <c r="W15" s="42" t="e">
        <f t="shared" si="8"/>
        <v>#DIV/0!</v>
      </c>
    </row>
    <row r="16" spans="1:36" s="28" customFormat="1" ht="73.5" customHeight="1" x14ac:dyDescent="0.2">
      <c r="A16" s="30">
        <v>5</v>
      </c>
      <c r="B16" s="115" t="s">
        <v>38</v>
      </c>
      <c r="C16" s="116" t="s">
        <v>25</v>
      </c>
      <c r="D16" s="117">
        <v>4</v>
      </c>
      <c r="E16" s="118">
        <v>4105.6000000000004</v>
      </c>
      <c r="F16" s="35"/>
      <c r="G16" s="32"/>
      <c r="H16" s="38"/>
      <c r="I16" s="38">
        <f t="shared" si="0"/>
        <v>0</v>
      </c>
      <c r="J16" s="38"/>
      <c r="K16" s="38"/>
      <c r="L16" s="38">
        <f t="shared" si="1"/>
        <v>0</v>
      </c>
      <c r="M16" s="32"/>
      <c r="N16" s="38"/>
      <c r="O16" s="38">
        <f t="shared" si="2"/>
        <v>0</v>
      </c>
      <c r="P16" s="39" t="e">
        <f t="shared" si="3"/>
        <v>#DIV/0!</v>
      </c>
      <c r="Q16" s="40" t="e">
        <f t="shared" si="4"/>
        <v>#DIV/0!</v>
      </c>
      <c r="R16" s="39">
        <f t="shared" si="5"/>
        <v>0</v>
      </c>
      <c r="S16" s="32"/>
      <c r="U16" s="42" t="e">
        <f t="shared" si="6"/>
        <v>#DIV/0!</v>
      </c>
      <c r="V16" s="42" t="e">
        <f t="shared" si="7"/>
        <v>#DIV/0!</v>
      </c>
      <c r="W16" s="42" t="e">
        <f t="shared" si="8"/>
        <v>#DIV/0!</v>
      </c>
    </row>
    <row r="17" spans="1:23" s="28" customFormat="1" ht="73.5" customHeight="1" x14ac:dyDescent="0.2">
      <c r="A17" s="30">
        <v>6</v>
      </c>
      <c r="B17" s="115" t="s">
        <v>502</v>
      </c>
      <c r="C17" s="116" t="s">
        <v>25</v>
      </c>
      <c r="D17" s="117">
        <v>25</v>
      </c>
      <c r="E17" s="118" t="s">
        <v>500</v>
      </c>
      <c r="F17" s="35"/>
      <c r="G17" s="32"/>
      <c r="H17" s="38"/>
      <c r="I17" s="38">
        <f t="shared" si="0"/>
        <v>0</v>
      </c>
      <c r="J17" s="38"/>
      <c r="K17" s="38"/>
      <c r="L17" s="38">
        <f t="shared" si="1"/>
        <v>0</v>
      </c>
      <c r="M17" s="32"/>
      <c r="N17" s="38"/>
      <c r="O17" s="38">
        <f t="shared" si="2"/>
        <v>0</v>
      </c>
      <c r="P17" s="39" t="e">
        <f t="shared" si="3"/>
        <v>#DIV/0!</v>
      </c>
      <c r="Q17" s="40" t="e">
        <f t="shared" si="4"/>
        <v>#DIV/0!</v>
      </c>
      <c r="R17" s="39">
        <f t="shared" si="5"/>
        <v>0</v>
      </c>
      <c r="S17" s="32"/>
      <c r="U17" s="42" t="e">
        <f t="shared" si="6"/>
        <v>#DIV/0!</v>
      </c>
      <c r="V17" s="42" t="e">
        <f t="shared" si="7"/>
        <v>#DIV/0!</v>
      </c>
      <c r="W17" s="42" t="e">
        <f t="shared" si="8"/>
        <v>#DIV/0!</v>
      </c>
    </row>
    <row r="18" spans="1:23" s="28" customFormat="1" ht="73.5" customHeight="1" x14ac:dyDescent="0.2">
      <c r="A18" s="30">
        <v>7</v>
      </c>
      <c r="B18" s="115" t="s">
        <v>42</v>
      </c>
      <c r="C18" s="116" t="s">
        <v>25</v>
      </c>
      <c r="D18" s="117">
        <v>16</v>
      </c>
      <c r="E18" s="118">
        <v>5173.66</v>
      </c>
      <c r="F18" s="35"/>
      <c r="G18" s="32"/>
      <c r="H18" s="38"/>
      <c r="I18" s="38">
        <f t="shared" si="0"/>
        <v>0</v>
      </c>
      <c r="J18" s="38"/>
      <c r="K18" s="38"/>
      <c r="L18" s="38">
        <f t="shared" si="1"/>
        <v>0</v>
      </c>
      <c r="M18" s="32"/>
      <c r="N18" s="38"/>
      <c r="O18" s="38">
        <f t="shared" si="2"/>
        <v>0</v>
      </c>
      <c r="P18" s="39" t="e">
        <f t="shared" si="3"/>
        <v>#DIV/0!</v>
      </c>
      <c r="Q18" s="40" t="e">
        <f t="shared" si="4"/>
        <v>#DIV/0!</v>
      </c>
      <c r="R18" s="39">
        <f t="shared" si="5"/>
        <v>0</v>
      </c>
      <c r="S18" s="32"/>
      <c r="U18" s="42" t="e">
        <f t="shared" si="6"/>
        <v>#DIV/0!</v>
      </c>
      <c r="V18" s="42" t="e">
        <f t="shared" si="7"/>
        <v>#DIV/0!</v>
      </c>
      <c r="W18" s="42" t="e">
        <f t="shared" si="8"/>
        <v>#DIV/0!</v>
      </c>
    </row>
    <row r="19" spans="1:23" s="28" customFormat="1" ht="73.5" customHeight="1" x14ac:dyDescent="0.2">
      <c r="A19" s="30">
        <v>8</v>
      </c>
      <c r="B19" s="115" t="s">
        <v>44</v>
      </c>
      <c r="C19" s="116" t="s">
        <v>45</v>
      </c>
      <c r="D19" s="117">
        <v>3.3</v>
      </c>
      <c r="E19" s="118">
        <v>2000</v>
      </c>
      <c r="F19" s="35"/>
      <c r="G19" s="32"/>
      <c r="H19" s="38"/>
      <c r="I19" s="38">
        <f t="shared" si="0"/>
        <v>0</v>
      </c>
      <c r="J19" s="32"/>
      <c r="K19" s="38"/>
      <c r="L19" s="38">
        <f t="shared" si="1"/>
        <v>0</v>
      </c>
      <c r="M19" s="38"/>
      <c r="N19" s="38"/>
      <c r="O19" s="38">
        <f t="shared" si="2"/>
        <v>0</v>
      </c>
      <c r="P19" s="39" t="e">
        <f t="shared" si="3"/>
        <v>#DIV/0!</v>
      </c>
      <c r="Q19" s="40" t="e">
        <f t="shared" si="4"/>
        <v>#DIV/0!</v>
      </c>
      <c r="R19" s="39">
        <f t="shared" si="5"/>
        <v>0</v>
      </c>
      <c r="S19" s="32"/>
      <c r="U19" s="42" t="e">
        <f t="shared" si="6"/>
        <v>#DIV/0!</v>
      </c>
      <c r="V19" s="42" t="e">
        <f t="shared" si="7"/>
        <v>#DIV/0!</v>
      </c>
      <c r="W19" s="42" t="e">
        <f t="shared" si="8"/>
        <v>#DIV/0!</v>
      </c>
    </row>
    <row r="20" spans="1:23" s="28" customFormat="1" ht="73.5" customHeight="1" x14ac:dyDescent="0.2">
      <c r="A20" s="30">
        <v>9</v>
      </c>
      <c r="B20" s="115" t="s">
        <v>503</v>
      </c>
      <c r="C20" s="116" t="s">
        <v>25</v>
      </c>
      <c r="D20" s="117">
        <v>2</v>
      </c>
      <c r="E20" s="118" t="s">
        <v>504</v>
      </c>
      <c r="F20" s="35"/>
      <c r="G20" s="119"/>
      <c r="H20" s="38"/>
      <c r="I20" s="38">
        <f t="shared" si="0"/>
        <v>0</v>
      </c>
      <c r="J20" s="32"/>
      <c r="K20" s="38"/>
      <c r="L20" s="38">
        <f t="shared" si="1"/>
        <v>0</v>
      </c>
      <c r="M20" s="32"/>
      <c r="N20" s="38"/>
      <c r="O20" s="120">
        <f t="shared" si="2"/>
        <v>0</v>
      </c>
      <c r="P20" s="39" t="e">
        <f t="shared" si="3"/>
        <v>#DIV/0!</v>
      </c>
      <c r="Q20" s="121" t="e">
        <f t="shared" si="4"/>
        <v>#DIV/0!</v>
      </c>
      <c r="R20" s="39">
        <f t="shared" si="5"/>
        <v>0</v>
      </c>
      <c r="S20" s="32"/>
      <c r="U20" s="42" t="e">
        <f t="shared" si="6"/>
        <v>#DIV/0!</v>
      </c>
      <c r="V20" s="42" t="e">
        <f t="shared" si="7"/>
        <v>#DIV/0!</v>
      </c>
      <c r="W20" s="42" t="e">
        <f t="shared" si="8"/>
        <v>#DIV/0!</v>
      </c>
    </row>
    <row r="21" spans="1:23" s="28" customFormat="1" ht="73.5" customHeight="1" x14ac:dyDescent="0.2">
      <c r="A21" s="30">
        <v>10</v>
      </c>
      <c r="B21" s="115" t="s">
        <v>52</v>
      </c>
      <c r="C21" s="116" t="s">
        <v>53</v>
      </c>
      <c r="D21" s="117">
        <v>240</v>
      </c>
      <c r="E21" s="118">
        <v>331.49</v>
      </c>
      <c r="F21" s="35"/>
      <c r="G21" s="32"/>
      <c r="H21" s="38"/>
      <c r="I21" s="38">
        <f t="shared" si="0"/>
        <v>0</v>
      </c>
      <c r="J21" s="38"/>
      <c r="K21" s="38"/>
      <c r="L21" s="38">
        <f t="shared" si="1"/>
        <v>0</v>
      </c>
      <c r="M21" s="32"/>
      <c r="N21" s="38"/>
      <c r="O21" s="38">
        <f t="shared" si="2"/>
        <v>0</v>
      </c>
      <c r="P21" s="39" t="e">
        <f t="shared" si="3"/>
        <v>#DIV/0!</v>
      </c>
      <c r="Q21" s="40" t="e">
        <f t="shared" si="4"/>
        <v>#DIV/0!</v>
      </c>
      <c r="R21" s="39">
        <f t="shared" si="5"/>
        <v>0</v>
      </c>
      <c r="S21" s="32"/>
      <c r="U21" s="42" t="e">
        <f t="shared" si="6"/>
        <v>#DIV/0!</v>
      </c>
      <c r="V21" s="42" t="e">
        <f t="shared" si="7"/>
        <v>#DIV/0!</v>
      </c>
      <c r="W21" s="42" t="e">
        <f t="shared" si="8"/>
        <v>#DIV/0!</v>
      </c>
    </row>
    <row r="22" spans="1:23" s="28" customFormat="1" ht="73.5" customHeight="1" x14ac:dyDescent="0.2">
      <c r="A22" s="30">
        <v>11</v>
      </c>
      <c r="B22" s="115" t="s">
        <v>55</v>
      </c>
      <c r="C22" s="116" t="s">
        <v>25</v>
      </c>
      <c r="D22" s="117">
        <v>2</v>
      </c>
      <c r="E22" s="118">
        <v>19052</v>
      </c>
      <c r="F22" s="35"/>
      <c r="G22" s="32"/>
      <c r="H22" s="38"/>
      <c r="I22" s="57">
        <f t="shared" si="0"/>
        <v>0</v>
      </c>
      <c r="J22" s="57"/>
      <c r="K22" s="57"/>
      <c r="L22" s="57">
        <f t="shared" si="1"/>
        <v>0</v>
      </c>
      <c r="M22" s="32"/>
      <c r="N22" s="57"/>
      <c r="O22" s="57">
        <f t="shared" si="2"/>
        <v>0</v>
      </c>
      <c r="P22" s="39" t="e">
        <f t="shared" si="3"/>
        <v>#DIV/0!</v>
      </c>
      <c r="Q22" s="40" t="e">
        <f t="shared" si="4"/>
        <v>#DIV/0!</v>
      </c>
      <c r="R22" s="39">
        <f t="shared" si="5"/>
        <v>0</v>
      </c>
      <c r="S22" s="32"/>
      <c r="U22" s="42" t="e">
        <f t="shared" si="6"/>
        <v>#DIV/0!</v>
      </c>
      <c r="V22" s="42" t="e">
        <f t="shared" si="7"/>
        <v>#DIV/0!</v>
      </c>
      <c r="W22" s="42" t="e">
        <f t="shared" si="8"/>
        <v>#DIV/0!</v>
      </c>
    </row>
    <row r="23" spans="1:23" s="28" customFormat="1" ht="73.5" customHeight="1" x14ac:dyDescent="0.2">
      <c r="A23" s="30">
        <v>12</v>
      </c>
      <c r="B23" s="115" t="s">
        <v>61</v>
      </c>
      <c r="C23" s="116" t="s">
        <v>45</v>
      </c>
      <c r="D23" s="117">
        <v>80</v>
      </c>
      <c r="E23" s="118">
        <v>473.4</v>
      </c>
      <c r="F23" s="35"/>
      <c r="G23" s="32"/>
      <c r="H23" s="38"/>
      <c r="I23" s="57">
        <f t="shared" si="0"/>
        <v>0</v>
      </c>
      <c r="J23" s="57"/>
      <c r="K23" s="57"/>
      <c r="L23" s="57">
        <f t="shared" si="1"/>
        <v>0</v>
      </c>
      <c r="M23" s="32"/>
      <c r="N23" s="57"/>
      <c r="O23" s="57">
        <f t="shared" si="2"/>
        <v>0</v>
      </c>
      <c r="P23" s="39" t="e">
        <f t="shared" si="3"/>
        <v>#DIV/0!</v>
      </c>
      <c r="Q23" s="40" t="e">
        <f t="shared" si="4"/>
        <v>#DIV/0!</v>
      </c>
      <c r="R23" s="39">
        <f t="shared" si="5"/>
        <v>0</v>
      </c>
      <c r="S23" s="32"/>
      <c r="U23" s="42" t="e">
        <f t="shared" si="6"/>
        <v>#DIV/0!</v>
      </c>
      <c r="V23" s="42" t="e">
        <f t="shared" si="7"/>
        <v>#DIV/0!</v>
      </c>
      <c r="W23" s="42" t="e">
        <f t="shared" si="8"/>
        <v>#DIV/0!</v>
      </c>
    </row>
    <row r="24" spans="1:23" s="28" customFormat="1" ht="73.5" customHeight="1" x14ac:dyDescent="0.2">
      <c r="A24" s="30">
        <v>13</v>
      </c>
      <c r="B24" s="115" t="s">
        <v>505</v>
      </c>
      <c r="C24" s="116" t="s">
        <v>25</v>
      </c>
      <c r="D24" s="117">
        <v>50</v>
      </c>
      <c r="E24" s="122"/>
      <c r="F24" s="35"/>
      <c r="G24" s="32"/>
      <c r="H24" s="38"/>
      <c r="I24" s="57">
        <f t="shared" si="0"/>
        <v>0</v>
      </c>
      <c r="J24" s="57"/>
      <c r="K24" s="57"/>
      <c r="L24" s="57">
        <f t="shared" si="1"/>
        <v>0</v>
      </c>
      <c r="M24" s="32"/>
      <c r="N24" s="57"/>
      <c r="O24" s="57">
        <f t="shared" si="2"/>
        <v>0</v>
      </c>
      <c r="P24" s="39" t="e">
        <f t="shared" si="3"/>
        <v>#DIV/0!</v>
      </c>
      <c r="Q24" s="40" t="e">
        <f t="shared" si="4"/>
        <v>#DIV/0!</v>
      </c>
      <c r="R24" s="39">
        <f t="shared" si="5"/>
        <v>0</v>
      </c>
      <c r="S24" s="32"/>
      <c r="U24" s="42" t="e">
        <f t="shared" si="6"/>
        <v>#DIV/0!</v>
      </c>
      <c r="V24" s="42" t="e">
        <f t="shared" si="7"/>
        <v>#DIV/0!</v>
      </c>
      <c r="W24" s="42" t="e">
        <f t="shared" si="8"/>
        <v>#DIV/0!</v>
      </c>
    </row>
    <row r="25" spans="1:23" s="28" customFormat="1" ht="73.5" customHeight="1" x14ac:dyDescent="0.2">
      <c r="A25" s="30">
        <v>14</v>
      </c>
      <c r="B25" s="115" t="s">
        <v>70</v>
      </c>
      <c r="C25" s="116" t="s">
        <v>25</v>
      </c>
      <c r="D25" s="117">
        <v>400</v>
      </c>
      <c r="E25" s="122">
        <v>36.700000000000003</v>
      </c>
      <c r="F25" s="35"/>
      <c r="G25" s="32"/>
      <c r="H25" s="38"/>
      <c r="I25" s="38">
        <f t="shared" si="0"/>
        <v>0</v>
      </c>
      <c r="J25" s="32"/>
      <c r="K25" s="38"/>
      <c r="L25" s="38">
        <f t="shared" si="1"/>
        <v>0</v>
      </c>
      <c r="M25" s="38"/>
      <c r="N25" s="38"/>
      <c r="O25" s="38">
        <f t="shared" si="2"/>
        <v>0</v>
      </c>
      <c r="P25" s="39" t="e">
        <f t="shared" si="3"/>
        <v>#DIV/0!</v>
      </c>
      <c r="Q25" s="40" t="e">
        <f t="shared" si="4"/>
        <v>#DIV/0!</v>
      </c>
      <c r="R25" s="39">
        <f t="shared" si="5"/>
        <v>0</v>
      </c>
      <c r="S25" s="32"/>
      <c r="U25" s="42" t="e">
        <f t="shared" si="6"/>
        <v>#DIV/0!</v>
      </c>
      <c r="V25" s="42" t="e">
        <f t="shared" si="7"/>
        <v>#DIV/0!</v>
      </c>
      <c r="W25" s="42" t="e">
        <f t="shared" si="8"/>
        <v>#DIV/0!</v>
      </c>
    </row>
    <row r="26" spans="1:23" s="28" customFormat="1" ht="73.5" customHeight="1" x14ac:dyDescent="0.2">
      <c r="A26" s="30">
        <v>15</v>
      </c>
      <c r="B26" s="115" t="s">
        <v>71</v>
      </c>
      <c r="C26" s="116" t="s">
        <v>25</v>
      </c>
      <c r="D26" s="117">
        <v>600</v>
      </c>
      <c r="E26" s="122">
        <v>49.8</v>
      </c>
      <c r="F26" s="35"/>
      <c r="G26" s="32"/>
      <c r="H26" s="38"/>
      <c r="I26" s="38">
        <f t="shared" si="0"/>
        <v>0</v>
      </c>
      <c r="J26" s="38"/>
      <c r="K26" s="38"/>
      <c r="L26" s="38">
        <f t="shared" si="1"/>
        <v>0</v>
      </c>
      <c r="M26" s="32"/>
      <c r="N26" s="38"/>
      <c r="O26" s="38">
        <f t="shared" si="2"/>
        <v>0</v>
      </c>
      <c r="P26" s="39" t="e">
        <f t="shared" si="3"/>
        <v>#DIV/0!</v>
      </c>
      <c r="Q26" s="40" t="e">
        <f t="shared" si="4"/>
        <v>#DIV/0!</v>
      </c>
      <c r="R26" s="39">
        <f t="shared" si="5"/>
        <v>0</v>
      </c>
      <c r="S26" s="32"/>
      <c r="U26" s="42" t="e">
        <f t="shared" si="6"/>
        <v>#DIV/0!</v>
      </c>
      <c r="V26" s="42" t="e">
        <f t="shared" si="7"/>
        <v>#DIV/0!</v>
      </c>
      <c r="W26" s="42" t="e">
        <f t="shared" si="8"/>
        <v>#DIV/0!</v>
      </c>
    </row>
    <row r="27" spans="1:23" s="28" customFormat="1" ht="73.5" customHeight="1" x14ac:dyDescent="0.2">
      <c r="A27" s="30">
        <v>16</v>
      </c>
      <c r="B27" s="115" t="s">
        <v>72</v>
      </c>
      <c r="C27" s="116" t="s">
        <v>25</v>
      </c>
      <c r="D27" s="117">
        <v>80</v>
      </c>
      <c r="E27" s="122">
        <v>116.1</v>
      </c>
      <c r="F27" s="35"/>
      <c r="G27" s="32"/>
      <c r="H27" s="38"/>
      <c r="I27" s="38">
        <f t="shared" si="0"/>
        <v>0</v>
      </c>
      <c r="J27" s="38"/>
      <c r="K27" s="38"/>
      <c r="L27" s="38">
        <f t="shared" si="1"/>
        <v>0</v>
      </c>
      <c r="M27" s="32"/>
      <c r="N27" s="38"/>
      <c r="O27" s="38">
        <f t="shared" si="2"/>
        <v>0</v>
      </c>
      <c r="P27" s="39" t="e">
        <f t="shared" si="3"/>
        <v>#DIV/0!</v>
      </c>
      <c r="Q27" s="40" t="e">
        <f t="shared" si="4"/>
        <v>#DIV/0!</v>
      </c>
      <c r="R27" s="39">
        <f t="shared" si="5"/>
        <v>0</v>
      </c>
      <c r="S27" s="32"/>
      <c r="U27" s="42" t="e">
        <f t="shared" si="6"/>
        <v>#DIV/0!</v>
      </c>
      <c r="V27" s="42" t="e">
        <f t="shared" si="7"/>
        <v>#DIV/0!</v>
      </c>
      <c r="W27" s="42" t="e">
        <f t="shared" si="8"/>
        <v>#DIV/0!</v>
      </c>
    </row>
    <row r="28" spans="1:23" s="28" customFormat="1" ht="73.5" customHeight="1" x14ac:dyDescent="0.2">
      <c r="A28" s="30">
        <v>17</v>
      </c>
      <c r="B28" s="115" t="s">
        <v>506</v>
      </c>
      <c r="C28" s="116" t="s">
        <v>25</v>
      </c>
      <c r="D28" s="117">
        <v>1320</v>
      </c>
      <c r="E28" s="122" t="s">
        <v>504</v>
      </c>
      <c r="F28" s="35"/>
      <c r="G28" s="32"/>
      <c r="H28" s="38"/>
      <c r="I28" s="38">
        <f t="shared" si="0"/>
        <v>0</v>
      </c>
      <c r="J28" s="38"/>
      <c r="K28" s="38"/>
      <c r="L28" s="38">
        <f t="shared" si="1"/>
        <v>0</v>
      </c>
      <c r="M28" s="32"/>
      <c r="N28" s="38"/>
      <c r="O28" s="38">
        <f t="shared" si="2"/>
        <v>0</v>
      </c>
      <c r="P28" s="39" t="e">
        <f t="shared" si="3"/>
        <v>#DIV/0!</v>
      </c>
      <c r="Q28" s="40" t="e">
        <f t="shared" si="4"/>
        <v>#DIV/0!</v>
      </c>
      <c r="R28" s="39">
        <f t="shared" si="5"/>
        <v>0</v>
      </c>
      <c r="S28" s="32"/>
      <c r="U28" s="42" t="e">
        <f t="shared" si="6"/>
        <v>#DIV/0!</v>
      </c>
      <c r="V28" s="42" t="e">
        <f t="shared" si="7"/>
        <v>#DIV/0!</v>
      </c>
      <c r="W28" s="42" t="e">
        <f t="shared" si="8"/>
        <v>#DIV/0!</v>
      </c>
    </row>
    <row r="29" spans="1:23" s="28" customFormat="1" ht="73.5" customHeight="1" x14ac:dyDescent="0.2">
      <c r="A29" s="30">
        <v>18</v>
      </c>
      <c r="B29" s="115" t="s">
        <v>73</v>
      </c>
      <c r="C29" s="116" t="s">
        <v>25</v>
      </c>
      <c r="D29" s="117">
        <v>40</v>
      </c>
      <c r="E29" s="122">
        <v>19</v>
      </c>
      <c r="F29" s="35"/>
      <c r="G29" s="32"/>
      <c r="H29" s="38"/>
      <c r="I29" s="38">
        <f t="shared" si="0"/>
        <v>0</v>
      </c>
      <c r="J29" s="38"/>
      <c r="K29" s="38"/>
      <c r="L29" s="38">
        <f t="shared" si="1"/>
        <v>0</v>
      </c>
      <c r="M29" s="32"/>
      <c r="N29" s="38"/>
      <c r="O29" s="38">
        <f t="shared" si="2"/>
        <v>0</v>
      </c>
      <c r="P29" s="39" t="e">
        <f t="shared" si="3"/>
        <v>#DIV/0!</v>
      </c>
      <c r="Q29" s="40" t="e">
        <f t="shared" si="4"/>
        <v>#DIV/0!</v>
      </c>
      <c r="R29" s="39">
        <f t="shared" si="5"/>
        <v>0</v>
      </c>
      <c r="S29" s="32"/>
      <c r="U29" s="42" t="e">
        <f t="shared" si="6"/>
        <v>#DIV/0!</v>
      </c>
      <c r="V29" s="42" t="e">
        <f t="shared" si="7"/>
        <v>#DIV/0!</v>
      </c>
      <c r="W29" s="42" t="e">
        <f t="shared" si="8"/>
        <v>#DIV/0!</v>
      </c>
    </row>
    <row r="30" spans="1:23" s="28" customFormat="1" ht="73.5" customHeight="1" x14ac:dyDescent="0.2">
      <c r="A30" s="30">
        <v>19</v>
      </c>
      <c r="B30" s="115" t="s">
        <v>74</v>
      </c>
      <c r="C30" s="116" t="s">
        <v>25</v>
      </c>
      <c r="D30" s="117">
        <v>20</v>
      </c>
      <c r="E30" s="122">
        <v>27.3</v>
      </c>
      <c r="F30" s="35"/>
      <c r="G30" s="32"/>
      <c r="H30" s="38"/>
      <c r="I30" s="38">
        <f t="shared" si="0"/>
        <v>0</v>
      </c>
      <c r="J30" s="38"/>
      <c r="K30" s="38"/>
      <c r="L30" s="38">
        <f t="shared" si="1"/>
        <v>0</v>
      </c>
      <c r="M30" s="32"/>
      <c r="N30" s="38"/>
      <c r="O30" s="38">
        <f t="shared" si="2"/>
        <v>0</v>
      </c>
      <c r="P30" s="39" t="e">
        <f t="shared" si="3"/>
        <v>#DIV/0!</v>
      </c>
      <c r="Q30" s="40" t="e">
        <f t="shared" si="4"/>
        <v>#DIV/0!</v>
      </c>
      <c r="R30" s="39">
        <f t="shared" si="5"/>
        <v>0</v>
      </c>
      <c r="S30" s="32"/>
      <c r="U30" s="42" t="e">
        <f t="shared" si="6"/>
        <v>#DIV/0!</v>
      </c>
      <c r="V30" s="42" t="e">
        <f t="shared" si="7"/>
        <v>#DIV/0!</v>
      </c>
      <c r="W30" s="42" t="e">
        <f t="shared" si="8"/>
        <v>#DIV/0!</v>
      </c>
    </row>
    <row r="31" spans="1:23" s="28" customFormat="1" ht="73.5" customHeight="1" x14ac:dyDescent="0.2">
      <c r="A31" s="30">
        <v>20</v>
      </c>
      <c r="B31" s="115" t="s">
        <v>75</v>
      </c>
      <c r="C31" s="116" t="s">
        <v>25</v>
      </c>
      <c r="D31" s="117">
        <v>240</v>
      </c>
      <c r="E31" s="122">
        <v>34.299999999999997</v>
      </c>
      <c r="F31" s="35"/>
      <c r="G31" s="32"/>
      <c r="H31" s="38"/>
      <c r="I31" s="38">
        <f t="shared" si="0"/>
        <v>0</v>
      </c>
      <c r="J31" s="32"/>
      <c r="K31" s="38"/>
      <c r="L31" s="38">
        <f t="shared" si="1"/>
        <v>0</v>
      </c>
      <c r="M31" s="38"/>
      <c r="N31" s="38"/>
      <c r="O31" s="38">
        <f t="shared" si="2"/>
        <v>0</v>
      </c>
      <c r="P31" s="39" t="e">
        <f t="shared" si="3"/>
        <v>#DIV/0!</v>
      </c>
      <c r="Q31" s="40" t="e">
        <f t="shared" si="4"/>
        <v>#DIV/0!</v>
      </c>
      <c r="R31" s="39">
        <f t="shared" si="5"/>
        <v>0</v>
      </c>
      <c r="S31" s="32"/>
      <c r="U31" s="42" t="e">
        <f t="shared" si="6"/>
        <v>#DIV/0!</v>
      </c>
      <c r="V31" s="42" t="e">
        <f t="shared" si="7"/>
        <v>#DIV/0!</v>
      </c>
      <c r="W31" s="42" t="e">
        <f t="shared" si="8"/>
        <v>#DIV/0!</v>
      </c>
    </row>
    <row r="32" spans="1:23" s="28" customFormat="1" ht="67.5" customHeight="1" x14ac:dyDescent="0.2">
      <c r="A32" s="30">
        <v>21</v>
      </c>
      <c r="B32" s="115" t="s">
        <v>76</v>
      </c>
      <c r="C32" s="116" t="s">
        <v>25</v>
      </c>
      <c r="D32" s="117">
        <v>240</v>
      </c>
      <c r="E32" s="122">
        <v>52</v>
      </c>
      <c r="F32" s="35"/>
      <c r="G32" s="32"/>
      <c r="H32" s="38"/>
      <c r="I32" s="38">
        <f t="shared" si="0"/>
        <v>0</v>
      </c>
      <c r="J32" s="32"/>
      <c r="K32" s="38"/>
      <c r="L32" s="38">
        <f t="shared" si="1"/>
        <v>0</v>
      </c>
      <c r="M32" s="32"/>
      <c r="N32" s="38"/>
      <c r="O32" s="38">
        <f t="shared" si="2"/>
        <v>0</v>
      </c>
      <c r="P32" s="39" t="e">
        <f t="shared" si="3"/>
        <v>#DIV/0!</v>
      </c>
      <c r="Q32" s="40" t="e">
        <f t="shared" si="4"/>
        <v>#DIV/0!</v>
      </c>
      <c r="R32" s="39">
        <f t="shared" si="5"/>
        <v>0</v>
      </c>
      <c r="S32" s="32"/>
      <c r="U32" s="42" t="e">
        <f t="shared" si="6"/>
        <v>#DIV/0!</v>
      </c>
      <c r="V32" s="42" t="e">
        <f t="shared" si="7"/>
        <v>#DIV/0!</v>
      </c>
      <c r="W32" s="42" t="e">
        <f t="shared" si="8"/>
        <v>#DIV/0!</v>
      </c>
    </row>
    <row r="33" spans="1:23" s="28" customFormat="1" ht="62.25" customHeight="1" x14ac:dyDescent="0.2">
      <c r="A33" s="30">
        <v>22</v>
      </c>
      <c r="B33" s="115" t="s">
        <v>78</v>
      </c>
      <c r="C33" s="116" t="s">
        <v>25</v>
      </c>
      <c r="D33" s="117">
        <v>40</v>
      </c>
      <c r="E33" s="122">
        <v>5.4</v>
      </c>
      <c r="F33" s="35"/>
      <c r="G33" s="119"/>
      <c r="H33" s="38"/>
      <c r="I33" s="38">
        <f t="shared" si="0"/>
        <v>0</v>
      </c>
      <c r="J33" s="32"/>
      <c r="K33" s="38"/>
      <c r="L33" s="38">
        <f t="shared" si="1"/>
        <v>0</v>
      </c>
      <c r="M33" s="32"/>
      <c r="N33" s="38"/>
      <c r="O33" s="120">
        <f t="shared" si="2"/>
        <v>0</v>
      </c>
      <c r="P33" s="39" t="e">
        <f t="shared" si="3"/>
        <v>#DIV/0!</v>
      </c>
      <c r="Q33" s="121" t="e">
        <f t="shared" si="4"/>
        <v>#DIV/0!</v>
      </c>
      <c r="R33" s="39">
        <f t="shared" si="5"/>
        <v>0</v>
      </c>
      <c r="S33" s="32"/>
      <c r="U33" s="42" t="e">
        <f t="shared" si="6"/>
        <v>#DIV/0!</v>
      </c>
      <c r="V33" s="42" t="e">
        <f t="shared" si="7"/>
        <v>#DIV/0!</v>
      </c>
      <c r="W33" s="42" t="e">
        <f t="shared" si="8"/>
        <v>#DIV/0!</v>
      </c>
    </row>
    <row r="34" spans="1:23" s="28" customFormat="1" ht="64.5" customHeight="1" x14ac:dyDescent="0.2">
      <c r="A34" s="30">
        <v>23</v>
      </c>
      <c r="B34" s="115" t="s">
        <v>79</v>
      </c>
      <c r="C34" s="116" t="s">
        <v>25</v>
      </c>
      <c r="D34" s="117">
        <v>30</v>
      </c>
      <c r="E34" s="122">
        <v>11.82</v>
      </c>
      <c r="F34" s="35"/>
      <c r="G34" s="119"/>
      <c r="H34" s="38"/>
      <c r="I34" s="38">
        <f t="shared" si="0"/>
        <v>0</v>
      </c>
      <c r="J34" s="32"/>
      <c r="K34" s="38"/>
      <c r="L34" s="38">
        <f t="shared" si="1"/>
        <v>0</v>
      </c>
      <c r="M34" s="32"/>
      <c r="N34" s="38"/>
      <c r="O34" s="120">
        <f t="shared" si="2"/>
        <v>0</v>
      </c>
      <c r="P34" s="39" t="e">
        <f t="shared" si="3"/>
        <v>#DIV/0!</v>
      </c>
      <c r="Q34" s="121" t="e">
        <f t="shared" si="4"/>
        <v>#DIV/0!</v>
      </c>
      <c r="R34" s="39">
        <f t="shared" si="5"/>
        <v>0</v>
      </c>
      <c r="S34" s="32"/>
      <c r="U34" s="42" t="e">
        <f t="shared" si="6"/>
        <v>#DIV/0!</v>
      </c>
      <c r="V34" s="42" t="e">
        <f t="shared" si="7"/>
        <v>#DIV/0!</v>
      </c>
      <c r="W34" s="42" t="e">
        <f t="shared" si="8"/>
        <v>#DIV/0!</v>
      </c>
    </row>
    <row r="35" spans="1:23" s="28" customFormat="1" ht="63" customHeight="1" x14ac:dyDescent="0.2">
      <c r="A35" s="30">
        <v>24</v>
      </c>
      <c r="B35" s="115" t="s">
        <v>507</v>
      </c>
      <c r="C35" s="116" t="s">
        <v>25</v>
      </c>
      <c r="D35" s="117">
        <v>69</v>
      </c>
      <c r="E35" s="118" t="s">
        <v>504</v>
      </c>
      <c r="F35" s="35"/>
      <c r="G35" s="32"/>
      <c r="H35" s="38"/>
      <c r="I35" s="38">
        <f t="shared" si="0"/>
        <v>0</v>
      </c>
      <c r="J35" s="32"/>
      <c r="K35" s="38"/>
      <c r="L35" s="38">
        <f t="shared" si="1"/>
        <v>0</v>
      </c>
      <c r="M35" s="38"/>
      <c r="N35" s="38"/>
      <c r="O35" s="38">
        <f t="shared" si="2"/>
        <v>0</v>
      </c>
      <c r="P35" s="39" t="e">
        <f t="shared" si="3"/>
        <v>#DIV/0!</v>
      </c>
      <c r="Q35" s="40" t="e">
        <f t="shared" si="4"/>
        <v>#DIV/0!</v>
      </c>
      <c r="R35" s="39">
        <f t="shared" si="5"/>
        <v>0</v>
      </c>
      <c r="S35" s="32"/>
      <c r="U35" s="42" t="e">
        <f t="shared" si="6"/>
        <v>#DIV/0!</v>
      </c>
      <c r="V35" s="42" t="e">
        <f t="shared" si="7"/>
        <v>#DIV/0!</v>
      </c>
      <c r="W35" s="42" t="e">
        <f t="shared" si="8"/>
        <v>#DIV/0!</v>
      </c>
    </row>
    <row r="36" spans="1:23" s="28" customFormat="1" ht="73.5" customHeight="1" x14ac:dyDescent="0.2">
      <c r="A36" s="30">
        <v>25</v>
      </c>
      <c r="B36" s="115" t="s">
        <v>508</v>
      </c>
      <c r="C36" s="116" t="s">
        <v>25</v>
      </c>
      <c r="D36" s="117">
        <v>150</v>
      </c>
      <c r="E36" s="118" t="s">
        <v>504</v>
      </c>
      <c r="F36" s="35"/>
      <c r="G36" s="119"/>
      <c r="H36" s="38"/>
      <c r="I36" s="38">
        <f t="shared" si="0"/>
        <v>0</v>
      </c>
      <c r="J36" s="32"/>
      <c r="K36" s="38"/>
      <c r="L36" s="38">
        <f t="shared" si="1"/>
        <v>0</v>
      </c>
      <c r="M36" s="32"/>
      <c r="N36" s="38"/>
      <c r="O36" s="120">
        <f t="shared" si="2"/>
        <v>0</v>
      </c>
      <c r="P36" s="39" t="e">
        <f t="shared" si="3"/>
        <v>#DIV/0!</v>
      </c>
      <c r="Q36" s="121" t="e">
        <f t="shared" si="4"/>
        <v>#DIV/0!</v>
      </c>
      <c r="R36" s="39">
        <f t="shared" si="5"/>
        <v>0</v>
      </c>
      <c r="S36" s="32"/>
      <c r="U36" s="42" t="e">
        <f t="shared" si="6"/>
        <v>#DIV/0!</v>
      </c>
      <c r="V36" s="42" t="e">
        <f t="shared" si="7"/>
        <v>#DIV/0!</v>
      </c>
      <c r="W36" s="42" t="e">
        <f t="shared" si="8"/>
        <v>#DIV/0!</v>
      </c>
    </row>
    <row r="37" spans="1:23" s="28" customFormat="1" ht="63" customHeight="1" x14ac:dyDescent="0.2">
      <c r="A37" s="30">
        <v>26</v>
      </c>
      <c r="B37" s="115" t="s">
        <v>509</v>
      </c>
      <c r="C37" s="116" t="s">
        <v>25</v>
      </c>
      <c r="D37" s="117">
        <v>150</v>
      </c>
      <c r="E37" s="118" t="s">
        <v>500</v>
      </c>
      <c r="F37" s="35"/>
      <c r="G37" s="32"/>
      <c r="H37" s="38"/>
      <c r="I37" s="38">
        <f t="shared" si="0"/>
        <v>0</v>
      </c>
      <c r="J37" s="38"/>
      <c r="K37" s="38"/>
      <c r="L37" s="38">
        <f t="shared" si="1"/>
        <v>0</v>
      </c>
      <c r="M37" s="32"/>
      <c r="N37" s="38"/>
      <c r="O37" s="38">
        <f t="shared" si="2"/>
        <v>0</v>
      </c>
      <c r="P37" s="39" t="e">
        <f t="shared" si="3"/>
        <v>#DIV/0!</v>
      </c>
      <c r="Q37" s="40" t="e">
        <f t="shared" si="4"/>
        <v>#DIV/0!</v>
      </c>
      <c r="R37" s="39">
        <f t="shared" si="5"/>
        <v>0</v>
      </c>
      <c r="S37" s="32"/>
      <c r="U37" s="42" t="e">
        <f t="shared" si="6"/>
        <v>#DIV/0!</v>
      </c>
      <c r="V37" s="42" t="e">
        <f t="shared" si="7"/>
        <v>#DIV/0!</v>
      </c>
      <c r="W37" s="42" t="e">
        <f t="shared" si="8"/>
        <v>#DIV/0!</v>
      </c>
    </row>
    <row r="38" spans="1:23" s="28" customFormat="1" ht="73.5" customHeight="1" x14ac:dyDescent="0.2">
      <c r="A38" s="30">
        <v>27</v>
      </c>
      <c r="B38" s="115" t="s">
        <v>510</v>
      </c>
      <c r="C38" s="116" t="s">
        <v>25</v>
      </c>
      <c r="D38" s="117">
        <v>250</v>
      </c>
      <c r="E38" s="118" t="s">
        <v>504</v>
      </c>
      <c r="F38" s="35"/>
      <c r="G38" s="32"/>
      <c r="H38" s="38"/>
      <c r="I38" s="38">
        <f t="shared" si="0"/>
        <v>0</v>
      </c>
      <c r="J38" s="32"/>
      <c r="K38" s="38"/>
      <c r="L38" s="38">
        <f t="shared" si="1"/>
        <v>0</v>
      </c>
      <c r="M38" s="32"/>
      <c r="N38" s="38"/>
      <c r="O38" s="38">
        <f t="shared" si="2"/>
        <v>0</v>
      </c>
      <c r="P38" s="39" t="e">
        <f t="shared" si="3"/>
        <v>#DIV/0!</v>
      </c>
      <c r="Q38" s="40" t="e">
        <f t="shared" si="4"/>
        <v>#DIV/0!</v>
      </c>
      <c r="R38" s="39">
        <f t="shared" si="5"/>
        <v>0</v>
      </c>
      <c r="S38" s="32"/>
      <c r="U38" s="42" t="e">
        <f t="shared" si="6"/>
        <v>#DIV/0!</v>
      </c>
      <c r="V38" s="42" t="e">
        <f t="shared" si="7"/>
        <v>#DIV/0!</v>
      </c>
      <c r="W38" s="42" t="e">
        <f t="shared" si="8"/>
        <v>#DIV/0!</v>
      </c>
    </row>
    <row r="39" spans="1:23" s="28" customFormat="1" ht="73.5" customHeight="1" x14ac:dyDescent="0.2">
      <c r="A39" s="30">
        <v>28</v>
      </c>
      <c r="B39" s="115" t="s">
        <v>80</v>
      </c>
      <c r="C39" s="116" t="s">
        <v>81</v>
      </c>
      <c r="D39" s="117">
        <v>600</v>
      </c>
      <c r="E39" s="118">
        <v>169.2</v>
      </c>
      <c r="F39" s="35"/>
      <c r="G39" s="32"/>
      <c r="H39" s="38"/>
      <c r="I39" s="38">
        <f t="shared" si="0"/>
        <v>0</v>
      </c>
      <c r="J39" s="38"/>
      <c r="K39" s="38"/>
      <c r="L39" s="38">
        <f t="shared" si="1"/>
        <v>0</v>
      </c>
      <c r="M39" s="32"/>
      <c r="N39" s="38"/>
      <c r="O39" s="38">
        <f t="shared" si="2"/>
        <v>0</v>
      </c>
      <c r="P39" s="39" t="e">
        <f t="shared" si="3"/>
        <v>#DIV/0!</v>
      </c>
      <c r="Q39" s="40" t="e">
        <f t="shared" si="4"/>
        <v>#DIV/0!</v>
      </c>
      <c r="R39" s="39">
        <f t="shared" si="5"/>
        <v>0</v>
      </c>
      <c r="S39" s="32"/>
      <c r="U39" s="42" t="e">
        <f t="shared" si="6"/>
        <v>#DIV/0!</v>
      </c>
      <c r="V39" s="42" t="e">
        <f t="shared" si="7"/>
        <v>#DIV/0!</v>
      </c>
      <c r="W39" s="42" t="e">
        <f t="shared" si="8"/>
        <v>#DIV/0!</v>
      </c>
    </row>
    <row r="40" spans="1:23" s="28" customFormat="1" ht="73.5" customHeight="1" x14ac:dyDescent="0.2">
      <c r="A40" s="30">
        <v>29</v>
      </c>
      <c r="B40" s="115" t="s">
        <v>83</v>
      </c>
      <c r="C40" s="116" t="s">
        <v>25</v>
      </c>
      <c r="D40" s="117">
        <v>12</v>
      </c>
      <c r="E40" s="118">
        <v>3339.3</v>
      </c>
      <c r="F40" s="35"/>
      <c r="G40" s="32"/>
      <c r="H40" s="38"/>
      <c r="I40" s="57">
        <f t="shared" si="0"/>
        <v>0</v>
      </c>
      <c r="J40" s="57"/>
      <c r="K40" s="57"/>
      <c r="L40" s="57">
        <f t="shared" si="1"/>
        <v>0</v>
      </c>
      <c r="M40" s="57"/>
      <c r="N40" s="57"/>
      <c r="O40" s="57">
        <f t="shared" si="2"/>
        <v>0</v>
      </c>
      <c r="P40" s="39" t="e">
        <f t="shared" si="3"/>
        <v>#DIV/0!</v>
      </c>
      <c r="Q40" s="40" t="e">
        <f t="shared" si="4"/>
        <v>#DIV/0!</v>
      </c>
      <c r="R40" s="39">
        <f t="shared" si="5"/>
        <v>0</v>
      </c>
      <c r="S40" s="32"/>
      <c r="U40" s="42" t="e">
        <f t="shared" si="6"/>
        <v>#DIV/0!</v>
      </c>
      <c r="V40" s="42" t="e">
        <f t="shared" si="7"/>
        <v>#DIV/0!</v>
      </c>
      <c r="W40" s="42" t="e">
        <f t="shared" si="8"/>
        <v>#DIV/0!</v>
      </c>
    </row>
    <row r="41" spans="1:23" s="28" customFormat="1" ht="73.5" customHeight="1" x14ac:dyDescent="0.2">
      <c r="A41" s="30">
        <v>30</v>
      </c>
      <c r="B41" s="115" t="s">
        <v>85</v>
      </c>
      <c r="C41" s="116" t="s">
        <v>25</v>
      </c>
      <c r="D41" s="117">
        <v>5</v>
      </c>
      <c r="E41" s="118">
        <v>3550.4</v>
      </c>
      <c r="F41" s="35"/>
      <c r="G41" s="32"/>
      <c r="H41" s="38"/>
      <c r="I41" s="38">
        <f t="shared" si="0"/>
        <v>0</v>
      </c>
      <c r="J41" s="38"/>
      <c r="K41" s="38"/>
      <c r="L41" s="38">
        <f t="shared" si="1"/>
        <v>0</v>
      </c>
      <c r="M41" s="38"/>
      <c r="N41" s="38"/>
      <c r="O41" s="38">
        <f t="shared" si="2"/>
        <v>0</v>
      </c>
      <c r="P41" s="39" t="e">
        <f t="shared" si="3"/>
        <v>#DIV/0!</v>
      </c>
      <c r="Q41" s="40" t="e">
        <f t="shared" si="4"/>
        <v>#DIV/0!</v>
      </c>
      <c r="R41" s="39">
        <f t="shared" si="5"/>
        <v>0</v>
      </c>
      <c r="S41" s="32"/>
      <c r="U41" s="42" t="e">
        <f t="shared" si="6"/>
        <v>#DIV/0!</v>
      </c>
      <c r="V41" s="42" t="e">
        <f t="shared" si="7"/>
        <v>#DIV/0!</v>
      </c>
      <c r="W41" s="42" t="e">
        <f t="shared" si="8"/>
        <v>#DIV/0!</v>
      </c>
    </row>
    <row r="42" spans="1:23" s="28" customFormat="1" ht="73.5" customHeight="1" x14ac:dyDescent="0.2">
      <c r="A42" s="30">
        <v>31</v>
      </c>
      <c r="B42" s="115" t="s">
        <v>87</v>
      </c>
      <c r="C42" s="116" t="s">
        <v>25</v>
      </c>
      <c r="D42" s="117">
        <v>5</v>
      </c>
      <c r="E42" s="118">
        <v>95</v>
      </c>
      <c r="F42" s="35"/>
      <c r="G42" s="32"/>
      <c r="H42" s="38"/>
      <c r="I42" s="38">
        <f t="shared" si="0"/>
        <v>0</v>
      </c>
      <c r="J42" s="32"/>
      <c r="K42" s="38"/>
      <c r="L42" s="38">
        <f t="shared" si="1"/>
        <v>0</v>
      </c>
      <c r="M42" s="38"/>
      <c r="N42" s="38"/>
      <c r="O42" s="38">
        <f t="shared" si="2"/>
        <v>0</v>
      </c>
      <c r="P42" s="39" t="e">
        <f t="shared" si="3"/>
        <v>#DIV/0!</v>
      </c>
      <c r="Q42" s="40" t="e">
        <f t="shared" si="4"/>
        <v>#DIV/0!</v>
      </c>
      <c r="R42" s="39">
        <f t="shared" si="5"/>
        <v>0</v>
      </c>
      <c r="S42" s="32"/>
      <c r="U42" s="42" t="e">
        <f t="shared" si="6"/>
        <v>#DIV/0!</v>
      </c>
      <c r="V42" s="42" t="e">
        <f t="shared" si="7"/>
        <v>#DIV/0!</v>
      </c>
      <c r="W42" s="42" t="e">
        <f t="shared" si="8"/>
        <v>#DIV/0!</v>
      </c>
    </row>
    <row r="43" spans="1:23" s="28" customFormat="1" ht="73.5" customHeight="1" x14ac:dyDescent="0.2">
      <c r="A43" s="30">
        <v>32</v>
      </c>
      <c r="B43" s="115" t="s">
        <v>88</v>
      </c>
      <c r="C43" s="116" t="s">
        <v>25</v>
      </c>
      <c r="D43" s="117">
        <v>28</v>
      </c>
      <c r="E43" s="118">
        <v>73.010000000000005</v>
      </c>
      <c r="F43" s="35"/>
      <c r="G43" s="32"/>
      <c r="H43" s="38"/>
      <c r="I43" s="38">
        <f t="shared" si="0"/>
        <v>0</v>
      </c>
      <c r="J43" s="32"/>
      <c r="K43" s="38"/>
      <c r="L43" s="38">
        <f t="shared" si="1"/>
        <v>0</v>
      </c>
      <c r="M43" s="38"/>
      <c r="N43" s="38"/>
      <c r="O43" s="38">
        <f t="shared" si="2"/>
        <v>0</v>
      </c>
      <c r="P43" s="39" t="e">
        <f t="shared" si="3"/>
        <v>#DIV/0!</v>
      </c>
      <c r="Q43" s="40" t="e">
        <f t="shared" si="4"/>
        <v>#DIV/0!</v>
      </c>
      <c r="R43" s="39">
        <f t="shared" si="5"/>
        <v>0</v>
      </c>
      <c r="S43" s="32"/>
      <c r="U43" s="42" t="e">
        <f t="shared" si="6"/>
        <v>#DIV/0!</v>
      </c>
      <c r="V43" s="42" t="e">
        <f t="shared" si="7"/>
        <v>#DIV/0!</v>
      </c>
      <c r="W43" s="42" t="e">
        <f t="shared" si="8"/>
        <v>#DIV/0!</v>
      </c>
    </row>
    <row r="44" spans="1:23" s="28" customFormat="1" ht="73.5" customHeight="1" x14ac:dyDescent="0.2">
      <c r="A44" s="30">
        <v>33</v>
      </c>
      <c r="B44" s="115" t="s">
        <v>511</v>
      </c>
      <c r="C44" s="116" t="s">
        <v>25</v>
      </c>
      <c r="D44" s="117">
        <v>1</v>
      </c>
      <c r="E44" s="118" t="s">
        <v>504</v>
      </c>
      <c r="F44" s="35"/>
      <c r="G44" s="32"/>
      <c r="H44" s="38"/>
      <c r="I44" s="38">
        <f t="shared" ref="I44:I75" si="9">D44*H44</f>
        <v>0</v>
      </c>
      <c r="J44" s="32"/>
      <c r="K44" s="38"/>
      <c r="L44" s="38">
        <f t="shared" si="1"/>
        <v>0</v>
      </c>
      <c r="M44" s="38"/>
      <c r="N44" s="38"/>
      <c r="O44" s="38">
        <f t="shared" ref="O44:O75" si="10">D44*N44</f>
        <v>0</v>
      </c>
      <c r="P44" s="39" t="e">
        <f t="shared" si="3"/>
        <v>#DIV/0!</v>
      </c>
      <c r="Q44" s="40" t="e">
        <f t="shared" si="4"/>
        <v>#DIV/0!</v>
      </c>
      <c r="R44" s="39">
        <f t="shared" si="5"/>
        <v>0</v>
      </c>
      <c r="S44" s="32"/>
      <c r="U44" s="42" t="e">
        <f t="shared" si="6"/>
        <v>#DIV/0!</v>
      </c>
      <c r="V44" s="42" t="e">
        <f t="shared" si="7"/>
        <v>#DIV/0!</v>
      </c>
      <c r="W44" s="42" t="e">
        <f t="shared" si="8"/>
        <v>#DIV/0!</v>
      </c>
    </row>
    <row r="45" spans="1:23" s="28" customFormat="1" ht="73.5" customHeight="1" x14ac:dyDescent="0.2">
      <c r="A45" s="30">
        <v>34</v>
      </c>
      <c r="B45" s="115" t="s">
        <v>89</v>
      </c>
      <c r="C45" s="116" t="s">
        <v>81</v>
      </c>
      <c r="D45" s="117">
        <v>76</v>
      </c>
      <c r="E45" s="118">
        <v>3120.3</v>
      </c>
      <c r="F45" s="35"/>
      <c r="G45" s="32"/>
      <c r="H45" s="38"/>
      <c r="I45" s="57">
        <f t="shared" si="9"/>
        <v>0</v>
      </c>
      <c r="J45" s="57"/>
      <c r="K45" s="57"/>
      <c r="L45" s="57">
        <f t="shared" si="1"/>
        <v>0</v>
      </c>
      <c r="M45" s="57"/>
      <c r="N45" s="57"/>
      <c r="O45" s="57">
        <f t="shared" si="10"/>
        <v>0</v>
      </c>
      <c r="P45" s="39" t="e">
        <f t="shared" si="3"/>
        <v>#DIV/0!</v>
      </c>
      <c r="Q45" s="40" t="e">
        <f t="shared" si="4"/>
        <v>#DIV/0!</v>
      </c>
      <c r="R45" s="39">
        <f t="shared" si="5"/>
        <v>0</v>
      </c>
      <c r="S45" s="32"/>
      <c r="U45" s="42" t="e">
        <f t="shared" si="6"/>
        <v>#DIV/0!</v>
      </c>
      <c r="V45" s="42" t="e">
        <f t="shared" si="7"/>
        <v>#DIV/0!</v>
      </c>
      <c r="W45" s="42" t="e">
        <f t="shared" si="8"/>
        <v>#DIV/0!</v>
      </c>
    </row>
    <row r="46" spans="1:23" s="28" customFormat="1" ht="73.5" customHeight="1" x14ac:dyDescent="0.2">
      <c r="A46" s="30">
        <v>35</v>
      </c>
      <c r="B46" s="115" t="s">
        <v>512</v>
      </c>
      <c r="C46" s="116" t="s">
        <v>25</v>
      </c>
      <c r="D46" s="117">
        <v>5</v>
      </c>
      <c r="E46" s="118" t="s">
        <v>504</v>
      </c>
      <c r="F46" s="35"/>
      <c r="G46" s="32"/>
      <c r="H46" s="38"/>
      <c r="I46" s="57">
        <f t="shared" si="9"/>
        <v>0</v>
      </c>
      <c r="J46" s="57"/>
      <c r="K46" s="57"/>
      <c r="L46" s="57">
        <f t="shared" si="1"/>
        <v>0</v>
      </c>
      <c r="M46" s="57"/>
      <c r="N46" s="57"/>
      <c r="O46" s="57">
        <f t="shared" si="10"/>
        <v>0</v>
      </c>
      <c r="P46" s="39" t="e">
        <f t="shared" si="3"/>
        <v>#DIV/0!</v>
      </c>
      <c r="Q46" s="40" t="e">
        <f t="shared" si="4"/>
        <v>#DIV/0!</v>
      </c>
      <c r="R46" s="39">
        <f t="shared" si="5"/>
        <v>0</v>
      </c>
      <c r="S46" s="32"/>
      <c r="U46" s="42" t="e">
        <f t="shared" si="6"/>
        <v>#DIV/0!</v>
      </c>
      <c r="V46" s="42" t="e">
        <f t="shared" si="7"/>
        <v>#DIV/0!</v>
      </c>
      <c r="W46" s="42" t="e">
        <f t="shared" si="8"/>
        <v>#DIV/0!</v>
      </c>
    </row>
    <row r="47" spans="1:23" s="28" customFormat="1" ht="73.5" customHeight="1" x14ac:dyDescent="0.2">
      <c r="A47" s="30">
        <v>36</v>
      </c>
      <c r="B47" s="115" t="s">
        <v>513</v>
      </c>
      <c r="C47" s="116" t="s">
        <v>25</v>
      </c>
      <c r="D47" s="117">
        <v>13</v>
      </c>
      <c r="E47" s="118" t="s">
        <v>500</v>
      </c>
      <c r="F47" s="35"/>
      <c r="G47" s="32"/>
      <c r="H47" s="38"/>
      <c r="I47" s="57">
        <f t="shared" si="9"/>
        <v>0</v>
      </c>
      <c r="J47" s="57"/>
      <c r="K47" s="57"/>
      <c r="L47" s="57">
        <f t="shared" si="1"/>
        <v>0</v>
      </c>
      <c r="M47" s="57"/>
      <c r="N47" s="57"/>
      <c r="O47" s="57">
        <f t="shared" si="10"/>
        <v>0</v>
      </c>
      <c r="P47" s="39" t="e">
        <f t="shared" si="3"/>
        <v>#DIV/0!</v>
      </c>
      <c r="Q47" s="40" t="e">
        <f t="shared" si="4"/>
        <v>#DIV/0!</v>
      </c>
      <c r="R47" s="39">
        <f t="shared" si="5"/>
        <v>0</v>
      </c>
      <c r="S47" s="32"/>
      <c r="U47" s="42" t="e">
        <f t="shared" si="6"/>
        <v>#DIV/0!</v>
      </c>
      <c r="V47" s="42" t="e">
        <f t="shared" si="7"/>
        <v>#DIV/0!</v>
      </c>
      <c r="W47" s="42" t="e">
        <f t="shared" si="8"/>
        <v>#DIV/0!</v>
      </c>
    </row>
    <row r="48" spans="1:23" s="28" customFormat="1" ht="73.5" customHeight="1" x14ac:dyDescent="0.2">
      <c r="A48" s="30">
        <v>37</v>
      </c>
      <c r="B48" s="115" t="s">
        <v>94</v>
      </c>
      <c r="C48" s="116" t="s">
        <v>25</v>
      </c>
      <c r="D48" s="117">
        <v>49</v>
      </c>
      <c r="E48" s="118">
        <v>517.11</v>
      </c>
      <c r="F48" s="35"/>
      <c r="G48" s="32"/>
      <c r="H48" s="38"/>
      <c r="I48" s="57">
        <f t="shared" si="9"/>
        <v>0</v>
      </c>
      <c r="J48" s="57"/>
      <c r="K48" s="57"/>
      <c r="L48" s="57">
        <f t="shared" si="1"/>
        <v>0</v>
      </c>
      <c r="M48" s="57"/>
      <c r="N48" s="57"/>
      <c r="O48" s="57">
        <f t="shared" si="10"/>
        <v>0</v>
      </c>
      <c r="P48" s="39" t="e">
        <f t="shared" si="3"/>
        <v>#DIV/0!</v>
      </c>
      <c r="Q48" s="40" t="e">
        <f t="shared" si="4"/>
        <v>#DIV/0!</v>
      </c>
      <c r="R48" s="39">
        <f t="shared" si="5"/>
        <v>0</v>
      </c>
      <c r="S48" s="32"/>
      <c r="U48" s="42" t="e">
        <f t="shared" si="6"/>
        <v>#DIV/0!</v>
      </c>
      <c r="V48" s="42" t="e">
        <f t="shared" si="7"/>
        <v>#DIV/0!</v>
      </c>
      <c r="W48" s="42" t="e">
        <f t="shared" si="8"/>
        <v>#DIV/0!</v>
      </c>
    </row>
    <row r="49" spans="1:23" s="28" customFormat="1" ht="73.5" customHeight="1" x14ac:dyDescent="0.2">
      <c r="A49" s="30">
        <v>38</v>
      </c>
      <c r="B49" s="115" t="s">
        <v>96</v>
      </c>
      <c r="C49" s="116" t="s">
        <v>25</v>
      </c>
      <c r="D49" s="117">
        <v>3</v>
      </c>
      <c r="E49" s="118">
        <v>5116.7</v>
      </c>
      <c r="F49" s="35"/>
      <c r="G49" s="32"/>
      <c r="H49" s="38"/>
      <c r="I49" s="57">
        <f t="shared" si="9"/>
        <v>0</v>
      </c>
      <c r="J49" s="57"/>
      <c r="K49" s="57"/>
      <c r="L49" s="57">
        <f t="shared" si="1"/>
        <v>0</v>
      </c>
      <c r="M49" s="57"/>
      <c r="N49" s="57"/>
      <c r="O49" s="57">
        <f t="shared" si="10"/>
        <v>0</v>
      </c>
      <c r="P49" s="39" t="e">
        <f t="shared" si="3"/>
        <v>#DIV/0!</v>
      </c>
      <c r="Q49" s="40" t="e">
        <f t="shared" si="4"/>
        <v>#DIV/0!</v>
      </c>
      <c r="R49" s="39">
        <f t="shared" si="5"/>
        <v>0</v>
      </c>
      <c r="S49" s="32"/>
      <c r="U49" s="42" t="e">
        <f t="shared" si="6"/>
        <v>#DIV/0!</v>
      </c>
      <c r="V49" s="42" t="e">
        <f t="shared" si="7"/>
        <v>#DIV/0!</v>
      </c>
      <c r="W49" s="42" t="e">
        <f t="shared" si="8"/>
        <v>#DIV/0!</v>
      </c>
    </row>
    <row r="50" spans="1:23" s="28" customFormat="1" ht="73.5" customHeight="1" x14ac:dyDescent="0.2">
      <c r="A50" s="30">
        <v>39</v>
      </c>
      <c r="B50" s="115" t="s">
        <v>98</v>
      </c>
      <c r="C50" s="116" t="s">
        <v>25</v>
      </c>
      <c r="D50" s="117">
        <v>1</v>
      </c>
      <c r="E50" s="118">
        <v>5200.3999999999996</v>
      </c>
      <c r="F50" s="35"/>
      <c r="G50" s="32"/>
      <c r="H50" s="38"/>
      <c r="I50" s="57">
        <f t="shared" si="9"/>
        <v>0</v>
      </c>
      <c r="J50" s="57"/>
      <c r="K50" s="57"/>
      <c r="L50" s="57">
        <f t="shared" si="1"/>
        <v>0</v>
      </c>
      <c r="M50" s="57"/>
      <c r="N50" s="57"/>
      <c r="O50" s="57">
        <f t="shared" si="10"/>
        <v>0</v>
      </c>
      <c r="P50" s="39" t="e">
        <f t="shared" si="3"/>
        <v>#DIV/0!</v>
      </c>
      <c r="Q50" s="40" t="e">
        <f t="shared" si="4"/>
        <v>#DIV/0!</v>
      </c>
      <c r="R50" s="39">
        <f t="shared" si="5"/>
        <v>0</v>
      </c>
      <c r="S50" s="32"/>
      <c r="U50" s="42" t="e">
        <f t="shared" si="6"/>
        <v>#DIV/0!</v>
      </c>
      <c r="V50" s="42" t="e">
        <f t="shared" si="7"/>
        <v>#DIV/0!</v>
      </c>
      <c r="W50" s="42" t="e">
        <f t="shared" si="8"/>
        <v>#DIV/0!</v>
      </c>
    </row>
    <row r="51" spans="1:23" s="28" customFormat="1" ht="73.5" customHeight="1" x14ac:dyDescent="0.2">
      <c r="A51" s="30">
        <v>40</v>
      </c>
      <c r="B51" s="115" t="s">
        <v>514</v>
      </c>
      <c r="C51" s="116" t="s">
        <v>25</v>
      </c>
      <c r="D51" s="117">
        <v>5</v>
      </c>
      <c r="E51" s="118" t="s">
        <v>504</v>
      </c>
      <c r="F51" s="35"/>
      <c r="G51" s="32"/>
      <c r="H51" s="38"/>
      <c r="I51" s="57">
        <f t="shared" si="9"/>
        <v>0</v>
      </c>
      <c r="J51" s="57"/>
      <c r="K51" s="57"/>
      <c r="L51" s="57">
        <f t="shared" si="1"/>
        <v>0</v>
      </c>
      <c r="M51" s="57"/>
      <c r="N51" s="57"/>
      <c r="O51" s="57">
        <f t="shared" si="10"/>
        <v>0</v>
      </c>
      <c r="P51" s="39" t="e">
        <f t="shared" si="3"/>
        <v>#DIV/0!</v>
      </c>
      <c r="Q51" s="40" t="e">
        <f t="shared" si="4"/>
        <v>#DIV/0!</v>
      </c>
      <c r="R51" s="39">
        <f t="shared" si="5"/>
        <v>0</v>
      </c>
      <c r="S51" s="32"/>
      <c r="U51" s="42" t="e">
        <f t="shared" si="6"/>
        <v>#DIV/0!</v>
      </c>
      <c r="V51" s="42" t="e">
        <f t="shared" si="7"/>
        <v>#DIV/0!</v>
      </c>
      <c r="W51" s="42" t="e">
        <f t="shared" si="8"/>
        <v>#DIV/0!</v>
      </c>
    </row>
    <row r="52" spans="1:23" s="28" customFormat="1" ht="73.5" customHeight="1" x14ac:dyDescent="0.2">
      <c r="A52" s="30">
        <v>41</v>
      </c>
      <c r="B52" s="115" t="s">
        <v>515</v>
      </c>
      <c r="C52" s="116" t="s">
        <v>25</v>
      </c>
      <c r="D52" s="117">
        <v>1</v>
      </c>
      <c r="E52" s="118" t="s">
        <v>504</v>
      </c>
      <c r="F52" s="35"/>
      <c r="G52" s="119"/>
      <c r="H52" s="38"/>
      <c r="I52" s="38">
        <f t="shared" si="9"/>
        <v>0</v>
      </c>
      <c r="J52" s="32"/>
      <c r="K52" s="38"/>
      <c r="L52" s="38">
        <f t="shared" si="1"/>
        <v>0</v>
      </c>
      <c r="M52" s="32"/>
      <c r="N52" s="38"/>
      <c r="O52" s="120">
        <f t="shared" si="10"/>
        <v>0</v>
      </c>
      <c r="P52" s="39" t="e">
        <f t="shared" si="3"/>
        <v>#DIV/0!</v>
      </c>
      <c r="Q52" s="121" t="e">
        <f t="shared" si="4"/>
        <v>#DIV/0!</v>
      </c>
      <c r="R52" s="39">
        <f t="shared" si="5"/>
        <v>0</v>
      </c>
      <c r="S52" s="32"/>
      <c r="U52" s="42" t="e">
        <f t="shared" si="6"/>
        <v>#DIV/0!</v>
      </c>
      <c r="V52" s="42" t="e">
        <f t="shared" si="7"/>
        <v>#DIV/0!</v>
      </c>
      <c r="W52" s="42" t="e">
        <f t="shared" si="8"/>
        <v>#DIV/0!</v>
      </c>
    </row>
    <row r="53" spans="1:23" s="28" customFormat="1" ht="73.5" customHeight="1" x14ac:dyDescent="0.2">
      <c r="A53" s="30">
        <v>42</v>
      </c>
      <c r="B53" s="115" t="s">
        <v>516</v>
      </c>
      <c r="C53" s="116" t="s">
        <v>25</v>
      </c>
      <c r="D53" s="117">
        <v>2</v>
      </c>
      <c r="E53" s="118" t="s">
        <v>504</v>
      </c>
      <c r="F53" s="35"/>
      <c r="G53" s="119"/>
      <c r="H53" s="38"/>
      <c r="I53" s="38">
        <f t="shared" si="9"/>
        <v>0</v>
      </c>
      <c r="J53" s="32"/>
      <c r="K53" s="38"/>
      <c r="L53" s="38">
        <f t="shared" si="1"/>
        <v>0</v>
      </c>
      <c r="M53" s="32"/>
      <c r="N53" s="38"/>
      <c r="O53" s="120">
        <f t="shared" si="10"/>
        <v>0</v>
      </c>
      <c r="P53" s="39" t="e">
        <f t="shared" si="3"/>
        <v>#DIV/0!</v>
      </c>
      <c r="Q53" s="121" t="e">
        <f t="shared" si="4"/>
        <v>#DIV/0!</v>
      </c>
      <c r="R53" s="39">
        <f t="shared" si="5"/>
        <v>0</v>
      </c>
      <c r="S53" s="32"/>
      <c r="U53" s="42" t="e">
        <f t="shared" si="6"/>
        <v>#DIV/0!</v>
      </c>
      <c r="V53" s="42" t="e">
        <f t="shared" si="7"/>
        <v>#DIV/0!</v>
      </c>
      <c r="W53" s="42" t="e">
        <f t="shared" si="8"/>
        <v>#DIV/0!</v>
      </c>
    </row>
    <row r="54" spans="1:23" s="28" customFormat="1" ht="73.5" customHeight="1" x14ac:dyDescent="0.2">
      <c r="A54" s="30">
        <v>43</v>
      </c>
      <c r="B54" s="115" t="s">
        <v>517</v>
      </c>
      <c r="C54" s="116" t="s">
        <v>25</v>
      </c>
      <c r="D54" s="117">
        <v>3</v>
      </c>
      <c r="E54" s="118" t="s">
        <v>504</v>
      </c>
      <c r="F54" s="35"/>
      <c r="G54" s="32"/>
      <c r="H54" s="38"/>
      <c r="I54" s="57">
        <f t="shared" si="9"/>
        <v>0</v>
      </c>
      <c r="J54" s="57"/>
      <c r="K54" s="57"/>
      <c r="L54" s="57">
        <f t="shared" si="1"/>
        <v>0</v>
      </c>
      <c r="M54" s="57"/>
      <c r="N54" s="57"/>
      <c r="O54" s="57">
        <f t="shared" si="10"/>
        <v>0</v>
      </c>
      <c r="P54" s="39" t="e">
        <f t="shared" si="3"/>
        <v>#DIV/0!</v>
      </c>
      <c r="Q54" s="40" t="e">
        <f t="shared" si="4"/>
        <v>#DIV/0!</v>
      </c>
      <c r="R54" s="39">
        <f t="shared" si="5"/>
        <v>0</v>
      </c>
      <c r="S54" s="32"/>
      <c r="U54" s="42" t="e">
        <f t="shared" si="6"/>
        <v>#DIV/0!</v>
      </c>
      <c r="V54" s="42" t="e">
        <f t="shared" si="7"/>
        <v>#DIV/0!</v>
      </c>
      <c r="W54" s="42" t="e">
        <f t="shared" si="8"/>
        <v>#DIV/0!</v>
      </c>
    </row>
    <row r="55" spans="1:23" s="28" customFormat="1" ht="73.5" customHeight="1" x14ac:dyDescent="0.2">
      <c r="A55" s="30">
        <v>44</v>
      </c>
      <c r="B55" s="115" t="s">
        <v>518</v>
      </c>
      <c r="C55" s="116" t="s">
        <v>25</v>
      </c>
      <c r="D55" s="117">
        <v>10</v>
      </c>
      <c r="E55" s="118" t="s">
        <v>504</v>
      </c>
      <c r="F55" s="35"/>
      <c r="G55" s="32"/>
      <c r="H55" s="38"/>
      <c r="I55" s="57">
        <f t="shared" si="9"/>
        <v>0</v>
      </c>
      <c r="J55" s="57"/>
      <c r="K55" s="57"/>
      <c r="L55" s="57">
        <f t="shared" si="1"/>
        <v>0</v>
      </c>
      <c r="M55" s="57"/>
      <c r="N55" s="57"/>
      <c r="O55" s="57">
        <f t="shared" si="10"/>
        <v>0</v>
      </c>
      <c r="P55" s="39" t="e">
        <f t="shared" si="3"/>
        <v>#DIV/0!</v>
      </c>
      <c r="Q55" s="40" t="e">
        <f t="shared" si="4"/>
        <v>#DIV/0!</v>
      </c>
      <c r="R55" s="39">
        <f t="shared" si="5"/>
        <v>0</v>
      </c>
      <c r="S55" s="32"/>
      <c r="U55" s="42" t="e">
        <f t="shared" si="6"/>
        <v>#DIV/0!</v>
      </c>
      <c r="V55" s="42" t="e">
        <f t="shared" si="7"/>
        <v>#DIV/0!</v>
      </c>
      <c r="W55" s="42" t="e">
        <f t="shared" si="8"/>
        <v>#DIV/0!</v>
      </c>
    </row>
    <row r="56" spans="1:23" s="28" customFormat="1" ht="73.5" customHeight="1" x14ac:dyDescent="0.2">
      <c r="A56" s="30">
        <v>45</v>
      </c>
      <c r="B56" s="115" t="s">
        <v>102</v>
      </c>
      <c r="C56" s="116" t="s">
        <v>25</v>
      </c>
      <c r="D56" s="117">
        <v>15</v>
      </c>
      <c r="E56" s="118">
        <v>118.5</v>
      </c>
      <c r="F56" s="35"/>
      <c r="G56" s="32"/>
      <c r="H56" s="38"/>
      <c r="I56" s="57">
        <f t="shared" si="9"/>
        <v>0</v>
      </c>
      <c r="J56" s="57"/>
      <c r="K56" s="57"/>
      <c r="L56" s="57">
        <f t="shared" si="1"/>
        <v>0</v>
      </c>
      <c r="M56" s="57"/>
      <c r="N56" s="57"/>
      <c r="O56" s="57">
        <f t="shared" si="10"/>
        <v>0</v>
      </c>
      <c r="P56" s="39" t="e">
        <f t="shared" si="3"/>
        <v>#DIV/0!</v>
      </c>
      <c r="Q56" s="40" t="e">
        <f t="shared" si="4"/>
        <v>#DIV/0!</v>
      </c>
      <c r="R56" s="39">
        <f t="shared" si="5"/>
        <v>0</v>
      </c>
      <c r="S56" s="32"/>
      <c r="U56" s="42" t="e">
        <f t="shared" si="6"/>
        <v>#DIV/0!</v>
      </c>
      <c r="V56" s="42" t="e">
        <f t="shared" si="7"/>
        <v>#DIV/0!</v>
      </c>
      <c r="W56" s="42" t="e">
        <f t="shared" si="8"/>
        <v>#DIV/0!</v>
      </c>
    </row>
    <row r="57" spans="1:23" s="28" customFormat="1" ht="73.5" customHeight="1" x14ac:dyDescent="0.2">
      <c r="A57" s="30">
        <v>46</v>
      </c>
      <c r="B57" s="115" t="s">
        <v>104</v>
      </c>
      <c r="C57" s="116" t="s">
        <v>25</v>
      </c>
      <c r="D57" s="117">
        <v>2</v>
      </c>
      <c r="E57" s="118">
        <v>174.59</v>
      </c>
      <c r="F57" s="35"/>
      <c r="G57" s="32"/>
      <c r="H57" s="38"/>
      <c r="I57" s="57">
        <f t="shared" si="9"/>
        <v>0</v>
      </c>
      <c r="J57" s="57"/>
      <c r="K57" s="57"/>
      <c r="L57" s="57">
        <f t="shared" si="1"/>
        <v>0</v>
      </c>
      <c r="M57" s="57"/>
      <c r="N57" s="57"/>
      <c r="O57" s="57">
        <f t="shared" si="10"/>
        <v>0</v>
      </c>
      <c r="P57" s="39" t="e">
        <f t="shared" si="3"/>
        <v>#DIV/0!</v>
      </c>
      <c r="Q57" s="40" t="e">
        <f t="shared" si="4"/>
        <v>#DIV/0!</v>
      </c>
      <c r="R57" s="39">
        <f t="shared" si="5"/>
        <v>0</v>
      </c>
      <c r="S57" s="32"/>
      <c r="U57" s="42" t="e">
        <f t="shared" si="6"/>
        <v>#DIV/0!</v>
      </c>
      <c r="V57" s="42" t="e">
        <f t="shared" si="7"/>
        <v>#DIV/0!</v>
      </c>
      <c r="W57" s="42" t="e">
        <f t="shared" si="8"/>
        <v>#DIV/0!</v>
      </c>
    </row>
    <row r="58" spans="1:23" s="28" customFormat="1" ht="73.5" customHeight="1" x14ac:dyDescent="0.2">
      <c r="A58" s="30">
        <v>47</v>
      </c>
      <c r="B58" s="115" t="s">
        <v>106</v>
      </c>
      <c r="C58" s="116" t="s">
        <v>25</v>
      </c>
      <c r="D58" s="117">
        <v>1</v>
      </c>
      <c r="E58" s="118">
        <v>800.12</v>
      </c>
      <c r="F58" s="35"/>
      <c r="G58" s="32"/>
      <c r="H58" s="38"/>
      <c r="I58" s="57">
        <f t="shared" si="9"/>
        <v>0</v>
      </c>
      <c r="J58" s="57"/>
      <c r="K58" s="57"/>
      <c r="L58" s="57">
        <f t="shared" si="1"/>
        <v>0</v>
      </c>
      <c r="M58" s="57"/>
      <c r="N58" s="57"/>
      <c r="O58" s="57">
        <f t="shared" si="10"/>
        <v>0</v>
      </c>
      <c r="P58" s="39" t="e">
        <f t="shared" si="3"/>
        <v>#DIV/0!</v>
      </c>
      <c r="Q58" s="40" t="e">
        <f t="shared" si="4"/>
        <v>#DIV/0!</v>
      </c>
      <c r="R58" s="39">
        <f t="shared" si="5"/>
        <v>0</v>
      </c>
      <c r="S58" s="32"/>
      <c r="U58" s="42" t="e">
        <f t="shared" si="6"/>
        <v>#DIV/0!</v>
      </c>
      <c r="V58" s="42" t="e">
        <f t="shared" si="7"/>
        <v>#DIV/0!</v>
      </c>
      <c r="W58" s="42" t="e">
        <f t="shared" si="8"/>
        <v>#DIV/0!</v>
      </c>
    </row>
    <row r="59" spans="1:23" s="28" customFormat="1" ht="73.5" customHeight="1" x14ac:dyDescent="0.2">
      <c r="A59" s="30">
        <v>48</v>
      </c>
      <c r="B59" s="115" t="s">
        <v>519</v>
      </c>
      <c r="C59" s="116" t="s">
        <v>25</v>
      </c>
      <c r="D59" s="117">
        <v>3</v>
      </c>
      <c r="E59" s="118" t="s">
        <v>504</v>
      </c>
      <c r="F59" s="35"/>
      <c r="G59" s="32"/>
      <c r="H59" s="38"/>
      <c r="I59" s="57">
        <f t="shared" si="9"/>
        <v>0</v>
      </c>
      <c r="J59" s="57"/>
      <c r="K59" s="57"/>
      <c r="L59" s="57">
        <f t="shared" si="1"/>
        <v>0</v>
      </c>
      <c r="M59" s="57"/>
      <c r="N59" s="57"/>
      <c r="O59" s="57">
        <f t="shared" si="10"/>
        <v>0</v>
      </c>
      <c r="P59" s="39" t="e">
        <f t="shared" si="3"/>
        <v>#DIV/0!</v>
      </c>
      <c r="Q59" s="40" t="e">
        <f t="shared" si="4"/>
        <v>#DIV/0!</v>
      </c>
      <c r="R59" s="39">
        <f t="shared" si="5"/>
        <v>0</v>
      </c>
      <c r="S59" s="32"/>
      <c r="U59" s="42" t="e">
        <f t="shared" si="6"/>
        <v>#DIV/0!</v>
      </c>
      <c r="V59" s="42" t="e">
        <f t="shared" si="7"/>
        <v>#DIV/0!</v>
      </c>
      <c r="W59" s="42" t="e">
        <f t="shared" si="8"/>
        <v>#DIV/0!</v>
      </c>
    </row>
    <row r="60" spans="1:23" s="28" customFormat="1" ht="73.5" customHeight="1" x14ac:dyDescent="0.2">
      <c r="A60" s="30">
        <v>49</v>
      </c>
      <c r="B60" s="115" t="s">
        <v>107</v>
      </c>
      <c r="C60" s="116" t="s">
        <v>45</v>
      </c>
      <c r="D60" s="117">
        <v>20.399999999999999</v>
      </c>
      <c r="E60" s="118">
        <v>12456.8</v>
      </c>
      <c r="F60" s="35"/>
      <c r="G60" s="119"/>
      <c r="H60" s="38"/>
      <c r="I60" s="38">
        <f t="shared" si="9"/>
        <v>0</v>
      </c>
      <c r="J60" s="32"/>
      <c r="K60" s="38"/>
      <c r="L60" s="38">
        <f t="shared" si="1"/>
        <v>0</v>
      </c>
      <c r="M60" s="32"/>
      <c r="N60" s="38"/>
      <c r="O60" s="120">
        <f t="shared" si="10"/>
        <v>0</v>
      </c>
      <c r="P60" s="39" t="e">
        <f t="shared" si="3"/>
        <v>#DIV/0!</v>
      </c>
      <c r="Q60" s="121" t="e">
        <f t="shared" si="4"/>
        <v>#DIV/0!</v>
      </c>
      <c r="R60" s="39">
        <f t="shared" si="5"/>
        <v>0</v>
      </c>
      <c r="S60" s="32"/>
      <c r="U60" s="42" t="e">
        <f t="shared" si="6"/>
        <v>#DIV/0!</v>
      </c>
      <c r="V60" s="42" t="e">
        <f t="shared" si="7"/>
        <v>#DIV/0!</v>
      </c>
      <c r="W60" s="42" t="e">
        <f t="shared" si="8"/>
        <v>#DIV/0!</v>
      </c>
    </row>
    <row r="61" spans="1:23" s="28" customFormat="1" ht="73.5" customHeight="1" x14ac:dyDescent="0.2">
      <c r="A61" s="30">
        <v>50</v>
      </c>
      <c r="B61" s="115" t="s">
        <v>109</v>
      </c>
      <c r="C61" s="116" t="s">
        <v>25</v>
      </c>
      <c r="D61" s="117">
        <v>40</v>
      </c>
      <c r="E61" s="118">
        <v>5.1100000000000003</v>
      </c>
      <c r="F61" s="35"/>
      <c r="G61" s="32"/>
      <c r="H61" s="38"/>
      <c r="I61" s="57">
        <f t="shared" si="9"/>
        <v>0</v>
      </c>
      <c r="J61" s="57"/>
      <c r="K61" s="57"/>
      <c r="L61" s="57">
        <f t="shared" si="1"/>
        <v>0</v>
      </c>
      <c r="M61" s="57"/>
      <c r="N61" s="57"/>
      <c r="O61" s="57">
        <f t="shared" si="10"/>
        <v>0</v>
      </c>
      <c r="P61" s="39" t="e">
        <f t="shared" si="3"/>
        <v>#DIV/0!</v>
      </c>
      <c r="Q61" s="40" t="e">
        <f t="shared" si="4"/>
        <v>#DIV/0!</v>
      </c>
      <c r="R61" s="39">
        <f t="shared" si="5"/>
        <v>0</v>
      </c>
      <c r="S61" s="32"/>
      <c r="U61" s="42" t="e">
        <f t="shared" si="6"/>
        <v>#DIV/0!</v>
      </c>
      <c r="V61" s="42" t="e">
        <f t="shared" si="7"/>
        <v>#DIV/0!</v>
      </c>
      <c r="W61" s="42" t="e">
        <f t="shared" si="8"/>
        <v>#DIV/0!</v>
      </c>
    </row>
    <row r="62" spans="1:23" s="28" customFormat="1" ht="73.5" customHeight="1" x14ac:dyDescent="0.2">
      <c r="A62" s="30">
        <v>51</v>
      </c>
      <c r="B62" s="115" t="s">
        <v>110</v>
      </c>
      <c r="C62" s="116" t="s">
        <v>25</v>
      </c>
      <c r="D62" s="117">
        <v>20</v>
      </c>
      <c r="E62" s="118">
        <v>7.08</v>
      </c>
      <c r="F62" s="35"/>
      <c r="G62" s="32"/>
      <c r="H62" s="38"/>
      <c r="I62" s="57">
        <f t="shared" si="9"/>
        <v>0</v>
      </c>
      <c r="J62" s="57"/>
      <c r="K62" s="57"/>
      <c r="L62" s="57">
        <f t="shared" si="1"/>
        <v>0</v>
      </c>
      <c r="M62" s="57"/>
      <c r="N62" s="57"/>
      <c r="O62" s="57">
        <f t="shared" si="10"/>
        <v>0</v>
      </c>
      <c r="P62" s="39" t="e">
        <f t="shared" si="3"/>
        <v>#DIV/0!</v>
      </c>
      <c r="Q62" s="40" t="e">
        <f t="shared" si="4"/>
        <v>#DIV/0!</v>
      </c>
      <c r="R62" s="39">
        <f t="shared" si="5"/>
        <v>0</v>
      </c>
      <c r="S62" s="32"/>
      <c r="U62" s="42" t="e">
        <f t="shared" si="6"/>
        <v>#DIV/0!</v>
      </c>
      <c r="V62" s="42" t="e">
        <f t="shared" si="7"/>
        <v>#DIV/0!</v>
      </c>
      <c r="W62" s="42" t="e">
        <f t="shared" si="8"/>
        <v>#DIV/0!</v>
      </c>
    </row>
    <row r="63" spans="1:23" s="28" customFormat="1" ht="73.5" customHeight="1" x14ac:dyDescent="0.2">
      <c r="A63" s="30">
        <v>52</v>
      </c>
      <c r="B63" s="115" t="s">
        <v>111</v>
      </c>
      <c r="C63" s="116" t="s">
        <v>25</v>
      </c>
      <c r="D63" s="117">
        <v>480</v>
      </c>
      <c r="E63" s="118">
        <v>18.600000000000001</v>
      </c>
      <c r="F63" s="35"/>
      <c r="G63" s="32"/>
      <c r="H63" s="38"/>
      <c r="I63" s="57">
        <f t="shared" si="9"/>
        <v>0</v>
      </c>
      <c r="J63" s="57"/>
      <c r="K63" s="57"/>
      <c r="L63" s="57">
        <f t="shared" si="1"/>
        <v>0</v>
      </c>
      <c r="M63" s="57"/>
      <c r="N63" s="57"/>
      <c r="O63" s="57">
        <f t="shared" si="10"/>
        <v>0</v>
      </c>
      <c r="P63" s="39" t="e">
        <f t="shared" si="3"/>
        <v>#DIV/0!</v>
      </c>
      <c r="Q63" s="40" t="e">
        <f t="shared" si="4"/>
        <v>#DIV/0!</v>
      </c>
      <c r="R63" s="39">
        <f t="shared" si="5"/>
        <v>0</v>
      </c>
      <c r="S63" s="32"/>
      <c r="U63" s="42" t="e">
        <f t="shared" si="6"/>
        <v>#DIV/0!</v>
      </c>
      <c r="V63" s="42" t="e">
        <f t="shared" si="7"/>
        <v>#DIV/0!</v>
      </c>
      <c r="W63" s="42" t="e">
        <f t="shared" si="8"/>
        <v>#DIV/0!</v>
      </c>
    </row>
    <row r="64" spans="1:23" s="28" customFormat="1" ht="73.5" customHeight="1" x14ac:dyDescent="0.2">
      <c r="A64" s="30">
        <v>53</v>
      </c>
      <c r="B64" s="115" t="s">
        <v>113</v>
      </c>
      <c r="C64" s="116" t="s">
        <v>25</v>
      </c>
      <c r="D64" s="117">
        <v>40</v>
      </c>
      <c r="E64" s="118">
        <v>1.5</v>
      </c>
      <c r="F64" s="35"/>
      <c r="G64" s="32"/>
      <c r="H64" s="38"/>
      <c r="I64" s="57">
        <f t="shared" si="9"/>
        <v>0</v>
      </c>
      <c r="J64" s="57"/>
      <c r="K64" s="57"/>
      <c r="L64" s="57">
        <f t="shared" si="1"/>
        <v>0</v>
      </c>
      <c r="M64" s="57"/>
      <c r="N64" s="57"/>
      <c r="O64" s="57">
        <f t="shared" si="10"/>
        <v>0</v>
      </c>
      <c r="P64" s="39" t="e">
        <f t="shared" si="3"/>
        <v>#DIV/0!</v>
      </c>
      <c r="Q64" s="40" t="e">
        <f t="shared" si="4"/>
        <v>#DIV/0!</v>
      </c>
      <c r="R64" s="39">
        <f t="shared" si="5"/>
        <v>0</v>
      </c>
      <c r="S64" s="32"/>
      <c r="U64" s="42" t="e">
        <f t="shared" si="6"/>
        <v>#DIV/0!</v>
      </c>
      <c r="V64" s="42" t="e">
        <f t="shared" si="7"/>
        <v>#DIV/0!</v>
      </c>
      <c r="W64" s="42" t="e">
        <f t="shared" si="8"/>
        <v>#DIV/0!</v>
      </c>
    </row>
    <row r="65" spans="1:23" s="28" customFormat="1" ht="73.5" customHeight="1" x14ac:dyDescent="0.2">
      <c r="A65" s="30">
        <v>54</v>
      </c>
      <c r="B65" s="115" t="s">
        <v>114</v>
      </c>
      <c r="C65" s="116" t="s">
        <v>25</v>
      </c>
      <c r="D65" s="117">
        <v>30</v>
      </c>
      <c r="E65" s="118">
        <v>2.99</v>
      </c>
      <c r="F65" s="35"/>
      <c r="G65" s="32"/>
      <c r="H65" s="38"/>
      <c r="I65" s="57">
        <f t="shared" si="9"/>
        <v>0</v>
      </c>
      <c r="J65" s="57"/>
      <c r="K65" s="57"/>
      <c r="L65" s="57">
        <f t="shared" si="1"/>
        <v>0</v>
      </c>
      <c r="M65" s="57"/>
      <c r="N65" s="57"/>
      <c r="O65" s="57">
        <f t="shared" si="10"/>
        <v>0</v>
      </c>
      <c r="P65" s="39" t="e">
        <f t="shared" si="3"/>
        <v>#DIV/0!</v>
      </c>
      <c r="Q65" s="40" t="e">
        <f t="shared" si="4"/>
        <v>#DIV/0!</v>
      </c>
      <c r="R65" s="39">
        <f t="shared" si="5"/>
        <v>0</v>
      </c>
      <c r="S65" s="32"/>
      <c r="U65" s="42" t="e">
        <f t="shared" si="6"/>
        <v>#DIV/0!</v>
      </c>
      <c r="V65" s="42" t="e">
        <f t="shared" si="7"/>
        <v>#DIV/0!</v>
      </c>
      <c r="W65" s="42" t="e">
        <f t="shared" si="8"/>
        <v>#DIV/0!</v>
      </c>
    </row>
    <row r="66" spans="1:23" s="28" customFormat="1" ht="73.5" customHeight="1" x14ac:dyDescent="0.2">
      <c r="A66" s="30">
        <v>55</v>
      </c>
      <c r="B66" s="115" t="s">
        <v>520</v>
      </c>
      <c r="C66" s="116" t="s">
        <v>25</v>
      </c>
      <c r="D66" s="117">
        <v>69</v>
      </c>
      <c r="E66" s="118" t="s">
        <v>504</v>
      </c>
      <c r="F66" s="35"/>
      <c r="G66" s="119"/>
      <c r="H66" s="38"/>
      <c r="I66" s="38">
        <f t="shared" si="9"/>
        <v>0</v>
      </c>
      <c r="J66" s="32"/>
      <c r="K66" s="38"/>
      <c r="L66" s="38">
        <f t="shared" si="1"/>
        <v>0</v>
      </c>
      <c r="M66" s="32"/>
      <c r="N66" s="38"/>
      <c r="O66" s="120">
        <f t="shared" si="10"/>
        <v>0</v>
      </c>
      <c r="P66" s="39" t="e">
        <f t="shared" si="3"/>
        <v>#DIV/0!</v>
      </c>
      <c r="Q66" s="121" t="e">
        <f t="shared" si="4"/>
        <v>#DIV/0!</v>
      </c>
      <c r="R66" s="39">
        <f t="shared" si="5"/>
        <v>0</v>
      </c>
      <c r="S66" s="32"/>
      <c r="U66" s="42" t="e">
        <f t="shared" si="6"/>
        <v>#DIV/0!</v>
      </c>
      <c r="V66" s="42" t="e">
        <f t="shared" si="7"/>
        <v>#DIV/0!</v>
      </c>
      <c r="W66" s="42" t="e">
        <f t="shared" si="8"/>
        <v>#DIV/0!</v>
      </c>
    </row>
    <row r="67" spans="1:23" s="28" customFormat="1" ht="73.5" customHeight="1" x14ac:dyDescent="0.2">
      <c r="A67" s="30">
        <v>56</v>
      </c>
      <c r="B67" s="115" t="s">
        <v>521</v>
      </c>
      <c r="C67" s="116" t="s">
        <v>25</v>
      </c>
      <c r="D67" s="117">
        <v>150</v>
      </c>
      <c r="E67" s="118" t="s">
        <v>504</v>
      </c>
      <c r="F67" s="35"/>
      <c r="G67" s="119"/>
      <c r="H67" s="38"/>
      <c r="I67" s="38">
        <f t="shared" si="9"/>
        <v>0</v>
      </c>
      <c r="J67" s="32"/>
      <c r="K67" s="38"/>
      <c r="L67" s="38">
        <f t="shared" si="1"/>
        <v>0</v>
      </c>
      <c r="M67" s="32"/>
      <c r="N67" s="38"/>
      <c r="O67" s="120">
        <f t="shared" si="10"/>
        <v>0</v>
      </c>
      <c r="P67" s="39" t="e">
        <f t="shared" si="3"/>
        <v>#DIV/0!</v>
      </c>
      <c r="Q67" s="121" t="e">
        <f t="shared" si="4"/>
        <v>#DIV/0!</v>
      </c>
      <c r="R67" s="39">
        <f t="shared" si="5"/>
        <v>0</v>
      </c>
      <c r="S67" s="32"/>
      <c r="U67" s="42" t="e">
        <f t="shared" si="6"/>
        <v>#DIV/0!</v>
      </c>
      <c r="V67" s="42" t="e">
        <f t="shared" si="7"/>
        <v>#DIV/0!</v>
      </c>
      <c r="W67" s="42" t="e">
        <f t="shared" si="8"/>
        <v>#DIV/0!</v>
      </c>
    </row>
    <row r="68" spans="1:23" s="28" customFormat="1" ht="73.5" customHeight="1" x14ac:dyDescent="0.2">
      <c r="A68" s="30">
        <v>57</v>
      </c>
      <c r="B68" s="115" t="s">
        <v>522</v>
      </c>
      <c r="C68" s="116" t="s">
        <v>25</v>
      </c>
      <c r="D68" s="117">
        <v>100</v>
      </c>
      <c r="E68" s="118">
        <v>1.5</v>
      </c>
      <c r="F68" s="35"/>
      <c r="G68" s="32"/>
      <c r="H68" s="38"/>
      <c r="I68" s="57">
        <f t="shared" si="9"/>
        <v>0</v>
      </c>
      <c r="J68" s="57"/>
      <c r="K68" s="57"/>
      <c r="L68" s="57">
        <f t="shared" si="1"/>
        <v>0</v>
      </c>
      <c r="M68" s="57"/>
      <c r="N68" s="57"/>
      <c r="O68" s="57">
        <f t="shared" si="10"/>
        <v>0</v>
      </c>
      <c r="P68" s="39" t="e">
        <f t="shared" si="3"/>
        <v>#DIV/0!</v>
      </c>
      <c r="Q68" s="40" t="e">
        <f t="shared" si="4"/>
        <v>#DIV/0!</v>
      </c>
      <c r="R68" s="39">
        <f t="shared" si="5"/>
        <v>0</v>
      </c>
      <c r="S68" s="32"/>
      <c r="U68" s="42" t="e">
        <f t="shared" si="6"/>
        <v>#DIV/0!</v>
      </c>
      <c r="V68" s="42" t="e">
        <f t="shared" si="7"/>
        <v>#DIV/0!</v>
      </c>
      <c r="W68" s="42" t="e">
        <f t="shared" si="8"/>
        <v>#DIV/0!</v>
      </c>
    </row>
    <row r="69" spans="1:23" s="28" customFormat="1" ht="73.5" customHeight="1" x14ac:dyDescent="0.2">
      <c r="A69" s="30">
        <v>58</v>
      </c>
      <c r="B69" s="115" t="s">
        <v>523</v>
      </c>
      <c r="C69" s="116" t="s">
        <v>25</v>
      </c>
      <c r="D69" s="117">
        <v>275</v>
      </c>
      <c r="E69" s="118">
        <v>2.99</v>
      </c>
      <c r="F69" s="35"/>
      <c r="G69" s="32"/>
      <c r="H69" s="38"/>
      <c r="I69" s="57">
        <f t="shared" si="9"/>
        <v>0</v>
      </c>
      <c r="J69" s="57"/>
      <c r="K69" s="57"/>
      <c r="L69" s="57">
        <f t="shared" si="1"/>
        <v>0</v>
      </c>
      <c r="M69" s="57"/>
      <c r="N69" s="57"/>
      <c r="O69" s="57">
        <f t="shared" si="10"/>
        <v>0</v>
      </c>
      <c r="P69" s="39" t="e">
        <f t="shared" si="3"/>
        <v>#DIV/0!</v>
      </c>
      <c r="Q69" s="40" t="e">
        <f t="shared" si="4"/>
        <v>#DIV/0!</v>
      </c>
      <c r="R69" s="39">
        <f t="shared" si="5"/>
        <v>0</v>
      </c>
      <c r="S69" s="32"/>
      <c r="U69" s="42" t="e">
        <f t="shared" si="6"/>
        <v>#DIV/0!</v>
      </c>
      <c r="V69" s="42" t="e">
        <f t="shared" si="7"/>
        <v>#DIV/0!</v>
      </c>
      <c r="W69" s="42" t="e">
        <f t="shared" si="8"/>
        <v>#DIV/0!</v>
      </c>
    </row>
    <row r="70" spans="1:23" s="28" customFormat="1" ht="60" customHeight="1" x14ac:dyDescent="0.2">
      <c r="A70" s="30">
        <v>59</v>
      </c>
      <c r="B70" s="115" t="s">
        <v>524</v>
      </c>
      <c r="C70" s="116" t="s">
        <v>25</v>
      </c>
      <c r="D70" s="117">
        <v>7</v>
      </c>
      <c r="E70" s="118" t="s">
        <v>504</v>
      </c>
      <c r="F70" s="35"/>
      <c r="G70" s="32"/>
      <c r="H70" s="38"/>
      <c r="I70" s="57">
        <f t="shared" si="9"/>
        <v>0</v>
      </c>
      <c r="J70" s="57"/>
      <c r="K70" s="57"/>
      <c r="L70" s="57">
        <f t="shared" si="1"/>
        <v>0</v>
      </c>
      <c r="M70" s="57"/>
      <c r="N70" s="57"/>
      <c r="O70" s="57">
        <f t="shared" si="10"/>
        <v>0</v>
      </c>
      <c r="P70" s="39" t="e">
        <f t="shared" si="3"/>
        <v>#DIV/0!</v>
      </c>
      <c r="Q70" s="40" t="e">
        <f t="shared" si="4"/>
        <v>#DIV/0!</v>
      </c>
      <c r="R70" s="39">
        <f t="shared" si="5"/>
        <v>0</v>
      </c>
      <c r="S70" s="32"/>
      <c r="U70" s="42" t="e">
        <f t="shared" si="6"/>
        <v>#DIV/0!</v>
      </c>
      <c r="V70" s="42" t="e">
        <f t="shared" si="7"/>
        <v>#DIV/0!</v>
      </c>
      <c r="W70" s="42" t="e">
        <f t="shared" si="8"/>
        <v>#DIV/0!</v>
      </c>
    </row>
    <row r="71" spans="1:23" s="28" customFormat="1" ht="73.5" customHeight="1" x14ac:dyDescent="0.2">
      <c r="A71" s="30">
        <v>60</v>
      </c>
      <c r="B71" s="115" t="s">
        <v>525</v>
      </c>
      <c r="C71" s="116" t="s">
        <v>147</v>
      </c>
      <c r="D71" s="117">
        <v>20</v>
      </c>
      <c r="E71" s="118" t="s">
        <v>504</v>
      </c>
      <c r="F71" s="35"/>
      <c r="G71" s="32"/>
      <c r="H71" s="38"/>
      <c r="I71" s="57">
        <f t="shared" si="9"/>
        <v>0</v>
      </c>
      <c r="J71" s="57"/>
      <c r="K71" s="57"/>
      <c r="L71" s="57">
        <f t="shared" si="1"/>
        <v>0</v>
      </c>
      <c r="M71" s="57"/>
      <c r="N71" s="57"/>
      <c r="O71" s="57">
        <f t="shared" si="10"/>
        <v>0</v>
      </c>
      <c r="P71" s="39" t="e">
        <f t="shared" si="3"/>
        <v>#DIV/0!</v>
      </c>
      <c r="Q71" s="40" t="e">
        <f t="shared" si="4"/>
        <v>#DIV/0!</v>
      </c>
      <c r="R71" s="39">
        <f t="shared" si="5"/>
        <v>0</v>
      </c>
      <c r="S71" s="32"/>
      <c r="U71" s="42" t="e">
        <f t="shared" si="6"/>
        <v>#DIV/0!</v>
      </c>
      <c r="V71" s="42" t="e">
        <f t="shared" si="7"/>
        <v>#DIV/0!</v>
      </c>
      <c r="W71" s="42" t="e">
        <f t="shared" si="8"/>
        <v>#DIV/0!</v>
      </c>
    </row>
    <row r="72" spans="1:23" s="28" customFormat="1" ht="71.25" customHeight="1" x14ac:dyDescent="0.2">
      <c r="A72" s="30">
        <v>61</v>
      </c>
      <c r="B72" s="115" t="s">
        <v>526</v>
      </c>
      <c r="C72" s="116" t="s">
        <v>25</v>
      </c>
      <c r="D72" s="117">
        <v>25</v>
      </c>
      <c r="E72" s="118"/>
      <c r="F72" s="35"/>
      <c r="G72" s="32"/>
      <c r="H72" s="38"/>
      <c r="I72" s="57">
        <f t="shared" si="9"/>
        <v>0</v>
      </c>
      <c r="J72" s="57"/>
      <c r="K72" s="57"/>
      <c r="L72" s="57">
        <f t="shared" si="1"/>
        <v>0</v>
      </c>
      <c r="M72" s="57"/>
      <c r="N72" s="57"/>
      <c r="O72" s="57">
        <f t="shared" si="10"/>
        <v>0</v>
      </c>
      <c r="P72" s="39" t="e">
        <f t="shared" si="3"/>
        <v>#DIV/0!</v>
      </c>
      <c r="Q72" s="40" t="e">
        <f t="shared" si="4"/>
        <v>#DIV/0!</v>
      </c>
      <c r="R72" s="39">
        <f t="shared" si="5"/>
        <v>0</v>
      </c>
      <c r="S72" s="32"/>
      <c r="U72" s="42" t="e">
        <f t="shared" si="6"/>
        <v>#DIV/0!</v>
      </c>
      <c r="V72" s="42" t="e">
        <f t="shared" si="7"/>
        <v>#DIV/0!</v>
      </c>
      <c r="W72" s="42" t="e">
        <f t="shared" si="8"/>
        <v>#DIV/0!</v>
      </c>
    </row>
    <row r="73" spans="1:23" s="28" customFormat="1" ht="73.5" customHeight="1" x14ac:dyDescent="0.2">
      <c r="A73" s="30">
        <v>62</v>
      </c>
      <c r="B73" s="115" t="s">
        <v>527</v>
      </c>
      <c r="C73" s="116" t="s">
        <v>118</v>
      </c>
      <c r="D73" s="117">
        <v>60</v>
      </c>
      <c r="E73" s="118"/>
      <c r="F73" s="35"/>
      <c r="G73" s="32"/>
      <c r="H73" s="38"/>
      <c r="I73" s="57">
        <f t="shared" si="9"/>
        <v>0</v>
      </c>
      <c r="J73" s="57"/>
      <c r="K73" s="57"/>
      <c r="L73" s="57">
        <f t="shared" si="1"/>
        <v>0</v>
      </c>
      <c r="M73" s="57"/>
      <c r="N73" s="57"/>
      <c r="O73" s="57">
        <f t="shared" si="10"/>
        <v>0</v>
      </c>
      <c r="P73" s="39" t="e">
        <f t="shared" si="3"/>
        <v>#DIV/0!</v>
      </c>
      <c r="Q73" s="40" t="e">
        <f t="shared" si="4"/>
        <v>#DIV/0!</v>
      </c>
      <c r="R73" s="39">
        <f t="shared" si="5"/>
        <v>0</v>
      </c>
      <c r="S73" s="32"/>
      <c r="U73" s="42" t="e">
        <f t="shared" si="6"/>
        <v>#DIV/0!</v>
      </c>
      <c r="V73" s="42" t="e">
        <f t="shared" si="7"/>
        <v>#DIV/0!</v>
      </c>
      <c r="W73" s="42" t="e">
        <f t="shared" si="8"/>
        <v>#DIV/0!</v>
      </c>
    </row>
    <row r="74" spans="1:23" s="28" customFormat="1" ht="73.5" customHeight="1" x14ac:dyDescent="0.2">
      <c r="A74" s="30">
        <v>63</v>
      </c>
      <c r="B74" s="115" t="s">
        <v>528</v>
      </c>
      <c r="C74" s="116" t="s">
        <v>25</v>
      </c>
      <c r="D74" s="117">
        <v>12</v>
      </c>
      <c r="E74" s="118"/>
      <c r="F74" s="35"/>
      <c r="G74" s="119"/>
      <c r="H74" s="38"/>
      <c r="I74" s="38">
        <f t="shared" si="9"/>
        <v>0</v>
      </c>
      <c r="J74" s="32"/>
      <c r="K74" s="38"/>
      <c r="L74" s="38">
        <f t="shared" si="1"/>
        <v>0</v>
      </c>
      <c r="M74" s="32"/>
      <c r="N74" s="38"/>
      <c r="O74" s="120">
        <f t="shared" si="10"/>
        <v>0</v>
      </c>
      <c r="P74" s="39" t="e">
        <f t="shared" si="3"/>
        <v>#DIV/0!</v>
      </c>
      <c r="Q74" s="121" t="e">
        <f t="shared" si="4"/>
        <v>#DIV/0!</v>
      </c>
      <c r="R74" s="39">
        <f t="shared" si="5"/>
        <v>0</v>
      </c>
      <c r="S74" s="32"/>
      <c r="U74" s="42" t="e">
        <f t="shared" si="6"/>
        <v>#DIV/0!</v>
      </c>
      <c r="V74" s="42" t="e">
        <f t="shared" si="7"/>
        <v>#DIV/0!</v>
      </c>
      <c r="W74" s="42" t="e">
        <f t="shared" si="8"/>
        <v>#DIV/0!</v>
      </c>
    </row>
    <row r="75" spans="1:23" s="28" customFormat="1" ht="73.5" customHeight="1" x14ac:dyDescent="0.2">
      <c r="A75" s="30">
        <v>64</v>
      </c>
      <c r="B75" s="115" t="s">
        <v>529</v>
      </c>
      <c r="C75" s="116" t="s">
        <v>25</v>
      </c>
      <c r="D75" s="117">
        <v>75</v>
      </c>
      <c r="E75" s="122"/>
      <c r="F75" s="35"/>
      <c r="G75" s="119"/>
      <c r="H75" s="38"/>
      <c r="I75" s="38">
        <f t="shared" si="9"/>
        <v>0</v>
      </c>
      <c r="J75" s="32"/>
      <c r="K75" s="38"/>
      <c r="L75" s="38">
        <f t="shared" si="1"/>
        <v>0</v>
      </c>
      <c r="M75" s="32"/>
      <c r="N75" s="38"/>
      <c r="O75" s="120">
        <f t="shared" si="10"/>
        <v>0</v>
      </c>
      <c r="P75" s="39" t="e">
        <f t="shared" si="3"/>
        <v>#DIV/0!</v>
      </c>
      <c r="Q75" s="121" t="e">
        <f t="shared" si="4"/>
        <v>#DIV/0!</v>
      </c>
      <c r="R75" s="39">
        <f t="shared" si="5"/>
        <v>0</v>
      </c>
      <c r="S75" s="32"/>
      <c r="U75" s="42" t="e">
        <f t="shared" si="6"/>
        <v>#DIV/0!</v>
      </c>
      <c r="V75" s="42" t="e">
        <f t="shared" si="7"/>
        <v>#DIV/0!</v>
      </c>
      <c r="W75" s="42" t="e">
        <f t="shared" si="8"/>
        <v>#DIV/0!</v>
      </c>
    </row>
    <row r="76" spans="1:23" s="28" customFormat="1" ht="73.5" customHeight="1" x14ac:dyDescent="0.2">
      <c r="A76" s="30">
        <v>65</v>
      </c>
      <c r="B76" s="115" t="s">
        <v>123</v>
      </c>
      <c r="C76" s="116" t="s">
        <v>25</v>
      </c>
      <c r="D76" s="117">
        <v>10</v>
      </c>
      <c r="E76" s="122"/>
      <c r="F76" s="35"/>
      <c r="G76" s="119"/>
      <c r="H76" s="38"/>
      <c r="I76" s="38">
        <f t="shared" ref="I76:I107" si="11">D76*H76</f>
        <v>0</v>
      </c>
      <c r="J76" s="32"/>
      <c r="K76" s="38"/>
      <c r="L76" s="38">
        <f t="shared" ref="L76:L139" si="12">D76*K76</f>
        <v>0</v>
      </c>
      <c r="M76" s="32"/>
      <c r="N76" s="38"/>
      <c r="O76" s="120">
        <f t="shared" ref="O76:O103" si="13">D76*N76</f>
        <v>0</v>
      </c>
      <c r="P76" s="39" t="e">
        <f t="shared" ref="P76:P139" si="14">AVERAGE(H76,K76,N76)</f>
        <v>#DIV/0!</v>
      </c>
      <c r="Q76" s="121" t="e">
        <f t="shared" ref="Q76:Q139" si="15">F76*100/P76-100</f>
        <v>#DIV/0!</v>
      </c>
      <c r="R76" s="39">
        <f t="shared" ref="R76:R139" si="16">D76*F76</f>
        <v>0</v>
      </c>
      <c r="S76" s="32"/>
      <c r="U76" s="42" t="e">
        <f t="shared" ref="U76:U139" si="17">ROUND(H76*100/P76-100,0)</f>
        <v>#DIV/0!</v>
      </c>
      <c r="V76" s="42" t="e">
        <f t="shared" ref="V76:V139" si="18">ROUND(K76*100/P76-100,0)</f>
        <v>#DIV/0!</v>
      </c>
      <c r="W76" s="42" t="e">
        <f t="shared" ref="W76:W139" si="19">ROUND(N76*100/P76-100,0)</f>
        <v>#DIV/0!</v>
      </c>
    </row>
    <row r="77" spans="1:23" s="28" customFormat="1" ht="73.5" customHeight="1" x14ac:dyDescent="0.2">
      <c r="A77" s="30">
        <v>66</v>
      </c>
      <c r="B77" s="115" t="s">
        <v>124</v>
      </c>
      <c r="C77" s="116" t="s">
        <v>25</v>
      </c>
      <c r="D77" s="117">
        <v>3</v>
      </c>
      <c r="E77" s="122"/>
      <c r="F77" s="35"/>
      <c r="G77" s="32"/>
      <c r="H77" s="38"/>
      <c r="I77" s="57">
        <f t="shared" si="11"/>
        <v>0</v>
      </c>
      <c r="J77" s="57"/>
      <c r="K77" s="57"/>
      <c r="L77" s="57">
        <f t="shared" si="12"/>
        <v>0</v>
      </c>
      <c r="M77" s="57"/>
      <c r="N77" s="57"/>
      <c r="O77" s="57">
        <f t="shared" si="13"/>
        <v>0</v>
      </c>
      <c r="P77" s="39" t="e">
        <f t="shared" si="14"/>
        <v>#DIV/0!</v>
      </c>
      <c r="Q77" s="40" t="e">
        <f t="shared" si="15"/>
        <v>#DIV/0!</v>
      </c>
      <c r="R77" s="39">
        <f t="shared" si="16"/>
        <v>0</v>
      </c>
      <c r="S77" s="32"/>
      <c r="U77" s="42" t="e">
        <f t="shared" si="17"/>
        <v>#DIV/0!</v>
      </c>
      <c r="V77" s="42" t="e">
        <f t="shared" si="18"/>
        <v>#DIV/0!</v>
      </c>
      <c r="W77" s="42" t="e">
        <f t="shared" si="19"/>
        <v>#DIV/0!</v>
      </c>
    </row>
    <row r="78" spans="1:23" s="28" customFormat="1" ht="73.5" customHeight="1" x14ac:dyDescent="0.2">
      <c r="A78" s="30">
        <v>67</v>
      </c>
      <c r="B78" s="115" t="s">
        <v>125</v>
      </c>
      <c r="C78" s="116" t="s">
        <v>25</v>
      </c>
      <c r="D78" s="117">
        <v>15</v>
      </c>
      <c r="E78" s="122"/>
      <c r="F78" s="35"/>
      <c r="G78" s="32"/>
      <c r="H78" s="38"/>
      <c r="I78" s="57">
        <f t="shared" si="11"/>
        <v>0</v>
      </c>
      <c r="J78" s="57"/>
      <c r="K78" s="57"/>
      <c r="L78" s="57">
        <f t="shared" si="12"/>
        <v>0</v>
      </c>
      <c r="M78" s="57"/>
      <c r="N78" s="57"/>
      <c r="O78" s="57">
        <f t="shared" si="13"/>
        <v>0</v>
      </c>
      <c r="P78" s="39" t="e">
        <f t="shared" si="14"/>
        <v>#DIV/0!</v>
      </c>
      <c r="Q78" s="40" t="e">
        <f t="shared" si="15"/>
        <v>#DIV/0!</v>
      </c>
      <c r="R78" s="39">
        <f t="shared" si="16"/>
        <v>0</v>
      </c>
      <c r="S78" s="32"/>
      <c r="U78" s="42" t="e">
        <f t="shared" si="17"/>
        <v>#DIV/0!</v>
      </c>
      <c r="V78" s="42" t="e">
        <f t="shared" si="18"/>
        <v>#DIV/0!</v>
      </c>
      <c r="W78" s="42" t="e">
        <f t="shared" si="19"/>
        <v>#DIV/0!</v>
      </c>
    </row>
    <row r="79" spans="1:23" s="28" customFormat="1" ht="73.5" customHeight="1" x14ac:dyDescent="0.2">
      <c r="A79" s="30">
        <v>68</v>
      </c>
      <c r="B79" s="115" t="s">
        <v>126</v>
      </c>
      <c r="C79" s="116" t="s">
        <v>25</v>
      </c>
      <c r="D79" s="117">
        <v>12</v>
      </c>
      <c r="E79" s="122"/>
      <c r="F79" s="35"/>
      <c r="G79" s="32"/>
      <c r="H79" s="38"/>
      <c r="I79" s="57">
        <f t="shared" si="11"/>
        <v>0</v>
      </c>
      <c r="J79" s="57"/>
      <c r="K79" s="57"/>
      <c r="L79" s="57">
        <f t="shared" si="12"/>
        <v>0</v>
      </c>
      <c r="M79" s="57"/>
      <c r="N79" s="57"/>
      <c r="O79" s="57">
        <f t="shared" si="13"/>
        <v>0</v>
      </c>
      <c r="P79" s="39" t="e">
        <f t="shared" si="14"/>
        <v>#DIV/0!</v>
      </c>
      <c r="Q79" s="40" t="e">
        <f t="shared" si="15"/>
        <v>#DIV/0!</v>
      </c>
      <c r="R79" s="39">
        <f t="shared" si="16"/>
        <v>0</v>
      </c>
      <c r="S79" s="32"/>
      <c r="U79" s="42" t="e">
        <f t="shared" si="17"/>
        <v>#DIV/0!</v>
      </c>
      <c r="V79" s="42" t="e">
        <f t="shared" si="18"/>
        <v>#DIV/0!</v>
      </c>
      <c r="W79" s="42" t="e">
        <f t="shared" si="19"/>
        <v>#DIV/0!</v>
      </c>
    </row>
    <row r="80" spans="1:23" s="28" customFormat="1" ht="73.5" customHeight="1" x14ac:dyDescent="0.2">
      <c r="A80" s="30">
        <v>69</v>
      </c>
      <c r="B80" s="115" t="s">
        <v>127</v>
      </c>
      <c r="C80" s="116" t="s">
        <v>25</v>
      </c>
      <c r="D80" s="117">
        <v>10</v>
      </c>
      <c r="E80" s="122"/>
      <c r="F80" s="35"/>
      <c r="G80" s="32"/>
      <c r="H80" s="38"/>
      <c r="I80" s="38">
        <f t="shared" si="11"/>
        <v>0</v>
      </c>
      <c r="J80" s="32"/>
      <c r="K80" s="38"/>
      <c r="L80" s="38">
        <f t="shared" si="12"/>
        <v>0</v>
      </c>
      <c r="M80" s="38"/>
      <c r="N80" s="38"/>
      <c r="O80" s="38">
        <f t="shared" si="13"/>
        <v>0</v>
      </c>
      <c r="P80" s="39" t="e">
        <f t="shared" si="14"/>
        <v>#DIV/0!</v>
      </c>
      <c r="Q80" s="40" t="e">
        <f t="shared" si="15"/>
        <v>#DIV/0!</v>
      </c>
      <c r="R80" s="39">
        <f t="shared" si="16"/>
        <v>0</v>
      </c>
      <c r="S80" s="32"/>
      <c r="U80" s="42" t="e">
        <f t="shared" si="17"/>
        <v>#DIV/0!</v>
      </c>
      <c r="V80" s="42" t="e">
        <f t="shared" si="18"/>
        <v>#DIV/0!</v>
      </c>
      <c r="W80" s="42" t="e">
        <f t="shared" si="19"/>
        <v>#DIV/0!</v>
      </c>
    </row>
    <row r="81" spans="1:23" s="28" customFormat="1" ht="73.5" customHeight="1" x14ac:dyDescent="0.2">
      <c r="A81" s="30">
        <v>70</v>
      </c>
      <c r="B81" s="115" t="s">
        <v>128</v>
      </c>
      <c r="C81" s="116" t="s">
        <v>25</v>
      </c>
      <c r="D81" s="117">
        <v>70</v>
      </c>
      <c r="E81" s="122"/>
      <c r="F81" s="35"/>
      <c r="G81" s="32"/>
      <c r="H81" s="38"/>
      <c r="I81" s="38">
        <f t="shared" si="11"/>
        <v>0</v>
      </c>
      <c r="J81" s="32"/>
      <c r="K81" s="38"/>
      <c r="L81" s="38">
        <f t="shared" si="12"/>
        <v>0</v>
      </c>
      <c r="M81" s="38"/>
      <c r="N81" s="38"/>
      <c r="O81" s="38">
        <f t="shared" si="13"/>
        <v>0</v>
      </c>
      <c r="P81" s="39" t="e">
        <f t="shared" si="14"/>
        <v>#DIV/0!</v>
      </c>
      <c r="Q81" s="40" t="e">
        <f t="shared" si="15"/>
        <v>#DIV/0!</v>
      </c>
      <c r="R81" s="39">
        <f t="shared" si="16"/>
        <v>0</v>
      </c>
      <c r="S81" s="32"/>
      <c r="U81" s="42" t="e">
        <f t="shared" si="17"/>
        <v>#DIV/0!</v>
      </c>
      <c r="V81" s="42" t="e">
        <f t="shared" si="18"/>
        <v>#DIV/0!</v>
      </c>
      <c r="W81" s="42" t="e">
        <f t="shared" si="19"/>
        <v>#DIV/0!</v>
      </c>
    </row>
    <row r="82" spans="1:23" s="28" customFormat="1" ht="73.5" customHeight="1" x14ac:dyDescent="0.2">
      <c r="A82" s="30">
        <v>71</v>
      </c>
      <c r="B82" s="115" t="s">
        <v>129</v>
      </c>
      <c r="C82" s="116" t="s">
        <v>25</v>
      </c>
      <c r="D82" s="117">
        <v>5</v>
      </c>
      <c r="E82" s="122"/>
      <c r="F82" s="35"/>
      <c r="G82" s="32"/>
      <c r="H82" s="38"/>
      <c r="I82" s="38">
        <f t="shared" si="11"/>
        <v>0</v>
      </c>
      <c r="J82" s="32"/>
      <c r="K82" s="38"/>
      <c r="L82" s="38">
        <f t="shared" si="12"/>
        <v>0</v>
      </c>
      <c r="M82" s="38"/>
      <c r="N82" s="38"/>
      <c r="O82" s="38">
        <f t="shared" si="13"/>
        <v>0</v>
      </c>
      <c r="P82" s="39" t="e">
        <f t="shared" si="14"/>
        <v>#DIV/0!</v>
      </c>
      <c r="Q82" s="40" t="e">
        <f t="shared" si="15"/>
        <v>#DIV/0!</v>
      </c>
      <c r="R82" s="39">
        <f t="shared" si="16"/>
        <v>0</v>
      </c>
      <c r="S82" s="32"/>
      <c r="U82" s="42" t="e">
        <f t="shared" si="17"/>
        <v>#DIV/0!</v>
      </c>
      <c r="V82" s="42" t="e">
        <f t="shared" si="18"/>
        <v>#DIV/0!</v>
      </c>
      <c r="W82" s="42" t="e">
        <f t="shared" si="19"/>
        <v>#DIV/0!</v>
      </c>
    </row>
    <row r="83" spans="1:23" s="28" customFormat="1" ht="73.5" customHeight="1" x14ac:dyDescent="0.2">
      <c r="A83" s="30">
        <v>72</v>
      </c>
      <c r="B83" s="115" t="s">
        <v>530</v>
      </c>
      <c r="C83" s="116" t="s">
        <v>25</v>
      </c>
      <c r="D83" s="117">
        <v>25</v>
      </c>
      <c r="E83" s="122"/>
      <c r="F83" s="35"/>
      <c r="G83" s="32"/>
      <c r="H83" s="38"/>
      <c r="I83" s="38">
        <f t="shared" si="11"/>
        <v>0</v>
      </c>
      <c r="J83" s="32"/>
      <c r="K83" s="38"/>
      <c r="L83" s="38">
        <f t="shared" si="12"/>
        <v>0</v>
      </c>
      <c r="M83" s="38"/>
      <c r="N83" s="38"/>
      <c r="O83" s="38">
        <f t="shared" si="13"/>
        <v>0</v>
      </c>
      <c r="P83" s="39" t="e">
        <f t="shared" si="14"/>
        <v>#DIV/0!</v>
      </c>
      <c r="Q83" s="40" t="e">
        <f t="shared" si="15"/>
        <v>#DIV/0!</v>
      </c>
      <c r="R83" s="39">
        <f t="shared" si="16"/>
        <v>0</v>
      </c>
      <c r="S83" s="32"/>
      <c r="U83" s="42" t="e">
        <f t="shared" si="17"/>
        <v>#DIV/0!</v>
      </c>
      <c r="V83" s="42" t="e">
        <f t="shared" si="18"/>
        <v>#DIV/0!</v>
      </c>
      <c r="W83" s="42" t="e">
        <f t="shared" si="19"/>
        <v>#DIV/0!</v>
      </c>
    </row>
    <row r="84" spans="1:23" s="28" customFormat="1" ht="73.5" customHeight="1" x14ac:dyDescent="0.2">
      <c r="A84" s="30">
        <v>73</v>
      </c>
      <c r="B84" s="115" t="s">
        <v>531</v>
      </c>
      <c r="C84" s="116" t="s">
        <v>25</v>
      </c>
      <c r="D84" s="117">
        <v>500</v>
      </c>
      <c r="E84" s="122"/>
      <c r="F84" s="35"/>
      <c r="G84" s="32"/>
      <c r="H84" s="38"/>
      <c r="I84" s="38">
        <f t="shared" si="11"/>
        <v>0</v>
      </c>
      <c r="J84" s="32"/>
      <c r="K84" s="38"/>
      <c r="L84" s="38">
        <f t="shared" si="12"/>
        <v>0</v>
      </c>
      <c r="M84" s="38"/>
      <c r="N84" s="38"/>
      <c r="O84" s="38">
        <f t="shared" si="13"/>
        <v>0</v>
      </c>
      <c r="P84" s="39" t="e">
        <f t="shared" si="14"/>
        <v>#DIV/0!</v>
      </c>
      <c r="Q84" s="40" t="e">
        <f t="shared" si="15"/>
        <v>#DIV/0!</v>
      </c>
      <c r="R84" s="39">
        <f t="shared" si="16"/>
        <v>0</v>
      </c>
      <c r="S84" s="32"/>
      <c r="U84" s="42" t="e">
        <f t="shared" si="17"/>
        <v>#DIV/0!</v>
      </c>
      <c r="V84" s="42" t="e">
        <f t="shared" si="18"/>
        <v>#DIV/0!</v>
      </c>
      <c r="W84" s="42" t="e">
        <f t="shared" si="19"/>
        <v>#DIV/0!</v>
      </c>
    </row>
    <row r="85" spans="1:23" s="28" customFormat="1" ht="73.5" customHeight="1" x14ac:dyDescent="0.2">
      <c r="A85" s="30">
        <v>74</v>
      </c>
      <c r="B85" s="115" t="s">
        <v>130</v>
      </c>
      <c r="C85" s="116" t="s">
        <v>25</v>
      </c>
      <c r="D85" s="117">
        <v>7250</v>
      </c>
      <c r="E85" s="122"/>
      <c r="F85" s="35"/>
      <c r="G85" s="32"/>
      <c r="H85" s="38"/>
      <c r="I85" s="38">
        <f t="shared" si="11"/>
        <v>0</v>
      </c>
      <c r="J85" s="32"/>
      <c r="K85" s="38"/>
      <c r="L85" s="38">
        <f t="shared" si="12"/>
        <v>0</v>
      </c>
      <c r="M85" s="38"/>
      <c r="N85" s="38"/>
      <c r="O85" s="38">
        <f t="shared" si="13"/>
        <v>0</v>
      </c>
      <c r="P85" s="39" t="e">
        <f t="shared" si="14"/>
        <v>#DIV/0!</v>
      </c>
      <c r="Q85" s="40" t="e">
        <f t="shared" si="15"/>
        <v>#DIV/0!</v>
      </c>
      <c r="R85" s="39">
        <f t="shared" si="16"/>
        <v>0</v>
      </c>
      <c r="S85" s="32"/>
      <c r="U85" s="42" t="e">
        <f t="shared" si="17"/>
        <v>#DIV/0!</v>
      </c>
      <c r="V85" s="42" t="e">
        <f t="shared" si="18"/>
        <v>#DIV/0!</v>
      </c>
      <c r="W85" s="42" t="e">
        <f t="shared" si="19"/>
        <v>#DIV/0!</v>
      </c>
    </row>
    <row r="86" spans="1:23" s="28" customFormat="1" ht="73.5" customHeight="1" x14ac:dyDescent="0.2">
      <c r="A86" s="30">
        <v>75</v>
      </c>
      <c r="B86" s="115" t="s">
        <v>132</v>
      </c>
      <c r="C86" s="116" t="s">
        <v>25</v>
      </c>
      <c r="D86" s="117">
        <v>17</v>
      </c>
      <c r="E86" s="122"/>
      <c r="F86" s="35"/>
      <c r="G86" s="32"/>
      <c r="H86" s="38"/>
      <c r="I86" s="38">
        <f t="shared" si="11"/>
        <v>0</v>
      </c>
      <c r="J86" s="32"/>
      <c r="K86" s="38"/>
      <c r="L86" s="38">
        <f t="shared" si="12"/>
        <v>0</v>
      </c>
      <c r="M86" s="38"/>
      <c r="N86" s="38"/>
      <c r="O86" s="38">
        <f t="shared" si="13"/>
        <v>0</v>
      </c>
      <c r="P86" s="39" t="e">
        <f t="shared" si="14"/>
        <v>#DIV/0!</v>
      </c>
      <c r="Q86" s="40" t="e">
        <f t="shared" si="15"/>
        <v>#DIV/0!</v>
      </c>
      <c r="R86" s="39">
        <f t="shared" si="16"/>
        <v>0</v>
      </c>
      <c r="S86" s="32"/>
      <c r="U86" s="42" t="e">
        <f t="shared" si="17"/>
        <v>#DIV/0!</v>
      </c>
      <c r="V86" s="42" t="e">
        <f t="shared" si="18"/>
        <v>#DIV/0!</v>
      </c>
      <c r="W86" s="42" t="e">
        <f t="shared" si="19"/>
        <v>#DIV/0!</v>
      </c>
    </row>
    <row r="87" spans="1:23" s="28" customFormat="1" ht="73.5" customHeight="1" x14ac:dyDescent="0.2">
      <c r="A87" s="30">
        <v>76</v>
      </c>
      <c r="B87" s="115" t="s">
        <v>134</v>
      </c>
      <c r="C87" s="116" t="s">
        <v>25</v>
      </c>
      <c r="D87" s="117">
        <v>100</v>
      </c>
      <c r="E87" s="122"/>
      <c r="F87" s="35"/>
      <c r="G87" s="32"/>
      <c r="H87" s="38"/>
      <c r="I87" s="57">
        <f t="shared" si="11"/>
        <v>0</v>
      </c>
      <c r="J87" s="57"/>
      <c r="K87" s="57"/>
      <c r="L87" s="57">
        <f t="shared" si="12"/>
        <v>0</v>
      </c>
      <c r="M87" s="57"/>
      <c r="N87" s="57"/>
      <c r="O87" s="57">
        <f t="shared" si="13"/>
        <v>0</v>
      </c>
      <c r="P87" s="39" t="e">
        <f t="shared" si="14"/>
        <v>#DIV/0!</v>
      </c>
      <c r="Q87" s="40" t="e">
        <f t="shared" si="15"/>
        <v>#DIV/0!</v>
      </c>
      <c r="R87" s="39">
        <f t="shared" si="16"/>
        <v>0</v>
      </c>
      <c r="S87" s="32"/>
      <c r="U87" s="42" t="e">
        <f t="shared" si="17"/>
        <v>#DIV/0!</v>
      </c>
      <c r="V87" s="42" t="e">
        <f t="shared" si="18"/>
        <v>#DIV/0!</v>
      </c>
      <c r="W87" s="42" t="e">
        <f t="shared" si="19"/>
        <v>#DIV/0!</v>
      </c>
    </row>
    <row r="88" spans="1:23" s="28" customFormat="1" ht="73.5" customHeight="1" x14ac:dyDescent="0.2">
      <c r="A88" s="30">
        <v>77</v>
      </c>
      <c r="B88" s="115" t="s">
        <v>532</v>
      </c>
      <c r="C88" s="116" t="s">
        <v>25</v>
      </c>
      <c r="D88" s="117">
        <v>33</v>
      </c>
      <c r="E88" s="122"/>
      <c r="F88" s="35"/>
      <c r="G88" s="32"/>
      <c r="H88" s="38"/>
      <c r="I88" s="57">
        <f t="shared" si="11"/>
        <v>0</v>
      </c>
      <c r="J88" s="57"/>
      <c r="K88" s="57"/>
      <c r="L88" s="57">
        <f t="shared" si="12"/>
        <v>0</v>
      </c>
      <c r="M88" s="57"/>
      <c r="N88" s="57"/>
      <c r="O88" s="57">
        <f t="shared" si="13"/>
        <v>0</v>
      </c>
      <c r="P88" s="39" t="e">
        <f t="shared" si="14"/>
        <v>#DIV/0!</v>
      </c>
      <c r="Q88" s="40" t="e">
        <f t="shared" si="15"/>
        <v>#DIV/0!</v>
      </c>
      <c r="R88" s="39">
        <f t="shared" si="16"/>
        <v>0</v>
      </c>
      <c r="S88" s="32"/>
      <c r="U88" s="42" t="e">
        <f t="shared" si="17"/>
        <v>#DIV/0!</v>
      </c>
      <c r="V88" s="42" t="e">
        <f t="shared" si="18"/>
        <v>#DIV/0!</v>
      </c>
      <c r="W88" s="42" t="e">
        <f t="shared" si="19"/>
        <v>#DIV/0!</v>
      </c>
    </row>
    <row r="89" spans="1:23" s="28" customFormat="1" ht="73.5" customHeight="1" x14ac:dyDescent="0.2">
      <c r="A89" s="30">
        <v>78</v>
      </c>
      <c r="B89" s="115" t="s">
        <v>138</v>
      </c>
      <c r="C89" s="116" t="s">
        <v>25</v>
      </c>
      <c r="D89" s="117">
        <v>66</v>
      </c>
      <c r="E89" s="122"/>
      <c r="F89" s="35"/>
      <c r="G89" s="119"/>
      <c r="H89" s="38"/>
      <c r="I89" s="38">
        <f t="shared" si="11"/>
        <v>0</v>
      </c>
      <c r="J89" s="32"/>
      <c r="K89" s="38"/>
      <c r="L89" s="38">
        <f t="shared" si="12"/>
        <v>0</v>
      </c>
      <c r="M89" s="32"/>
      <c r="N89" s="38"/>
      <c r="O89" s="120">
        <f t="shared" si="13"/>
        <v>0</v>
      </c>
      <c r="P89" s="39" t="e">
        <f t="shared" si="14"/>
        <v>#DIV/0!</v>
      </c>
      <c r="Q89" s="121" t="e">
        <f t="shared" si="15"/>
        <v>#DIV/0!</v>
      </c>
      <c r="R89" s="39">
        <f t="shared" si="16"/>
        <v>0</v>
      </c>
      <c r="S89" s="32"/>
      <c r="U89" s="42" t="e">
        <f t="shared" si="17"/>
        <v>#DIV/0!</v>
      </c>
      <c r="V89" s="42" t="e">
        <f t="shared" si="18"/>
        <v>#DIV/0!</v>
      </c>
      <c r="W89" s="42" t="e">
        <f t="shared" si="19"/>
        <v>#DIV/0!</v>
      </c>
    </row>
    <row r="90" spans="1:23" s="28" customFormat="1" ht="73.5" customHeight="1" x14ac:dyDescent="0.2">
      <c r="A90" s="30">
        <v>79</v>
      </c>
      <c r="B90" s="115" t="s">
        <v>139</v>
      </c>
      <c r="C90" s="116" t="s">
        <v>25</v>
      </c>
      <c r="D90" s="117">
        <v>66</v>
      </c>
      <c r="E90" s="122"/>
      <c r="F90" s="35"/>
      <c r="G90" s="32"/>
      <c r="H90" s="38"/>
      <c r="I90" s="57">
        <f t="shared" si="11"/>
        <v>0</v>
      </c>
      <c r="J90" s="57"/>
      <c r="K90" s="57"/>
      <c r="L90" s="57">
        <f t="shared" si="12"/>
        <v>0</v>
      </c>
      <c r="M90" s="57"/>
      <c r="N90" s="57"/>
      <c r="O90" s="57">
        <f t="shared" si="13"/>
        <v>0</v>
      </c>
      <c r="P90" s="39" t="e">
        <f t="shared" si="14"/>
        <v>#DIV/0!</v>
      </c>
      <c r="Q90" s="40" t="e">
        <f t="shared" si="15"/>
        <v>#DIV/0!</v>
      </c>
      <c r="R90" s="39">
        <f t="shared" si="16"/>
        <v>0</v>
      </c>
      <c r="S90" s="32"/>
      <c r="U90" s="42" t="e">
        <f t="shared" si="17"/>
        <v>#DIV/0!</v>
      </c>
      <c r="V90" s="42" t="e">
        <f t="shared" si="18"/>
        <v>#DIV/0!</v>
      </c>
      <c r="W90" s="42" t="e">
        <f t="shared" si="19"/>
        <v>#DIV/0!</v>
      </c>
    </row>
    <row r="91" spans="1:23" s="28" customFormat="1" ht="73.5" customHeight="1" x14ac:dyDescent="0.2">
      <c r="A91" s="30">
        <v>80</v>
      </c>
      <c r="B91" s="115" t="s">
        <v>143</v>
      </c>
      <c r="C91" s="116" t="s">
        <v>25</v>
      </c>
      <c r="D91" s="117">
        <v>155</v>
      </c>
      <c r="E91" s="122"/>
      <c r="F91" s="35"/>
      <c r="G91" s="32"/>
      <c r="H91" s="38"/>
      <c r="I91" s="38">
        <f t="shared" si="11"/>
        <v>0</v>
      </c>
      <c r="J91" s="32"/>
      <c r="K91" s="38"/>
      <c r="L91" s="38">
        <f t="shared" si="12"/>
        <v>0</v>
      </c>
      <c r="M91" s="32"/>
      <c r="N91" s="38"/>
      <c r="O91" s="38">
        <f t="shared" si="13"/>
        <v>0</v>
      </c>
      <c r="P91" s="39" t="e">
        <f t="shared" si="14"/>
        <v>#DIV/0!</v>
      </c>
      <c r="Q91" s="40" t="e">
        <f t="shared" si="15"/>
        <v>#DIV/0!</v>
      </c>
      <c r="R91" s="39">
        <f t="shared" si="16"/>
        <v>0</v>
      </c>
      <c r="S91" s="32"/>
      <c r="U91" s="42" t="e">
        <f t="shared" si="17"/>
        <v>#DIV/0!</v>
      </c>
      <c r="V91" s="42" t="e">
        <f t="shared" si="18"/>
        <v>#DIV/0!</v>
      </c>
      <c r="W91" s="42" t="e">
        <f t="shared" si="19"/>
        <v>#DIV/0!</v>
      </c>
    </row>
    <row r="92" spans="1:23" s="28" customFormat="1" ht="73.5" customHeight="1" x14ac:dyDescent="0.2">
      <c r="A92" s="30">
        <v>81</v>
      </c>
      <c r="B92" s="115" t="s">
        <v>145</v>
      </c>
      <c r="C92" s="116" t="s">
        <v>25</v>
      </c>
      <c r="D92" s="117">
        <v>404</v>
      </c>
      <c r="E92" s="122"/>
      <c r="F92" s="35"/>
      <c r="G92" s="32"/>
      <c r="H92" s="38"/>
      <c r="I92" s="57">
        <f t="shared" si="11"/>
        <v>0</v>
      </c>
      <c r="J92" s="57"/>
      <c r="K92" s="57"/>
      <c r="L92" s="57">
        <f t="shared" si="12"/>
        <v>0</v>
      </c>
      <c r="M92" s="32"/>
      <c r="N92" s="57"/>
      <c r="O92" s="57">
        <f t="shared" si="13"/>
        <v>0</v>
      </c>
      <c r="P92" s="39" t="e">
        <f t="shared" si="14"/>
        <v>#DIV/0!</v>
      </c>
      <c r="Q92" s="40" t="e">
        <f t="shared" si="15"/>
        <v>#DIV/0!</v>
      </c>
      <c r="R92" s="39">
        <f t="shared" si="16"/>
        <v>0</v>
      </c>
      <c r="S92" s="32"/>
      <c r="U92" s="42" t="e">
        <f t="shared" si="17"/>
        <v>#DIV/0!</v>
      </c>
      <c r="V92" s="42" t="e">
        <f t="shared" si="18"/>
        <v>#DIV/0!</v>
      </c>
      <c r="W92" s="42" t="e">
        <f t="shared" si="19"/>
        <v>#DIV/0!</v>
      </c>
    </row>
    <row r="93" spans="1:23" s="28" customFormat="1" ht="73.5" customHeight="1" x14ac:dyDescent="0.2">
      <c r="A93" s="30">
        <v>82</v>
      </c>
      <c r="B93" s="115" t="s">
        <v>533</v>
      </c>
      <c r="C93" s="116" t="s">
        <v>147</v>
      </c>
      <c r="D93" s="117">
        <v>25</v>
      </c>
      <c r="E93" s="118" t="s">
        <v>504</v>
      </c>
      <c r="F93" s="35"/>
      <c r="G93" s="32"/>
      <c r="H93" s="38"/>
      <c r="I93" s="57">
        <f t="shared" si="11"/>
        <v>0</v>
      </c>
      <c r="J93" s="57"/>
      <c r="K93" s="57"/>
      <c r="L93" s="57">
        <f t="shared" si="12"/>
        <v>0</v>
      </c>
      <c r="M93" s="32"/>
      <c r="N93" s="57"/>
      <c r="O93" s="57">
        <f t="shared" si="13"/>
        <v>0</v>
      </c>
      <c r="P93" s="39" t="e">
        <f t="shared" si="14"/>
        <v>#DIV/0!</v>
      </c>
      <c r="Q93" s="40" t="e">
        <f t="shared" si="15"/>
        <v>#DIV/0!</v>
      </c>
      <c r="R93" s="39">
        <f t="shared" si="16"/>
        <v>0</v>
      </c>
      <c r="S93" s="32"/>
      <c r="U93" s="42" t="e">
        <f t="shared" si="17"/>
        <v>#DIV/0!</v>
      </c>
      <c r="V93" s="42" t="e">
        <f t="shared" si="18"/>
        <v>#DIV/0!</v>
      </c>
      <c r="W93" s="42" t="e">
        <f t="shared" si="19"/>
        <v>#DIV/0!</v>
      </c>
    </row>
    <row r="94" spans="1:23" s="28" customFormat="1" ht="73.5" customHeight="1" x14ac:dyDescent="0.2">
      <c r="A94" s="30">
        <v>83</v>
      </c>
      <c r="B94" s="115" t="s">
        <v>146</v>
      </c>
      <c r="C94" s="116" t="s">
        <v>147</v>
      </c>
      <c r="D94" s="117">
        <v>65</v>
      </c>
      <c r="E94" s="118">
        <v>130.9</v>
      </c>
      <c r="F94" s="35"/>
      <c r="G94" s="32"/>
      <c r="H94" s="38"/>
      <c r="I94" s="57">
        <f t="shared" si="11"/>
        <v>0</v>
      </c>
      <c r="J94" s="57"/>
      <c r="K94" s="57"/>
      <c r="L94" s="57">
        <f t="shared" si="12"/>
        <v>0</v>
      </c>
      <c r="M94" s="32"/>
      <c r="N94" s="57"/>
      <c r="O94" s="57">
        <f t="shared" si="13"/>
        <v>0</v>
      </c>
      <c r="P94" s="39" t="e">
        <f t="shared" si="14"/>
        <v>#DIV/0!</v>
      </c>
      <c r="Q94" s="40" t="e">
        <f t="shared" si="15"/>
        <v>#DIV/0!</v>
      </c>
      <c r="R94" s="39">
        <f t="shared" si="16"/>
        <v>0</v>
      </c>
      <c r="S94" s="32"/>
      <c r="U94" s="42" t="e">
        <f t="shared" si="17"/>
        <v>#DIV/0!</v>
      </c>
      <c r="V94" s="42" t="e">
        <f t="shared" si="18"/>
        <v>#DIV/0!</v>
      </c>
      <c r="W94" s="42" t="e">
        <f t="shared" si="19"/>
        <v>#DIV/0!</v>
      </c>
    </row>
    <row r="95" spans="1:23" s="28" customFormat="1" ht="73.5" customHeight="1" x14ac:dyDescent="0.2">
      <c r="A95" s="30">
        <v>84</v>
      </c>
      <c r="B95" s="115" t="s">
        <v>151</v>
      </c>
      <c r="C95" s="116" t="s">
        <v>147</v>
      </c>
      <c r="D95" s="117">
        <v>50</v>
      </c>
      <c r="E95" s="118">
        <v>3181.4</v>
      </c>
      <c r="F95" s="35"/>
      <c r="G95" s="32"/>
      <c r="H95" s="38"/>
      <c r="I95" s="38">
        <f t="shared" si="11"/>
        <v>0</v>
      </c>
      <c r="J95" s="38"/>
      <c r="K95" s="38"/>
      <c r="L95" s="38">
        <f t="shared" si="12"/>
        <v>0</v>
      </c>
      <c r="M95" s="32"/>
      <c r="N95" s="38"/>
      <c r="O95" s="38">
        <f t="shared" si="13"/>
        <v>0</v>
      </c>
      <c r="P95" s="39" t="e">
        <f t="shared" si="14"/>
        <v>#DIV/0!</v>
      </c>
      <c r="Q95" s="40" t="e">
        <f t="shared" si="15"/>
        <v>#DIV/0!</v>
      </c>
      <c r="R95" s="39">
        <f t="shared" si="16"/>
        <v>0</v>
      </c>
      <c r="S95" s="32"/>
      <c r="U95" s="42" t="e">
        <f t="shared" si="17"/>
        <v>#DIV/0!</v>
      </c>
      <c r="V95" s="42" t="e">
        <f t="shared" si="18"/>
        <v>#DIV/0!</v>
      </c>
      <c r="W95" s="42" t="e">
        <f t="shared" si="19"/>
        <v>#DIV/0!</v>
      </c>
    </row>
    <row r="96" spans="1:23" s="28" customFormat="1" ht="73.5" customHeight="1" x14ac:dyDescent="0.2">
      <c r="A96" s="30">
        <v>85</v>
      </c>
      <c r="B96" s="115" t="s">
        <v>534</v>
      </c>
      <c r="C96" s="116" t="s">
        <v>535</v>
      </c>
      <c r="D96" s="117">
        <v>9.0999999999999998E-2</v>
      </c>
      <c r="E96" s="118" t="s">
        <v>504</v>
      </c>
      <c r="F96" s="35"/>
      <c r="G96" s="32"/>
      <c r="H96" s="38"/>
      <c r="I96" s="38">
        <f t="shared" si="11"/>
        <v>0</v>
      </c>
      <c r="J96" s="38"/>
      <c r="K96" s="38"/>
      <c r="L96" s="38">
        <f t="shared" si="12"/>
        <v>0</v>
      </c>
      <c r="M96" s="32"/>
      <c r="N96" s="38"/>
      <c r="O96" s="38">
        <f t="shared" si="13"/>
        <v>0</v>
      </c>
      <c r="P96" s="39" t="e">
        <f t="shared" si="14"/>
        <v>#DIV/0!</v>
      </c>
      <c r="Q96" s="40" t="e">
        <f t="shared" si="15"/>
        <v>#DIV/0!</v>
      </c>
      <c r="R96" s="39">
        <f t="shared" si="16"/>
        <v>0</v>
      </c>
      <c r="S96" s="32"/>
      <c r="U96" s="42" t="e">
        <f t="shared" si="17"/>
        <v>#DIV/0!</v>
      </c>
      <c r="V96" s="42" t="e">
        <f t="shared" si="18"/>
        <v>#DIV/0!</v>
      </c>
      <c r="W96" s="42" t="e">
        <f t="shared" si="19"/>
        <v>#DIV/0!</v>
      </c>
    </row>
    <row r="97" spans="1:23" s="28" customFormat="1" ht="82.5" customHeight="1" x14ac:dyDescent="0.2">
      <c r="A97" s="30">
        <v>86</v>
      </c>
      <c r="B97" s="115" t="s">
        <v>536</v>
      </c>
      <c r="C97" s="116" t="s">
        <v>535</v>
      </c>
      <c r="D97" s="117">
        <v>0.01</v>
      </c>
      <c r="E97" s="118" t="s">
        <v>504</v>
      </c>
      <c r="F97" s="35"/>
      <c r="G97" s="32"/>
      <c r="H97" s="38"/>
      <c r="I97" s="38">
        <f t="shared" si="11"/>
        <v>0</v>
      </c>
      <c r="J97" s="38"/>
      <c r="K97" s="38"/>
      <c r="L97" s="38">
        <f t="shared" si="12"/>
        <v>0</v>
      </c>
      <c r="M97" s="38"/>
      <c r="N97" s="38"/>
      <c r="O97" s="38">
        <f t="shared" si="13"/>
        <v>0</v>
      </c>
      <c r="P97" s="39" t="e">
        <f t="shared" si="14"/>
        <v>#DIV/0!</v>
      </c>
      <c r="Q97" s="40" t="e">
        <f t="shared" si="15"/>
        <v>#DIV/0!</v>
      </c>
      <c r="R97" s="39">
        <f t="shared" si="16"/>
        <v>0</v>
      </c>
      <c r="S97" s="32"/>
      <c r="U97" s="42" t="e">
        <f t="shared" si="17"/>
        <v>#DIV/0!</v>
      </c>
      <c r="V97" s="42" t="e">
        <f t="shared" si="18"/>
        <v>#DIV/0!</v>
      </c>
      <c r="W97" s="42" t="e">
        <f t="shared" si="19"/>
        <v>#DIV/0!</v>
      </c>
    </row>
    <row r="98" spans="1:23" s="28" customFormat="1" ht="73.5" customHeight="1" x14ac:dyDescent="0.2">
      <c r="A98" s="30">
        <v>87</v>
      </c>
      <c r="B98" s="115" t="s">
        <v>155</v>
      </c>
      <c r="C98" s="116" t="s">
        <v>25</v>
      </c>
      <c r="D98" s="117">
        <v>5</v>
      </c>
      <c r="E98" s="118">
        <v>122.9</v>
      </c>
      <c r="F98" s="35"/>
      <c r="G98" s="32"/>
      <c r="H98" s="38"/>
      <c r="I98" s="38">
        <f t="shared" si="11"/>
        <v>0</v>
      </c>
      <c r="J98" s="38"/>
      <c r="K98" s="38"/>
      <c r="L98" s="38">
        <f t="shared" si="12"/>
        <v>0</v>
      </c>
      <c r="M98" s="32"/>
      <c r="N98" s="38"/>
      <c r="O98" s="38">
        <f t="shared" si="13"/>
        <v>0</v>
      </c>
      <c r="P98" s="39" t="e">
        <f t="shared" si="14"/>
        <v>#DIV/0!</v>
      </c>
      <c r="Q98" s="40" t="e">
        <f t="shared" si="15"/>
        <v>#DIV/0!</v>
      </c>
      <c r="R98" s="39">
        <f t="shared" si="16"/>
        <v>0</v>
      </c>
      <c r="S98" s="32"/>
      <c r="U98" s="42" t="e">
        <f t="shared" si="17"/>
        <v>#DIV/0!</v>
      </c>
      <c r="V98" s="42" t="e">
        <f t="shared" si="18"/>
        <v>#DIV/0!</v>
      </c>
      <c r="W98" s="42" t="e">
        <f t="shared" si="19"/>
        <v>#DIV/0!</v>
      </c>
    </row>
    <row r="99" spans="1:23" s="28" customFormat="1" ht="92.25" customHeight="1" x14ac:dyDescent="0.2">
      <c r="A99" s="30">
        <v>88</v>
      </c>
      <c r="B99" s="115" t="s">
        <v>537</v>
      </c>
      <c r="C99" s="116" t="s">
        <v>25</v>
      </c>
      <c r="D99" s="117">
        <v>4</v>
      </c>
      <c r="E99" s="118" t="s">
        <v>504</v>
      </c>
      <c r="F99" s="35"/>
      <c r="G99" s="32"/>
      <c r="H99" s="38"/>
      <c r="I99" s="38">
        <f t="shared" si="11"/>
        <v>0</v>
      </c>
      <c r="J99" s="38"/>
      <c r="K99" s="38"/>
      <c r="L99" s="38">
        <f t="shared" si="12"/>
        <v>0</v>
      </c>
      <c r="M99" s="38"/>
      <c r="N99" s="38"/>
      <c r="O99" s="38">
        <f t="shared" si="13"/>
        <v>0</v>
      </c>
      <c r="P99" s="39" t="e">
        <f t="shared" si="14"/>
        <v>#DIV/0!</v>
      </c>
      <c r="Q99" s="40" t="e">
        <f t="shared" si="15"/>
        <v>#DIV/0!</v>
      </c>
      <c r="R99" s="39">
        <f t="shared" si="16"/>
        <v>0</v>
      </c>
      <c r="S99" s="32"/>
      <c r="U99" s="42" t="e">
        <f t="shared" si="17"/>
        <v>#DIV/0!</v>
      </c>
      <c r="V99" s="42" t="e">
        <f t="shared" si="18"/>
        <v>#DIV/0!</v>
      </c>
      <c r="W99" s="42" t="e">
        <f t="shared" si="19"/>
        <v>#DIV/0!</v>
      </c>
    </row>
    <row r="100" spans="1:23" s="28" customFormat="1" ht="73.5" customHeight="1" x14ac:dyDescent="0.2">
      <c r="A100" s="30">
        <v>89</v>
      </c>
      <c r="B100" s="115" t="s">
        <v>538</v>
      </c>
      <c r="C100" s="116" t="s">
        <v>25</v>
      </c>
      <c r="D100" s="117">
        <v>25</v>
      </c>
      <c r="E100" s="118" t="s">
        <v>504</v>
      </c>
      <c r="F100" s="35"/>
      <c r="G100" s="32"/>
      <c r="H100" s="38"/>
      <c r="I100" s="57">
        <f t="shared" si="11"/>
        <v>0</v>
      </c>
      <c r="J100" s="57"/>
      <c r="K100" s="57"/>
      <c r="L100" s="57">
        <f t="shared" si="12"/>
        <v>0</v>
      </c>
      <c r="M100" s="57"/>
      <c r="N100" s="57"/>
      <c r="O100" s="57">
        <f t="shared" si="13"/>
        <v>0</v>
      </c>
      <c r="P100" s="39" t="e">
        <f t="shared" si="14"/>
        <v>#DIV/0!</v>
      </c>
      <c r="Q100" s="40" t="e">
        <f t="shared" si="15"/>
        <v>#DIV/0!</v>
      </c>
      <c r="R100" s="39">
        <f t="shared" si="16"/>
        <v>0</v>
      </c>
      <c r="S100" s="32"/>
      <c r="U100" s="42" t="e">
        <f t="shared" si="17"/>
        <v>#DIV/0!</v>
      </c>
      <c r="V100" s="42" t="e">
        <f t="shared" si="18"/>
        <v>#DIV/0!</v>
      </c>
      <c r="W100" s="42" t="e">
        <f t="shared" si="19"/>
        <v>#DIV/0!</v>
      </c>
    </row>
    <row r="101" spans="1:23" s="28" customFormat="1" ht="73.5" customHeight="1" x14ac:dyDescent="0.2">
      <c r="A101" s="30">
        <v>90</v>
      </c>
      <c r="B101" s="115" t="s">
        <v>539</v>
      </c>
      <c r="C101" s="116" t="s">
        <v>25</v>
      </c>
      <c r="D101" s="117">
        <v>15</v>
      </c>
      <c r="E101" s="118" t="s">
        <v>504</v>
      </c>
      <c r="F101" s="35"/>
      <c r="G101" s="32"/>
      <c r="H101" s="38"/>
      <c r="I101" s="57">
        <f t="shared" si="11"/>
        <v>0</v>
      </c>
      <c r="J101" s="57"/>
      <c r="K101" s="57"/>
      <c r="L101" s="57">
        <f t="shared" si="12"/>
        <v>0</v>
      </c>
      <c r="M101" s="57"/>
      <c r="N101" s="57"/>
      <c r="O101" s="57">
        <f t="shared" si="13"/>
        <v>0</v>
      </c>
      <c r="P101" s="39" t="e">
        <f t="shared" si="14"/>
        <v>#DIV/0!</v>
      </c>
      <c r="Q101" s="40" t="e">
        <f t="shared" si="15"/>
        <v>#DIV/0!</v>
      </c>
      <c r="R101" s="39">
        <f t="shared" si="16"/>
        <v>0</v>
      </c>
      <c r="S101" s="32"/>
      <c r="U101" s="42" t="e">
        <f t="shared" si="17"/>
        <v>#DIV/0!</v>
      </c>
      <c r="V101" s="42" t="e">
        <f t="shared" si="18"/>
        <v>#DIV/0!</v>
      </c>
      <c r="W101" s="42" t="e">
        <f t="shared" si="19"/>
        <v>#DIV/0!</v>
      </c>
    </row>
    <row r="102" spans="1:23" s="28" customFormat="1" ht="73.5" customHeight="1" x14ac:dyDescent="0.2">
      <c r="A102" s="30">
        <v>91</v>
      </c>
      <c r="B102" s="115" t="s">
        <v>540</v>
      </c>
      <c r="C102" s="116" t="s">
        <v>25</v>
      </c>
      <c r="D102" s="117">
        <v>5</v>
      </c>
      <c r="E102" s="118" t="s">
        <v>504</v>
      </c>
      <c r="F102" s="35"/>
      <c r="G102" s="32"/>
      <c r="H102" s="38"/>
      <c r="I102" s="57">
        <f t="shared" si="11"/>
        <v>0</v>
      </c>
      <c r="J102" s="57"/>
      <c r="K102" s="57"/>
      <c r="L102" s="57">
        <f t="shared" si="12"/>
        <v>0</v>
      </c>
      <c r="M102" s="57"/>
      <c r="N102" s="57"/>
      <c r="O102" s="57">
        <f t="shared" si="13"/>
        <v>0</v>
      </c>
      <c r="P102" s="39" t="e">
        <f t="shared" si="14"/>
        <v>#DIV/0!</v>
      </c>
      <c r="Q102" s="40" t="e">
        <f t="shared" si="15"/>
        <v>#DIV/0!</v>
      </c>
      <c r="R102" s="39">
        <f t="shared" si="16"/>
        <v>0</v>
      </c>
      <c r="S102" s="32"/>
      <c r="U102" s="42" t="e">
        <f t="shared" si="17"/>
        <v>#DIV/0!</v>
      </c>
      <c r="V102" s="42" t="e">
        <f t="shared" si="18"/>
        <v>#DIV/0!</v>
      </c>
      <c r="W102" s="42" t="e">
        <f t="shared" si="19"/>
        <v>#DIV/0!</v>
      </c>
    </row>
    <row r="103" spans="1:23" s="28" customFormat="1" ht="73.5" customHeight="1" x14ac:dyDescent="0.2">
      <c r="A103" s="30">
        <v>92</v>
      </c>
      <c r="B103" s="115" t="s">
        <v>158</v>
      </c>
      <c r="C103" s="116" t="s">
        <v>25</v>
      </c>
      <c r="D103" s="117">
        <v>42</v>
      </c>
      <c r="E103" s="118">
        <v>104.2</v>
      </c>
      <c r="F103" s="35"/>
      <c r="G103" s="32"/>
      <c r="H103" s="38"/>
      <c r="I103" s="57">
        <f t="shared" si="11"/>
        <v>0</v>
      </c>
      <c r="J103" s="57"/>
      <c r="K103" s="57"/>
      <c r="L103" s="57">
        <f t="shared" si="12"/>
        <v>0</v>
      </c>
      <c r="M103" s="57"/>
      <c r="N103" s="57"/>
      <c r="O103" s="57">
        <f t="shared" si="13"/>
        <v>0</v>
      </c>
      <c r="P103" s="39" t="e">
        <f t="shared" si="14"/>
        <v>#DIV/0!</v>
      </c>
      <c r="Q103" s="40" t="e">
        <f t="shared" si="15"/>
        <v>#DIV/0!</v>
      </c>
      <c r="R103" s="39">
        <f t="shared" si="16"/>
        <v>0</v>
      </c>
      <c r="S103" s="32"/>
      <c r="U103" s="42" t="e">
        <f t="shared" si="17"/>
        <v>#DIV/0!</v>
      </c>
      <c r="V103" s="42" t="e">
        <f t="shared" si="18"/>
        <v>#DIV/0!</v>
      </c>
      <c r="W103" s="42" t="e">
        <f t="shared" si="19"/>
        <v>#DIV/0!</v>
      </c>
    </row>
    <row r="104" spans="1:23" s="28" customFormat="1" ht="73.5" customHeight="1" x14ac:dyDescent="0.2">
      <c r="A104" s="30">
        <v>93</v>
      </c>
      <c r="B104" s="115" t="s">
        <v>159</v>
      </c>
      <c r="C104" s="116" t="s">
        <v>25</v>
      </c>
      <c r="D104" s="117">
        <v>65</v>
      </c>
      <c r="E104" s="118">
        <v>125.1</v>
      </c>
      <c r="F104" s="35"/>
      <c r="G104" s="32"/>
      <c r="H104" s="38"/>
      <c r="I104" s="57">
        <f t="shared" si="11"/>
        <v>0</v>
      </c>
      <c r="J104" s="57"/>
      <c r="K104" s="57"/>
      <c r="L104" s="57">
        <f t="shared" si="12"/>
        <v>0</v>
      </c>
      <c r="M104" s="57"/>
      <c r="N104" s="57"/>
      <c r="O104" s="57">
        <v>62387.5</v>
      </c>
      <c r="P104" s="39" t="e">
        <f t="shared" si="14"/>
        <v>#DIV/0!</v>
      </c>
      <c r="Q104" s="40" t="e">
        <f t="shared" si="15"/>
        <v>#DIV/0!</v>
      </c>
      <c r="R104" s="39">
        <f t="shared" si="16"/>
        <v>0</v>
      </c>
      <c r="S104" s="32"/>
      <c r="U104" s="42" t="e">
        <f t="shared" si="17"/>
        <v>#DIV/0!</v>
      </c>
      <c r="V104" s="42" t="e">
        <f t="shared" si="18"/>
        <v>#DIV/0!</v>
      </c>
      <c r="W104" s="42" t="e">
        <f t="shared" si="19"/>
        <v>#DIV/0!</v>
      </c>
    </row>
    <row r="105" spans="1:23" s="28" customFormat="1" ht="73.5" customHeight="1" x14ac:dyDescent="0.2">
      <c r="A105" s="30">
        <v>94</v>
      </c>
      <c r="B105" s="115" t="s">
        <v>160</v>
      </c>
      <c r="C105" s="116" t="s">
        <v>25</v>
      </c>
      <c r="D105" s="117">
        <v>8</v>
      </c>
      <c r="E105" s="118">
        <v>19.5</v>
      </c>
      <c r="F105" s="35"/>
      <c r="G105" s="32"/>
      <c r="H105" s="38"/>
      <c r="I105" s="57">
        <f t="shared" si="11"/>
        <v>0</v>
      </c>
      <c r="J105" s="57"/>
      <c r="K105" s="57"/>
      <c r="L105" s="57">
        <f t="shared" si="12"/>
        <v>0</v>
      </c>
      <c r="M105" s="57"/>
      <c r="N105" s="57"/>
      <c r="O105" s="57">
        <f t="shared" ref="O105:O136" si="20">D105*N105</f>
        <v>0</v>
      </c>
      <c r="P105" s="39" t="e">
        <f t="shared" si="14"/>
        <v>#DIV/0!</v>
      </c>
      <c r="Q105" s="40" t="e">
        <f t="shared" si="15"/>
        <v>#DIV/0!</v>
      </c>
      <c r="R105" s="39">
        <f t="shared" si="16"/>
        <v>0</v>
      </c>
      <c r="S105" s="32"/>
      <c r="U105" s="42" t="e">
        <f t="shared" si="17"/>
        <v>#DIV/0!</v>
      </c>
      <c r="V105" s="42" t="e">
        <f t="shared" si="18"/>
        <v>#DIV/0!</v>
      </c>
      <c r="W105" s="42" t="e">
        <f t="shared" si="19"/>
        <v>#DIV/0!</v>
      </c>
    </row>
    <row r="106" spans="1:23" s="28" customFormat="1" ht="73.5" customHeight="1" x14ac:dyDescent="0.2">
      <c r="A106" s="30">
        <v>95</v>
      </c>
      <c r="B106" s="115" t="s">
        <v>161</v>
      </c>
      <c r="C106" s="116" t="s">
        <v>25</v>
      </c>
      <c r="D106" s="117">
        <v>975</v>
      </c>
      <c r="E106" s="118">
        <v>57.5</v>
      </c>
      <c r="F106" s="35"/>
      <c r="G106" s="32"/>
      <c r="H106" s="38"/>
      <c r="I106" s="57">
        <f t="shared" si="11"/>
        <v>0</v>
      </c>
      <c r="J106" s="57"/>
      <c r="K106" s="57"/>
      <c r="L106" s="57">
        <f t="shared" si="12"/>
        <v>0</v>
      </c>
      <c r="M106" s="57"/>
      <c r="N106" s="57"/>
      <c r="O106" s="57">
        <f t="shared" si="20"/>
        <v>0</v>
      </c>
      <c r="P106" s="39" t="e">
        <f t="shared" si="14"/>
        <v>#DIV/0!</v>
      </c>
      <c r="Q106" s="40" t="e">
        <f t="shared" si="15"/>
        <v>#DIV/0!</v>
      </c>
      <c r="R106" s="39">
        <f t="shared" si="16"/>
        <v>0</v>
      </c>
      <c r="S106" s="32"/>
      <c r="U106" s="42" t="e">
        <f t="shared" si="17"/>
        <v>#DIV/0!</v>
      </c>
      <c r="V106" s="42" t="e">
        <f t="shared" si="18"/>
        <v>#DIV/0!</v>
      </c>
      <c r="W106" s="42" t="e">
        <f t="shared" si="19"/>
        <v>#DIV/0!</v>
      </c>
    </row>
    <row r="107" spans="1:23" s="28" customFormat="1" ht="73.5" customHeight="1" x14ac:dyDescent="0.2">
      <c r="A107" s="30">
        <v>96</v>
      </c>
      <c r="B107" s="115" t="s">
        <v>162</v>
      </c>
      <c r="C107" s="116" t="s">
        <v>25</v>
      </c>
      <c r="D107" s="117">
        <v>3</v>
      </c>
      <c r="E107" s="118">
        <v>444.12</v>
      </c>
      <c r="F107" s="35"/>
      <c r="G107" s="32"/>
      <c r="H107" s="38"/>
      <c r="I107" s="57">
        <f t="shared" si="11"/>
        <v>0</v>
      </c>
      <c r="J107" s="57"/>
      <c r="K107" s="57"/>
      <c r="L107" s="57">
        <f t="shared" si="12"/>
        <v>0</v>
      </c>
      <c r="M107" s="32"/>
      <c r="N107" s="57"/>
      <c r="O107" s="57">
        <f t="shared" si="20"/>
        <v>0</v>
      </c>
      <c r="P107" s="39" t="e">
        <f t="shared" si="14"/>
        <v>#DIV/0!</v>
      </c>
      <c r="Q107" s="40" t="e">
        <f t="shared" si="15"/>
        <v>#DIV/0!</v>
      </c>
      <c r="R107" s="39">
        <f t="shared" si="16"/>
        <v>0</v>
      </c>
      <c r="S107" s="32"/>
      <c r="U107" s="42" t="e">
        <f t="shared" si="17"/>
        <v>#DIV/0!</v>
      </c>
      <c r="V107" s="42" t="e">
        <f t="shared" si="18"/>
        <v>#DIV/0!</v>
      </c>
      <c r="W107" s="42" t="e">
        <f t="shared" si="19"/>
        <v>#DIV/0!</v>
      </c>
    </row>
    <row r="108" spans="1:23" s="28" customFormat="1" ht="73.5" customHeight="1" x14ac:dyDescent="0.2">
      <c r="A108" s="30">
        <v>97</v>
      </c>
      <c r="B108" s="115" t="s">
        <v>541</v>
      </c>
      <c r="C108" s="116" t="s">
        <v>25</v>
      </c>
      <c r="D108" s="117">
        <v>25</v>
      </c>
      <c r="E108" s="118" t="s">
        <v>504</v>
      </c>
      <c r="F108" s="35"/>
      <c r="G108" s="32"/>
      <c r="H108" s="38"/>
      <c r="I108" s="57">
        <f t="shared" ref="I108:I139" si="21">D108*H108</f>
        <v>0</v>
      </c>
      <c r="J108" s="57"/>
      <c r="K108" s="57"/>
      <c r="L108" s="57">
        <f t="shared" si="12"/>
        <v>0</v>
      </c>
      <c r="M108" s="57"/>
      <c r="N108" s="57"/>
      <c r="O108" s="57">
        <f t="shared" si="20"/>
        <v>0</v>
      </c>
      <c r="P108" s="39" t="e">
        <f t="shared" si="14"/>
        <v>#DIV/0!</v>
      </c>
      <c r="Q108" s="40" t="e">
        <f t="shared" si="15"/>
        <v>#DIV/0!</v>
      </c>
      <c r="R108" s="39">
        <f t="shared" si="16"/>
        <v>0</v>
      </c>
      <c r="S108" s="32"/>
      <c r="U108" s="42" t="e">
        <f t="shared" si="17"/>
        <v>#DIV/0!</v>
      </c>
      <c r="V108" s="42" t="e">
        <f t="shared" si="18"/>
        <v>#DIV/0!</v>
      </c>
      <c r="W108" s="42" t="e">
        <f t="shared" si="19"/>
        <v>#DIV/0!</v>
      </c>
    </row>
    <row r="109" spans="1:23" s="28" customFormat="1" ht="73.5" customHeight="1" x14ac:dyDescent="0.2">
      <c r="A109" s="30">
        <v>98</v>
      </c>
      <c r="B109" s="115" t="s">
        <v>542</v>
      </c>
      <c r="C109" s="116" t="s">
        <v>25</v>
      </c>
      <c r="D109" s="117">
        <v>10</v>
      </c>
      <c r="E109" s="118" t="s">
        <v>504</v>
      </c>
      <c r="F109" s="35"/>
      <c r="G109" s="32"/>
      <c r="H109" s="38"/>
      <c r="I109" s="57">
        <f t="shared" si="21"/>
        <v>0</v>
      </c>
      <c r="J109" s="57"/>
      <c r="K109" s="57"/>
      <c r="L109" s="57">
        <f t="shared" si="12"/>
        <v>0</v>
      </c>
      <c r="M109" s="32"/>
      <c r="N109" s="57"/>
      <c r="O109" s="57">
        <f t="shared" si="20"/>
        <v>0</v>
      </c>
      <c r="P109" s="39" t="e">
        <f t="shared" si="14"/>
        <v>#DIV/0!</v>
      </c>
      <c r="Q109" s="40" t="e">
        <f t="shared" si="15"/>
        <v>#DIV/0!</v>
      </c>
      <c r="R109" s="39">
        <f t="shared" si="16"/>
        <v>0</v>
      </c>
      <c r="S109" s="32"/>
      <c r="U109" s="42" t="e">
        <f t="shared" si="17"/>
        <v>#DIV/0!</v>
      </c>
      <c r="V109" s="42" t="e">
        <f t="shared" si="18"/>
        <v>#DIV/0!</v>
      </c>
      <c r="W109" s="42" t="e">
        <f t="shared" si="19"/>
        <v>#DIV/0!</v>
      </c>
    </row>
    <row r="110" spans="1:23" s="28" customFormat="1" ht="73.5" customHeight="1" x14ac:dyDescent="0.2">
      <c r="A110" s="30">
        <v>99</v>
      </c>
      <c r="B110" s="115" t="s">
        <v>173</v>
      </c>
      <c r="C110" s="116" t="s">
        <v>25</v>
      </c>
      <c r="D110" s="117">
        <v>9</v>
      </c>
      <c r="E110" s="118">
        <v>10739.64</v>
      </c>
      <c r="F110" s="35"/>
      <c r="G110" s="32"/>
      <c r="H110" s="38"/>
      <c r="I110" s="38">
        <f t="shared" si="21"/>
        <v>0</v>
      </c>
      <c r="J110" s="32"/>
      <c r="K110" s="38"/>
      <c r="L110" s="38">
        <f t="shared" si="12"/>
        <v>0</v>
      </c>
      <c r="M110" s="32"/>
      <c r="N110" s="38"/>
      <c r="O110" s="38">
        <f t="shared" si="20"/>
        <v>0</v>
      </c>
      <c r="P110" s="39" t="e">
        <f t="shared" si="14"/>
        <v>#DIV/0!</v>
      </c>
      <c r="Q110" s="40" t="e">
        <f t="shared" si="15"/>
        <v>#DIV/0!</v>
      </c>
      <c r="R110" s="39">
        <f t="shared" si="16"/>
        <v>0</v>
      </c>
      <c r="S110" s="32"/>
      <c r="U110" s="42" t="e">
        <f t="shared" si="17"/>
        <v>#DIV/0!</v>
      </c>
      <c r="V110" s="42" t="e">
        <f t="shared" si="18"/>
        <v>#DIV/0!</v>
      </c>
      <c r="W110" s="42" t="e">
        <f t="shared" si="19"/>
        <v>#DIV/0!</v>
      </c>
    </row>
    <row r="111" spans="1:23" s="28" customFormat="1" ht="73.5" customHeight="1" x14ac:dyDescent="0.2">
      <c r="A111" s="30">
        <v>100</v>
      </c>
      <c r="B111" s="115" t="s">
        <v>174</v>
      </c>
      <c r="C111" s="116" t="s">
        <v>25</v>
      </c>
      <c r="D111" s="117">
        <v>10</v>
      </c>
      <c r="E111" s="118">
        <v>11759.65</v>
      </c>
      <c r="F111" s="35"/>
      <c r="G111" s="32"/>
      <c r="H111" s="38"/>
      <c r="I111" s="57">
        <f t="shared" si="21"/>
        <v>0</v>
      </c>
      <c r="J111" s="57"/>
      <c r="K111" s="57"/>
      <c r="L111" s="57">
        <f t="shared" si="12"/>
        <v>0</v>
      </c>
      <c r="M111" s="57"/>
      <c r="N111" s="57"/>
      <c r="O111" s="57">
        <f t="shared" si="20"/>
        <v>0</v>
      </c>
      <c r="P111" s="39" t="e">
        <f t="shared" si="14"/>
        <v>#DIV/0!</v>
      </c>
      <c r="Q111" s="40" t="e">
        <f t="shared" si="15"/>
        <v>#DIV/0!</v>
      </c>
      <c r="R111" s="39">
        <f t="shared" si="16"/>
        <v>0</v>
      </c>
      <c r="S111" s="32"/>
      <c r="U111" s="42" t="e">
        <f t="shared" si="17"/>
        <v>#DIV/0!</v>
      </c>
      <c r="V111" s="42" t="e">
        <f t="shared" si="18"/>
        <v>#DIV/0!</v>
      </c>
      <c r="W111" s="42" t="e">
        <f t="shared" si="19"/>
        <v>#DIV/0!</v>
      </c>
    </row>
    <row r="112" spans="1:23" s="28" customFormat="1" ht="73.5" customHeight="1" x14ac:dyDescent="0.2">
      <c r="A112" s="30">
        <v>101</v>
      </c>
      <c r="B112" s="115" t="s">
        <v>543</v>
      </c>
      <c r="C112" s="116" t="s">
        <v>25</v>
      </c>
      <c r="D112" s="117">
        <v>13</v>
      </c>
      <c r="E112" s="118" t="s">
        <v>504</v>
      </c>
      <c r="F112" s="35"/>
      <c r="G112" s="32"/>
      <c r="H112" s="38"/>
      <c r="I112" s="57">
        <f t="shared" si="21"/>
        <v>0</v>
      </c>
      <c r="J112" s="57"/>
      <c r="K112" s="57"/>
      <c r="L112" s="57">
        <f t="shared" si="12"/>
        <v>0</v>
      </c>
      <c r="M112" s="32"/>
      <c r="N112" s="57"/>
      <c r="O112" s="57">
        <f t="shared" si="20"/>
        <v>0</v>
      </c>
      <c r="P112" s="39" t="e">
        <f t="shared" si="14"/>
        <v>#DIV/0!</v>
      </c>
      <c r="Q112" s="40" t="e">
        <f t="shared" si="15"/>
        <v>#DIV/0!</v>
      </c>
      <c r="R112" s="39">
        <f t="shared" si="16"/>
        <v>0</v>
      </c>
      <c r="S112" s="32"/>
      <c r="U112" s="42" t="e">
        <f t="shared" si="17"/>
        <v>#DIV/0!</v>
      </c>
      <c r="V112" s="42" t="e">
        <f t="shared" si="18"/>
        <v>#DIV/0!</v>
      </c>
      <c r="W112" s="42" t="e">
        <f t="shared" si="19"/>
        <v>#DIV/0!</v>
      </c>
    </row>
    <row r="113" spans="1:23" s="28" customFormat="1" ht="73.5" customHeight="1" x14ac:dyDescent="0.2">
      <c r="A113" s="30">
        <v>102</v>
      </c>
      <c r="B113" s="115" t="s">
        <v>544</v>
      </c>
      <c r="C113" s="116" t="s">
        <v>25</v>
      </c>
      <c r="D113" s="117">
        <v>5</v>
      </c>
      <c r="E113" s="118">
        <v>5200</v>
      </c>
      <c r="F113" s="35"/>
      <c r="G113" s="32"/>
      <c r="H113" s="38"/>
      <c r="I113" s="57">
        <f t="shared" si="21"/>
        <v>0</v>
      </c>
      <c r="J113" s="57"/>
      <c r="K113" s="57"/>
      <c r="L113" s="57">
        <f t="shared" si="12"/>
        <v>0</v>
      </c>
      <c r="M113" s="32"/>
      <c r="N113" s="57"/>
      <c r="O113" s="57">
        <f t="shared" si="20"/>
        <v>0</v>
      </c>
      <c r="P113" s="39" t="e">
        <f t="shared" si="14"/>
        <v>#DIV/0!</v>
      </c>
      <c r="Q113" s="40" t="e">
        <f t="shared" si="15"/>
        <v>#DIV/0!</v>
      </c>
      <c r="R113" s="39">
        <f t="shared" si="16"/>
        <v>0</v>
      </c>
      <c r="S113" s="32"/>
      <c r="U113" s="42" t="e">
        <f t="shared" si="17"/>
        <v>#DIV/0!</v>
      </c>
      <c r="V113" s="42" t="e">
        <f t="shared" si="18"/>
        <v>#DIV/0!</v>
      </c>
      <c r="W113" s="42" t="e">
        <f t="shared" si="19"/>
        <v>#DIV/0!</v>
      </c>
    </row>
    <row r="114" spans="1:23" s="28" customFormat="1" ht="73.5" customHeight="1" x14ac:dyDescent="0.2">
      <c r="A114" s="30">
        <v>103</v>
      </c>
      <c r="B114" s="115" t="s">
        <v>182</v>
      </c>
      <c r="C114" s="116" t="s">
        <v>25</v>
      </c>
      <c r="D114" s="117">
        <v>1</v>
      </c>
      <c r="E114" s="118">
        <v>3320.5</v>
      </c>
      <c r="F114" s="35"/>
      <c r="G114" s="32"/>
      <c r="H114" s="38"/>
      <c r="I114" s="57">
        <f t="shared" si="21"/>
        <v>0</v>
      </c>
      <c r="J114" s="57"/>
      <c r="K114" s="57"/>
      <c r="L114" s="57">
        <f t="shared" si="12"/>
        <v>0</v>
      </c>
      <c r="M114" s="32"/>
      <c r="N114" s="57"/>
      <c r="O114" s="57">
        <f t="shared" si="20"/>
        <v>0</v>
      </c>
      <c r="P114" s="39" t="e">
        <f t="shared" si="14"/>
        <v>#DIV/0!</v>
      </c>
      <c r="Q114" s="40" t="e">
        <f t="shared" si="15"/>
        <v>#DIV/0!</v>
      </c>
      <c r="R114" s="39">
        <f t="shared" si="16"/>
        <v>0</v>
      </c>
      <c r="S114" s="32"/>
      <c r="U114" s="42" t="e">
        <f t="shared" si="17"/>
        <v>#DIV/0!</v>
      </c>
      <c r="V114" s="42" t="e">
        <f t="shared" si="18"/>
        <v>#DIV/0!</v>
      </c>
      <c r="W114" s="42" t="e">
        <f t="shared" si="19"/>
        <v>#DIV/0!</v>
      </c>
    </row>
    <row r="115" spans="1:23" s="28" customFormat="1" ht="73.5" customHeight="1" x14ac:dyDescent="0.2">
      <c r="A115" s="30">
        <v>104</v>
      </c>
      <c r="B115" s="115" t="s">
        <v>183</v>
      </c>
      <c r="C115" s="116" t="s">
        <v>25</v>
      </c>
      <c r="D115" s="117">
        <v>80</v>
      </c>
      <c r="E115" s="118">
        <v>3393.6</v>
      </c>
      <c r="F115" s="35"/>
      <c r="G115" s="32"/>
      <c r="H115" s="38"/>
      <c r="I115" s="57">
        <f t="shared" si="21"/>
        <v>0</v>
      </c>
      <c r="J115" s="57"/>
      <c r="K115" s="57"/>
      <c r="L115" s="57">
        <f t="shared" si="12"/>
        <v>0</v>
      </c>
      <c r="M115" s="32"/>
      <c r="N115" s="57"/>
      <c r="O115" s="57">
        <f t="shared" si="20"/>
        <v>0</v>
      </c>
      <c r="P115" s="39" t="e">
        <f t="shared" si="14"/>
        <v>#DIV/0!</v>
      </c>
      <c r="Q115" s="40" t="e">
        <f t="shared" si="15"/>
        <v>#DIV/0!</v>
      </c>
      <c r="R115" s="39">
        <f t="shared" si="16"/>
        <v>0</v>
      </c>
      <c r="S115" s="32"/>
      <c r="U115" s="42" t="e">
        <f t="shared" si="17"/>
        <v>#DIV/0!</v>
      </c>
      <c r="V115" s="42" t="e">
        <f t="shared" si="18"/>
        <v>#DIV/0!</v>
      </c>
      <c r="W115" s="42" t="e">
        <f t="shared" si="19"/>
        <v>#DIV/0!</v>
      </c>
    </row>
    <row r="116" spans="1:23" s="28" customFormat="1" ht="73.5" customHeight="1" x14ac:dyDescent="0.2">
      <c r="A116" s="30">
        <v>105</v>
      </c>
      <c r="B116" s="115" t="s">
        <v>184</v>
      </c>
      <c r="C116" s="116" t="s">
        <v>25</v>
      </c>
      <c r="D116" s="117">
        <v>5</v>
      </c>
      <c r="E116" s="118">
        <v>1825</v>
      </c>
      <c r="F116" s="35"/>
      <c r="G116" s="32"/>
      <c r="H116" s="38"/>
      <c r="I116" s="57">
        <f t="shared" si="21"/>
        <v>0</v>
      </c>
      <c r="J116" s="32"/>
      <c r="K116" s="57"/>
      <c r="L116" s="57">
        <f t="shared" si="12"/>
        <v>0</v>
      </c>
      <c r="M116" s="57"/>
      <c r="N116" s="57"/>
      <c r="O116" s="57">
        <f t="shared" si="20"/>
        <v>0</v>
      </c>
      <c r="P116" s="39" t="e">
        <f t="shared" si="14"/>
        <v>#DIV/0!</v>
      </c>
      <c r="Q116" s="40" t="e">
        <f t="shared" si="15"/>
        <v>#DIV/0!</v>
      </c>
      <c r="R116" s="39">
        <f t="shared" si="16"/>
        <v>0</v>
      </c>
      <c r="S116" s="32"/>
      <c r="U116" s="42" t="e">
        <f t="shared" si="17"/>
        <v>#DIV/0!</v>
      </c>
      <c r="V116" s="42" t="e">
        <f t="shared" si="18"/>
        <v>#DIV/0!</v>
      </c>
      <c r="W116" s="42" t="e">
        <f t="shared" si="19"/>
        <v>#DIV/0!</v>
      </c>
    </row>
    <row r="117" spans="1:23" s="28" customFormat="1" ht="73.5" customHeight="1" x14ac:dyDescent="0.2">
      <c r="A117" s="30">
        <v>106</v>
      </c>
      <c r="B117" s="115" t="s">
        <v>185</v>
      </c>
      <c r="C117" s="116" t="s">
        <v>25</v>
      </c>
      <c r="D117" s="117">
        <v>7</v>
      </c>
      <c r="E117" s="118">
        <v>65.3</v>
      </c>
      <c r="F117" s="35"/>
      <c r="G117" s="32"/>
      <c r="H117" s="38"/>
      <c r="I117" s="57">
        <f t="shared" si="21"/>
        <v>0</v>
      </c>
      <c r="J117" s="57"/>
      <c r="K117" s="57"/>
      <c r="L117" s="57">
        <f t="shared" si="12"/>
        <v>0</v>
      </c>
      <c r="M117" s="32"/>
      <c r="N117" s="57"/>
      <c r="O117" s="57">
        <f t="shared" si="20"/>
        <v>0</v>
      </c>
      <c r="P117" s="39" t="e">
        <f t="shared" si="14"/>
        <v>#DIV/0!</v>
      </c>
      <c r="Q117" s="40" t="e">
        <f t="shared" si="15"/>
        <v>#DIV/0!</v>
      </c>
      <c r="R117" s="39">
        <f t="shared" si="16"/>
        <v>0</v>
      </c>
      <c r="S117" s="32"/>
      <c r="U117" s="42" t="e">
        <f t="shared" si="17"/>
        <v>#DIV/0!</v>
      </c>
      <c r="V117" s="42" t="e">
        <f t="shared" si="18"/>
        <v>#DIV/0!</v>
      </c>
      <c r="W117" s="42" t="e">
        <f t="shared" si="19"/>
        <v>#DIV/0!</v>
      </c>
    </row>
    <row r="118" spans="1:23" s="28" customFormat="1" ht="73.5" customHeight="1" x14ac:dyDescent="0.2">
      <c r="A118" s="30">
        <v>107</v>
      </c>
      <c r="B118" s="115" t="s">
        <v>186</v>
      </c>
      <c r="C118" s="116" t="s">
        <v>25</v>
      </c>
      <c r="D118" s="117">
        <v>2</v>
      </c>
      <c r="E118" s="118">
        <v>65.010000000000005</v>
      </c>
      <c r="F118" s="35"/>
      <c r="G118" s="32"/>
      <c r="H118" s="38"/>
      <c r="I118" s="38">
        <f t="shared" si="21"/>
        <v>0</v>
      </c>
      <c r="J118" s="38"/>
      <c r="K118" s="38"/>
      <c r="L118" s="38">
        <f t="shared" si="12"/>
        <v>0</v>
      </c>
      <c r="M118" s="32"/>
      <c r="N118" s="38"/>
      <c r="O118" s="38">
        <f t="shared" si="20"/>
        <v>0</v>
      </c>
      <c r="P118" s="39" t="e">
        <f t="shared" si="14"/>
        <v>#DIV/0!</v>
      </c>
      <c r="Q118" s="40" t="e">
        <f t="shared" si="15"/>
        <v>#DIV/0!</v>
      </c>
      <c r="R118" s="39">
        <f t="shared" si="16"/>
        <v>0</v>
      </c>
      <c r="S118" s="32"/>
      <c r="U118" s="42" t="e">
        <f t="shared" si="17"/>
        <v>#DIV/0!</v>
      </c>
      <c r="V118" s="42" t="e">
        <f t="shared" si="18"/>
        <v>#DIV/0!</v>
      </c>
      <c r="W118" s="42" t="e">
        <f t="shared" si="19"/>
        <v>#DIV/0!</v>
      </c>
    </row>
    <row r="119" spans="1:23" s="28" customFormat="1" ht="73.5" customHeight="1" x14ac:dyDescent="0.2">
      <c r="A119" s="30">
        <v>108</v>
      </c>
      <c r="B119" s="115" t="s">
        <v>187</v>
      </c>
      <c r="C119" s="116" t="s">
        <v>25</v>
      </c>
      <c r="D119" s="117">
        <v>5</v>
      </c>
      <c r="E119" s="118">
        <v>133.1</v>
      </c>
      <c r="F119" s="35"/>
      <c r="G119" s="32"/>
      <c r="H119" s="38"/>
      <c r="I119" s="38">
        <f t="shared" si="21"/>
        <v>0</v>
      </c>
      <c r="J119" s="38"/>
      <c r="K119" s="38"/>
      <c r="L119" s="38">
        <f t="shared" si="12"/>
        <v>0</v>
      </c>
      <c r="M119" s="32"/>
      <c r="N119" s="38"/>
      <c r="O119" s="38">
        <f t="shared" si="20"/>
        <v>0</v>
      </c>
      <c r="P119" s="39" t="e">
        <f t="shared" si="14"/>
        <v>#DIV/0!</v>
      </c>
      <c r="Q119" s="40" t="e">
        <f t="shared" si="15"/>
        <v>#DIV/0!</v>
      </c>
      <c r="R119" s="39">
        <f t="shared" si="16"/>
        <v>0</v>
      </c>
      <c r="S119" s="32"/>
      <c r="U119" s="42" t="e">
        <f t="shared" si="17"/>
        <v>#DIV/0!</v>
      </c>
      <c r="V119" s="42" t="e">
        <f t="shared" si="18"/>
        <v>#DIV/0!</v>
      </c>
      <c r="W119" s="42" t="e">
        <f t="shared" si="19"/>
        <v>#DIV/0!</v>
      </c>
    </row>
    <row r="120" spans="1:23" s="28" customFormat="1" ht="73.5" customHeight="1" x14ac:dyDescent="0.2">
      <c r="A120" s="30">
        <v>109</v>
      </c>
      <c r="B120" s="115" t="s">
        <v>545</v>
      </c>
      <c r="C120" s="116" t="s">
        <v>25</v>
      </c>
      <c r="D120" s="117">
        <v>7</v>
      </c>
      <c r="E120" s="118" t="s">
        <v>504</v>
      </c>
      <c r="F120" s="35"/>
      <c r="G120" s="32"/>
      <c r="H120" s="38"/>
      <c r="I120" s="38">
        <f t="shared" si="21"/>
        <v>0</v>
      </c>
      <c r="J120" s="38"/>
      <c r="K120" s="38"/>
      <c r="L120" s="38">
        <f t="shared" si="12"/>
        <v>0</v>
      </c>
      <c r="M120" s="32"/>
      <c r="N120" s="38"/>
      <c r="O120" s="38">
        <f t="shared" si="20"/>
        <v>0</v>
      </c>
      <c r="P120" s="39" t="e">
        <f t="shared" si="14"/>
        <v>#DIV/0!</v>
      </c>
      <c r="Q120" s="40" t="e">
        <f t="shared" si="15"/>
        <v>#DIV/0!</v>
      </c>
      <c r="R120" s="39">
        <f t="shared" si="16"/>
        <v>0</v>
      </c>
      <c r="S120" s="32"/>
      <c r="U120" s="42" t="e">
        <f t="shared" si="17"/>
        <v>#DIV/0!</v>
      </c>
      <c r="V120" s="42" t="e">
        <f t="shared" si="18"/>
        <v>#DIV/0!</v>
      </c>
      <c r="W120" s="42" t="e">
        <f t="shared" si="19"/>
        <v>#DIV/0!</v>
      </c>
    </row>
    <row r="121" spans="1:23" s="28" customFormat="1" ht="73.5" customHeight="1" x14ac:dyDescent="0.2">
      <c r="A121" s="30">
        <v>110</v>
      </c>
      <c r="B121" s="123" t="s">
        <v>188</v>
      </c>
      <c r="C121" s="116" t="s">
        <v>53</v>
      </c>
      <c r="D121" s="117">
        <v>61</v>
      </c>
      <c r="E121" s="118">
        <v>1090.4000000000001</v>
      </c>
      <c r="F121" s="35"/>
      <c r="G121" s="124"/>
      <c r="H121" s="38"/>
      <c r="I121" s="38">
        <f t="shared" si="21"/>
        <v>0</v>
      </c>
      <c r="J121" s="38"/>
      <c r="K121" s="38"/>
      <c r="L121" s="38">
        <f t="shared" si="12"/>
        <v>0</v>
      </c>
      <c r="M121" s="32"/>
      <c r="N121" s="38"/>
      <c r="O121" s="38">
        <f t="shared" si="20"/>
        <v>0</v>
      </c>
      <c r="P121" s="39" t="e">
        <f t="shared" si="14"/>
        <v>#DIV/0!</v>
      </c>
      <c r="Q121" s="40" t="e">
        <f t="shared" si="15"/>
        <v>#DIV/0!</v>
      </c>
      <c r="R121" s="39">
        <f t="shared" si="16"/>
        <v>0</v>
      </c>
      <c r="S121" s="32"/>
      <c r="U121" s="42" t="e">
        <f t="shared" si="17"/>
        <v>#DIV/0!</v>
      </c>
      <c r="V121" s="42" t="e">
        <f t="shared" si="18"/>
        <v>#DIV/0!</v>
      </c>
      <c r="W121" s="42" t="e">
        <f t="shared" si="19"/>
        <v>#DIV/0!</v>
      </c>
    </row>
    <row r="122" spans="1:23" s="28" customFormat="1" ht="73.5" customHeight="1" x14ac:dyDescent="0.2">
      <c r="A122" s="30">
        <v>111</v>
      </c>
      <c r="B122" s="123" t="s">
        <v>190</v>
      </c>
      <c r="C122" s="116" t="s">
        <v>53</v>
      </c>
      <c r="D122" s="117">
        <v>1.1000000000000001</v>
      </c>
      <c r="E122" s="118">
        <v>2710.82</v>
      </c>
      <c r="F122" s="35"/>
      <c r="G122" s="124"/>
      <c r="H122" s="38"/>
      <c r="I122" s="38">
        <f t="shared" si="21"/>
        <v>0</v>
      </c>
      <c r="J122" s="38"/>
      <c r="K122" s="38"/>
      <c r="L122" s="38">
        <f t="shared" si="12"/>
        <v>0</v>
      </c>
      <c r="M122" s="32"/>
      <c r="N122" s="38"/>
      <c r="O122" s="38">
        <f t="shared" si="20"/>
        <v>0</v>
      </c>
      <c r="P122" s="39" t="e">
        <f t="shared" si="14"/>
        <v>#DIV/0!</v>
      </c>
      <c r="Q122" s="40" t="e">
        <f t="shared" si="15"/>
        <v>#DIV/0!</v>
      </c>
      <c r="R122" s="39">
        <f t="shared" si="16"/>
        <v>0</v>
      </c>
      <c r="S122" s="32"/>
      <c r="U122" s="42" t="e">
        <f t="shared" si="17"/>
        <v>#DIV/0!</v>
      </c>
      <c r="V122" s="42" t="e">
        <f t="shared" si="18"/>
        <v>#DIV/0!</v>
      </c>
      <c r="W122" s="42" t="e">
        <f t="shared" si="19"/>
        <v>#DIV/0!</v>
      </c>
    </row>
    <row r="123" spans="1:23" s="28" customFormat="1" ht="73.5" customHeight="1" x14ac:dyDescent="0.2">
      <c r="A123" s="30">
        <v>112</v>
      </c>
      <c r="B123" s="123" t="s">
        <v>192</v>
      </c>
      <c r="C123" s="116" t="s">
        <v>53</v>
      </c>
      <c r="D123" s="117">
        <v>3.1</v>
      </c>
      <c r="E123" s="118">
        <v>2701.65</v>
      </c>
      <c r="F123" s="35"/>
      <c r="G123" s="124"/>
      <c r="H123" s="38"/>
      <c r="I123" s="38">
        <f t="shared" si="21"/>
        <v>0</v>
      </c>
      <c r="J123" s="38"/>
      <c r="K123" s="38"/>
      <c r="L123" s="38">
        <f t="shared" si="12"/>
        <v>0</v>
      </c>
      <c r="M123" s="32"/>
      <c r="N123" s="38"/>
      <c r="O123" s="38">
        <f t="shared" si="20"/>
        <v>0</v>
      </c>
      <c r="P123" s="39" t="e">
        <f t="shared" si="14"/>
        <v>#DIV/0!</v>
      </c>
      <c r="Q123" s="40" t="e">
        <f t="shared" si="15"/>
        <v>#DIV/0!</v>
      </c>
      <c r="R123" s="39">
        <f t="shared" si="16"/>
        <v>0</v>
      </c>
      <c r="S123" s="32"/>
      <c r="U123" s="42" t="e">
        <f t="shared" si="17"/>
        <v>#DIV/0!</v>
      </c>
      <c r="V123" s="42" t="e">
        <f t="shared" si="18"/>
        <v>#DIV/0!</v>
      </c>
      <c r="W123" s="42" t="e">
        <f t="shared" si="19"/>
        <v>#DIV/0!</v>
      </c>
    </row>
    <row r="124" spans="1:23" s="28" customFormat="1" ht="73.5" customHeight="1" x14ac:dyDescent="0.2">
      <c r="A124" s="30">
        <v>113</v>
      </c>
      <c r="B124" s="123" t="s">
        <v>194</v>
      </c>
      <c r="C124" s="116" t="s">
        <v>53</v>
      </c>
      <c r="D124" s="117">
        <v>10</v>
      </c>
      <c r="E124" s="118">
        <v>1478.6</v>
      </c>
      <c r="F124" s="35"/>
      <c r="G124" s="124"/>
      <c r="H124" s="38"/>
      <c r="I124" s="38">
        <f t="shared" si="21"/>
        <v>0</v>
      </c>
      <c r="J124" s="38"/>
      <c r="K124" s="38"/>
      <c r="L124" s="38">
        <f t="shared" si="12"/>
        <v>0</v>
      </c>
      <c r="M124" s="32"/>
      <c r="N124" s="38"/>
      <c r="O124" s="38">
        <f t="shared" si="20"/>
        <v>0</v>
      </c>
      <c r="P124" s="39" t="e">
        <f t="shared" si="14"/>
        <v>#DIV/0!</v>
      </c>
      <c r="Q124" s="40" t="e">
        <f t="shared" si="15"/>
        <v>#DIV/0!</v>
      </c>
      <c r="R124" s="39">
        <f t="shared" si="16"/>
        <v>0</v>
      </c>
      <c r="S124" s="32"/>
      <c r="U124" s="42" t="e">
        <f t="shared" si="17"/>
        <v>#DIV/0!</v>
      </c>
      <c r="V124" s="42" t="e">
        <f t="shared" si="18"/>
        <v>#DIV/0!</v>
      </c>
      <c r="W124" s="42" t="e">
        <f t="shared" si="19"/>
        <v>#DIV/0!</v>
      </c>
    </row>
    <row r="125" spans="1:23" s="28" customFormat="1" ht="73.5" customHeight="1" x14ac:dyDescent="0.2">
      <c r="A125" s="30">
        <v>114</v>
      </c>
      <c r="B125" s="123" t="s">
        <v>195</v>
      </c>
      <c r="C125" s="116" t="s">
        <v>53</v>
      </c>
      <c r="D125" s="117">
        <v>19</v>
      </c>
      <c r="E125" s="118">
        <v>1369.87</v>
      </c>
      <c r="F125" s="35"/>
      <c r="G125" s="124"/>
      <c r="H125" s="38"/>
      <c r="I125" s="38">
        <f t="shared" si="21"/>
        <v>0</v>
      </c>
      <c r="J125" s="38"/>
      <c r="K125" s="38"/>
      <c r="L125" s="38">
        <f t="shared" si="12"/>
        <v>0</v>
      </c>
      <c r="M125" s="32"/>
      <c r="N125" s="38"/>
      <c r="O125" s="38">
        <f t="shared" si="20"/>
        <v>0</v>
      </c>
      <c r="P125" s="39" t="e">
        <f t="shared" si="14"/>
        <v>#DIV/0!</v>
      </c>
      <c r="Q125" s="40" t="e">
        <f t="shared" si="15"/>
        <v>#DIV/0!</v>
      </c>
      <c r="R125" s="39">
        <f t="shared" si="16"/>
        <v>0</v>
      </c>
      <c r="S125" s="32"/>
      <c r="U125" s="42" t="e">
        <f t="shared" si="17"/>
        <v>#DIV/0!</v>
      </c>
      <c r="V125" s="42" t="e">
        <f t="shared" si="18"/>
        <v>#DIV/0!</v>
      </c>
      <c r="W125" s="42" t="e">
        <f t="shared" si="19"/>
        <v>#DIV/0!</v>
      </c>
    </row>
    <row r="126" spans="1:23" s="28" customFormat="1" ht="73.5" customHeight="1" x14ac:dyDescent="0.2">
      <c r="A126" s="30">
        <v>115</v>
      </c>
      <c r="B126" s="123" t="s">
        <v>196</v>
      </c>
      <c r="C126" s="116" t="s">
        <v>53</v>
      </c>
      <c r="D126" s="117">
        <v>1.1000000000000001</v>
      </c>
      <c r="E126" s="118">
        <v>1878.3</v>
      </c>
      <c r="F126" s="35"/>
      <c r="G126" s="124"/>
      <c r="H126" s="38"/>
      <c r="I126" s="38">
        <f t="shared" si="21"/>
        <v>0</v>
      </c>
      <c r="J126" s="38"/>
      <c r="K126" s="38"/>
      <c r="L126" s="38">
        <f t="shared" si="12"/>
        <v>0</v>
      </c>
      <c r="M126" s="32"/>
      <c r="N126" s="38"/>
      <c r="O126" s="38">
        <f t="shared" si="20"/>
        <v>0</v>
      </c>
      <c r="P126" s="39" t="e">
        <f t="shared" si="14"/>
        <v>#DIV/0!</v>
      </c>
      <c r="Q126" s="40" t="e">
        <f t="shared" si="15"/>
        <v>#DIV/0!</v>
      </c>
      <c r="R126" s="39">
        <f t="shared" si="16"/>
        <v>0</v>
      </c>
      <c r="S126" s="32"/>
      <c r="U126" s="42" t="e">
        <f t="shared" si="17"/>
        <v>#DIV/0!</v>
      </c>
      <c r="V126" s="42" t="e">
        <f t="shared" si="18"/>
        <v>#DIV/0!</v>
      </c>
      <c r="W126" s="42" t="e">
        <f t="shared" si="19"/>
        <v>#DIV/0!</v>
      </c>
    </row>
    <row r="127" spans="1:23" s="28" customFormat="1" ht="73.5" customHeight="1" x14ac:dyDescent="0.2">
      <c r="A127" s="30">
        <v>116</v>
      </c>
      <c r="B127" s="115" t="s">
        <v>197</v>
      </c>
      <c r="C127" s="116" t="s">
        <v>45</v>
      </c>
      <c r="D127" s="117">
        <v>450</v>
      </c>
      <c r="E127" s="118">
        <v>452.31</v>
      </c>
      <c r="F127" s="35"/>
      <c r="G127" s="32"/>
      <c r="H127" s="38"/>
      <c r="I127" s="38">
        <f t="shared" si="21"/>
        <v>0</v>
      </c>
      <c r="J127" s="38"/>
      <c r="K127" s="38"/>
      <c r="L127" s="38">
        <f t="shared" si="12"/>
        <v>0</v>
      </c>
      <c r="M127" s="32"/>
      <c r="N127" s="38"/>
      <c r="O127" s="38">
        <f t="shared" si="20"/>
        <v>0</v>
      </c>
      <c r="P127" s="39" t="e">
        <f t="shared" si="14"/>
        <v>#DIV/0!</v>
      </c>
      <c r="Q127" s="40" t="e">
        <f t="shared" si="15"/>
        <v>#DIV/0!</v>
      </c>
      <c r="R127" s="39">
        <f t="shared" si="16"/>
        <v>0</v>
      </c>
      <c r="S127" s="32"/>
      <c r="U127" s="42" t="e">
        <f t="shared" si="17"/>
        <v>#DIV/0!</v>
      </c>
      <c r="V127" s="42" t="e">
        <f t="shared" si="18"/>
        <v>#DIV/0!</v>
      </c>
      <c r="W127" s="42" t="e">
        <f t="shared" si="19"/>
        <v>#DIV/0!</v>
      </c>
    </row>
    <row r="128" spans="1:23" s="28" customFormat="1" ht="73.5" customHeight="1" x14ac:dyDescent="0.2">
      <c r="A128" s="30">
        <v>117</v>
      </c>
      <c r="B128" s="115" t="s">
        <v>546</v>
      </c>
      <c r="C128" s="116" t="s">
        <v>53</v>
      </c>
      <c r="D128" s="117">
        <v>11</v>
      </c>
      <c r="E128" s="118" t="s">
        <v>504</v>
      </c>
      <c r="F128" s="35"/>
      <c r="G128" s="32"/>
      <c r="H128" s="38"/>
      <c r="I128" s="38">
        <f t="shared" si="21"/>
        <v>0</v>
      </c>
      <c r="J128" s="38"/>
      <c r="K128" s="38"/>
      <c r="L128" s="38">
        <f t="shared" si="12"/>
        <v>0</v>
      </c>
      <c r="M128" s="32"/>
      <c r="N128" s="38"/>
      <c r="O128" s="38">
        <f t="shared" si="20"/>
        <v>0</v>
      </c>
      <c r="P128" s="39" t="e">
        <f t="shared" si="14"/>
        <v>#DIV/0!</v>
      </c>
      <c r="Q128" s="40" t="e">
        <f t="shared" si="15"/>
        <v>#DIV/0!</v>
      </c>
      <c r="R128" s="39">
        <f t="shared" si="16"/>
        <v>0</v>
      </c>
      <c r="S128" s="32"/>
      <c r="U128" s="42" t="e">
        <f t="shared" si="17"/>
        <v>#DIV/0!</v>
      </c>
      <c r="V128" s="42" t="e">
        <f t="shared" si="18"/>
        <v>#DIV/0!</v>
      </c>
      <c r="W128" s="42" t="e">
        <f t="shared" si="19"/>
        <v>#DIV/0!</v>
      </c>
    </row>
    <row r="129" spans="1:23" s="28" customFormat="1" ht="73.5" customHeight="1" x14ac:dyDescent="0.2">
      <c r="A129" s="30">
        <v>118</v>
      </c>
      <c r="B129" s="115" t="s">
        <v>201</v>
      </c>
      <c r="C129" s="116" t="s">
        <v>45</v>
      </c>
      <c r="D129" s="117">
        <v>140</v>
      </c>
      <c r="E129" s="118">
        <v>429.98</v>
      </c>
      <c r="F129" s="35"/>
      <c r="G129" s="32"/>
      <c r="H129" s="38"/>
      <c r="I129" s="38">
        <f t="shared" si="21"/>
        <v>0</v>
      </c>
      <c r="J129" s="38"/>
      <c r="K129" s="38"/>
      <c r="L129" s="38">
        <f t="shared" si="12"/>
        <v>0</v>
      </c>
      <c r="M129" s="32"/>
      <c r="N129" s="38"/>
      <c r="O129" s="38">
        <f t="shared" si="20"/>
        <v>0</v>
      </c>
      <c r="P129" s="39" t="e">
        <f t="shared" si="14"/>
        <v>#DIV/0!</v>
      </c>
      <c r="Q129" s="40" t="e">
        <f t="shared" si="15"/>
        <v>#DIV/0!</v>
      </c>
      <c r="R129" s="39">
        <f t="shared" si="16"/>
        <v>0</v>
      </c>
      <c r="S129" s="32"/>
      <c r="U129" s="42" t="e">
        <f t="shared" si="17"/>
        <v>#DIV/0!</v>
      </c>
      <c r="V129" s="42" t="e">
        <f t="shared" si="18"/>
        <v>#DIV/0!</v>
      </c>
      <c r="W129" s="42" t="e">
        <f t="shared" si="19"/>
        <v>#DIV/0!</v>
      </c>
    </row>
    <row r="130" spans="1:23" s="28" customFormat="1" ht="73.5" customHeight="1" x14ac:dyDescent="0.2">
      <c r="A130" s="30">
        <v>119</v>
      </c>
      <c r="B130" s="115" t="s">
        <v>547</v>
      </c>
      <c r="C130" s="116" t="s">
        <v>45</v>
      </c>
      <c r="D130" s="117">
        <v>12</v>
      </c>
      <c r="E130" s="118">
        <v>905.66</v>
      </c>
      <c r="F130" s="35"/>
      <c r="G130" s="119"/>
      <c r="H130" s="38"/>
      <c r="I130" s="38">
        <f t="shared" si="21"/>
        <v>0</v>
      </c>
      <c r="J130" s="32"/>
      <c r="K130" s="38"/>
      <c r="L130" s="38">
        <f t="shared" si="12"/>
        <v>0</v>
      </c>
      <c r="M130" s="32"/>
      <c r="N130" s="38"/>
      <c r="O130" s="120">
        <f t="shared" si="20"/>
        <v>0</v>
      </c>
      <c r="P130" s="39" t="e">
        <f t="shared" si="14"/>
        <v>#DIV/0!</v>
      </c>
      <c r="Q130" s="121" t="e">
        <f t="shared" si="15"/>
        <v>#DIV/0!</v>
      </c>
      <c r="R130" s="39">
        <f t="shared" si="16"/>
        <v>0</v>
      </c>
      <c r="S130" s="32"/>
      <c r="U130" s="42" t="e">
        <f t="shared" si="17"/>
        <v>#DIV/0!</v>
      </c>
      <c r="V130" s="42" t="e">
        <f t="shared" si="18"/>
        <v>#DIV/0!</v>
      </c>
      <c r="W130" s="42" t="e">
        <f t="shared" si="19"/>
        <v>#DIV/0!</v>
      </c>
    </row>
    <row r="131" spans="1:23" s="28" customFormat="1" ht="73.5" customHeight="1" x14ac:dyDescent="0.2">
      <c r="A131" s="30">
        <v>120</v>
      </c>
      <c r="B131" s="115" t="s">
        <v>207</v>
      </c>
      <c r="C131" s="116" t="s">
        <v>25</v>
      </c>
      <c r="D131" s="117">
        <v>20</v>
      </c>
      <c r="E131" s="118">
        <v>228.33</v>
      </c>
      <c r="F131" s="35"/>
      <c r="G131" s="32"/>
      <c r="H131" s="38"/>
      <c r="I131" s="38">
        <f t="shared" si="21"/>
        <v>0</v>
      </c>
      <c r="J131" s="32"/>
      <c r="K131" s="38"/>
      <c r="L131" s="38">
        <f t="shared" si="12"/>
        <v>0</v>
      </c>
      <c r="M131" s="32"/>
      <c r="N131" s="38"/>
      <c r="O131" s="38">
        <f t="shared" si="20"/>
        <v>0</v>
      </c>
      <c r="P131" s="39" t="e">
        <f t="shared" si="14"/>
        <v>#DIV/0!</v>
      </c>
      <c r="Q131" s="40" t="e">
        <f t="shared" si="15"/>
        <v>#DIV/0!</v>
      </c>
      <c r="R131" s="39">
        <f t="shared" si="16"/>
        <v>0</v>
      </c>
      <c r="S131" s="32"/>
      <c r="T131" s="53"/>
      <c r="U131" s="42" t="e">
        <f t="shared" si="17"/>
        <v>#DIV/0!</v>
      </c>
      <c r="V131" s="42" t="e">
        <f t="shared" si="18"/>
        <v>#DIV/0!</v>
      </c>
      <c r="W131" s="42" t="e">
        <f t="shared" si="19"/>
        <v>#DIV/0!</v>
      </c>
    </row>
    <row r="132" spans="1:23" s="28" customFormat="1" ht="73.5" customHeight="1" x14ac:dyDescent="0.2">
      <c r="A132" s="30">
        <v>121</v>
      </c>
      <c r="B132" s="115" t="s">
        <v>208</v>
      </c>
      <c r="C132" s="116" t="s">
        <v>25</v>
      </c>
      <c r="D132" s="117">
        <v>90</v>
      </c>
      <c r="E132" s="118">
        <v>233.64</v>
      </c>
      <c r="F132" s="35"/>
      <c r="G132" s="119"/>
      <c r="H132" s="38"/>
      <c r="I132" s="38">
        <f t="shared" si="21"/>
        <v>0</v>
      </c>
      <c r="J132" s="32"/>
      <c r="K132" s="38"/>
      <c r="L132" s="38">
        <f t="shared" si="12"/>
        <v>0</v>
      </c>
      <c r="M132" s="32"/>
      <c r="N132" s="38"/>
      <c r="O132" s="120">
        <f t="shared" si="20"/>
        <v>0</v>
      </c>
      <c r="P132" s="39" t="e">
        <f t="shared" si="14"/>
        <v>#DIV/0!</v>
      </c>
      <c r="Q132" s="121" t="e">
        <f t="shared" si="15"/>
        <v>#DIV/0!</v>
      </c>
      <c r="R132" s="39">
        <f t="shared" si="16"/>
        <v>0</v>
      </c>
      <c r="S132" s="32"/>
      <c r="U132" s="42" t="e">
        <f t="shared" si="17"/>
        <v>#DIV/0!</v>
      </c>
      <c r="V132" s="42" t="e">
        <f t="shared" si="18"/>
        <v>#DIV/0!</v>
      </c>
      <c r="W132" s="42" t="e">
        <f t="shared" si="19"/>
        <v>#DIV/0!</v>
      </c>
    </row>
    <row r="133" spans="1:23" s="28" customFormat="1" ht="73.5" customHeight="1" x14ac:dyDescent="0.2">
      <c r="A133" s="30">
        <v>122</v>
      </c>
      <c r="B133" s="115" t="s">
        <v>210</v>
      </c>
      <c r="C133" s="116" t="s">
        <v>25</v>
      </c>
      <c r="D133" s="117">
        <v>200</v>
      </c>
      <c r="E133" s="118">
        <v>325.77999999999997</v>
      </c>
      <c r="F133" s="35"/>
      <c r="G133" s="32"/>
      <c r="H133" s="38"/>
      <c r="I133" s="57">
        <f t="shared" si="21"/>
        <v>0</v>
      </c>
      <c r="J133" s="57"/>
      <c r="K133" s="57"/>
      <c r="L133" s="57">
        <f t="shared" si="12"/>
        <v>0</v>
      </c>
      <c r="M133" s="57"/>
      <c r="N133" s="57"/>
      <c r="O133" s="57">
        <f t="shared" si="20"/>
        <v>0</v>
      </c>
      <c r="P133" s="39" t="e">
        <f t="shared" si="14"/>
        <v>#DIV/0!</v>
      </c>
      <c r="Q133" s="40" t="e">
        <f t="shared" si="15"/>
        <v>#DIV/0!</v>
      </c>
      <c r="R133" s="39">
        <f t="shared" si="16"/>
        <v>0</v>
      </c>
      <c r="S133" s="32"/>
      <c r="U133" s="42" t="e">
        <f t="shared" si="17"/>
        <v>#DIV/0!</v>
      </c>
      <c r="V133" s="42" t="e">
        <f t="shared" si="18"/>
        <v>#DIV/0!</v>
      </c>
      <c r="W133" s="42" t="e">
        <f t="shared" si="19"/>
        <v>#DIV/0!</v>
      </c>
    </row>
    <row r="134" spans="1:23" s="28" customFormat="1" ht="73.5" customHeight="1" x14ac:dyDescent="0.2">
      <c r="A134" s="30">
        <v>123</v>
      </c>
      <c r="B134" s="115" t="s">
        <v>211</v>
      </c>
      <c r="C134" s="116" t="s">
        <v>25</v>
      </c>
      <c r="D134" s="117">
        <v>40</v>
      </c>
      <c r="E134" s="118">
        <v>1233.75</v>
      </c>
      <c r="F134" s="35"/>
      <c r="G134" s="32"/>
      <c r="H134" s="38"/>
      <c r="I134" s="57">
        <f t="shared" si="21"/>
        <v>0</v>
      </c>
      <c r="J134" s="57"/>
      <c r="K134" s="57"/>
      <c r="L134" s="57">
        <f t="shared" si="12"/>
        <v>0</v>
      </c>
      <c r="M134" s="57"/>
      <c r="N134" s="57"/>
      <c r="O134" s="57">
        <f t="shared" si="20"/>
        <v>0</v>
      </c>
      <c r="P134" s="39" t="e">
        <f t="shared" si="14"/>
        <v>#DIV/0!</v>
      </c>
      <c r="Q134" s="40" t="e">
        <f t="shared" si="15"/>
        <v>#DIV/0!</v>
      </c>
      <c r="R134" s="39">
        <f t="shared" si="16"/>
        <v>0</v>
      </c>
      <c r="S134" s="32"/>
      <c r="U134" s="42" t="e">
        <f t="shared" si="17"/>
        <v>#DIV/0!</v>
      </c>
      <c r="V134" s="42" t="e">
        <f t="shared" si="18"/>
        <v>#DIV/0!</v>
      </c>
      <c r="W134" s="42" t="e">
        <f t="shared" si="19"/>
        <v>#DIV/0!</v>
      </c>
    </row>
    <row r="135" spans="1:23" s="28" customFormat="1" ht="73.5" customHeight="1" x14ac:dyDescent="0.2">
      <c r="A135" s="30">
        <v>124</v>
      </c>
      <c r="B135" s="115" t="s">
        <v>212</v>
      </c>
      <c r="C135" s="116" t="s">
        <v>25</v>
      </c>
      <c r="D135" s="117">
        <v>30</v>
      </c>
      <c r="E135" s="118">
        <v>1098.76</v>
      </c>
      <c r="F135" s="35"/>
      <c r="G135" s="119"/>
      <c r="H135" s="38"/>
      <c r="I135" s="38">
        <f t="shared" si="21"/>
        <v>0</v>
      </c>
      <c r="J135" s="32"/>
      <c r="K135" s="38"/>
      <c r="L135" s="38">
        <f t="shared" si="12"/>
        <v>0</v>
      </c>
      <c r="M135" s="32"/>
      <c r="N135" s="38"/>
      <c r="O135" s="120">
        <f t="shared" si="20"/>
        <v>0</v>
      </c>
      <c r="P135" s="39" t="e">
        <f t="shared" si="14"/>
        <v>#DIV/0!</v>
      </c>
      <c r="Q135" s="121" t="e">
        <f t="shared" si="15"/>
        <v>#DIV/0!</v>
      </c>
      <c r="R135" s="39">
        <f t="shared" si="16"/>
        <v>0</v>
      </c>
      <c r="S135" s="32"/>
      <c r="U135" s="42" t="e">
        <f t="shared" si="17"/>
        <v>#DIV/0!</v>
      </c>
      <c r="V135" s="42" t="e">
        <f t="shared" si="18"/>
        <v>#DIV/0!</v>
      </c>
      <c r="W135" s="42" t="e">
        <f t="shared" si="19"/>
        <v>#DIV/0!</v>
      </c>
    </row>
    <row r="136" spans="1:23" s="28" customFormat="1" ht="73.5" customHeight="1" x14ac:dyDescent="0.2">
      <c r="A136" s="30">
        <v>125</v>
      </c>
      <c r="B136" s="115" t="s">
        <v>213</v>
      </c>
      <c r="C136" s="116" t="s">
        <v>25</v>
      </c>
      <c r="D136" s="117">
        <v>104</v>
      </c>
      <c r="E136" s="118">
        <v>951.47</v>
      </c>
      <c r="F136" s="35"/>
      <c r="G136" s="32"/>
      <c r="H136" s="38"/>
      <c r="I136" s="57">
        <f t="shared" si="21"/>
        <v>0</v>
      </c>
      <c r="J136" s="57"/>
      <c r="K136" s="57"/>
      <c r="L136" s="57">
        <f t="shared" si="12"/>
        <v>0</v>
      </c>
      <c r="M136" s="57"/>
      <c r="N136" s="57"/>
      <c r="O136" s="57">
        <f t="shared" si="20"/>
        <v>0</v>
      </c>
      <c r="P136" s="39" t="e">
        <f t="shared" si="14"/>
        <v>#DIV/0!</v>
      </c>
      <c r="Q136" s="40" t="e">
        <f t="shared" si="15"/>
        <v>#DIV/0!</v>
      </c>
      <c r="R136" s="39">
        <f t="shared" si="16"/>
        <v>0</v>
      </c>
      <c r="S136" s="32"/>
      <c r="U136" s="42" t="e">
        <f t="shared" si="17"/>
        <v>#DIV/0!</v>
      </c>
      <c r="V136" s="42" t="e">
        <f t="shared" si="18"/>
        <v>#DIV/0!</v>
      </c>
      <c r="W136" s="42" t="e">
        <f t="shared" si="19"/>
        <v>#DIV/0!</v>
      </c>
    </row>
    <row r="137" spans="1:23" s="28" customFormat="1" ht="73.5" customHeight="1" x14ac:dyDescent="0.2">
      <c r="A137" s="30">
        <v>126</v>
      </c>
      <c r="B137" s="115" t="s">
        <v>214</v>
      </c>
      <c r="C137" s="116" t="s">
        <v>25</v>
      </c>
      <c r="D137" s="117">
        <v>424</v>
      </c>
      <c r="E137" s="118">
        <v>1254.32</v>
      </c>
      <c r="F137" s="35"/>
      <c r="G137" s="119"/>
      <c r="H137" s="38"/>
      <c r="I137" s="38">
        <f t="shared" si="21"/>
        <v>0</v>
      </c>
      <c r="J137" s="32"/>
      <c r="K137" s="38"/>
      <c r="L137" s="38">
        <f t="shared" si="12"/>
        <v>0</v>
      </c>
      <c r="M137" s="32"/>
      <c r="N137" s="38"/>
      <c r="O137" s="120">
        <f t="shared" ref="O137:O168" si="22">D137*N137</f>
        <v>0</v>
      </c>
      <c r="P137" s="39" t="e">
        <f t="shared" si="14"/>
        <v>#DIV/0!</v>
      </c>
      <c r="Q137" s="121" t="e">
        <f t="shared" si="15"/>
        <v>#DIV/0!</v>
      </c>
      <c r="R137" s="39">
        <f t="shared" si="16"/>
        <v>0</v>
      </c>
      <c r="S137" s="32"/>
      <c r="U137" s="42" t="e">
        <f t="shared" si="17"/>
        <v>#DIV/0!</v>
      </c>
      <c r="V137" s="42" t="e">
        <f t="shared" si="18"/>
        <v>#DIV/0!</v>
      </c>
      <c r="W137" s="42" t="e">
        <f t="shared" si="19"/>
        <v>#DIV/0!</v>
      </c>
    </row>
    <row r="138" spans="1:23" s="28" customFormat="1" ht="73.5" customHeight="1" x14ac:dyDescent="0.2">
      <c r="A138" s="30">
        <v>127</v>
      </c>
      <c r="B138" s="115" t="s">
        <v>215</v>
      </c>
      <c r="C138" s="116" t="s">
        <v>25</v>
      </c>
      <c r="D138" s="117">
        <v>25</v>
      </c>
      <c r="E138" s="118">
        <v>1529.66</v>
      </c>
      <c r="F138" s="35"/>
      <c r="G138" s="119"/>
      <c r="H138" s="38"/>
      <c r="I138" s="57">
        <f t="shared" si="21"/>
        <v>0</v>
      </c>
      <c r="J138" s="32"/>
      <c r="K138" s="57"/>
      <c r="L138" s="57">
        <f t="shared" si="12"/>
        <v>0</v>
      </c>
      <c r="M138" s="32"/>
      <c r="N138" s="57"/>
      <c r="O138" s="120">
        <f t="shared" si="22"/>
        <v>0</v>
      </c>
      <c r="P138" s="39" t="e">
        <f t="shared" si="14"/>
        <v>#DIV/0!</v>
      </c>
      <c r="Q138" s="121" t="e">
        <f t="shared" si="15"/>
        <v>#DIV/0!</v>
      </c>
      <c r="R138" s="39">
        <f t="shared" si="16"/>
        <v>0</v>
      </c>
      <c r="S138" s="32"/>
      <c r="U138" s="42" t="e">
        <f t="shared" si="17"/>
        <v>#DIV/0!</v>
      </c>
      <c r="V138" s="42" t="e">
        <f t="shared" si="18"/>
        <v>#DIV/0!</v>
      </c>
      <c r="W138" s="42" t="e">
        <f t="shared" si="19"/>
        <v>#DIV/0!</v>
      </c>
    </row>
    <row r="139" spans="1:23" s="28" customFormat="1" ht="73.5" customHeight="1" x14ac:dyDescent="0.2">
      <c r="A139" s="30">
        <v>128</v>
      </c>
      <c r="B139" s="115" t="s">
        <v>216</v>
      </c>
      <c r="C139" s="116" t="s">
        <v>25</v>
      </c>
      <c r="D139" s="117">
        <v>250</v>
      </c>
      <c r="E139" s="118">
        <v>469.64</v>
      </c>
      <c r="F139" s="35"/>
      <c r="G139" s="32"/>
      <c r="H139" s="38"/>
      <c r="I139" s="57">
        <f t="shared" si="21"/>
        <v>0</v>
      </c>
      <c r="J139" s="57"/>
      <c r="K139" s="57"/>
      <c r="L139" s="57">
        <f t="shared" si="12"/>
        <v>0</v>
      </c>
      <c r="M139" s="57"/>
      <c r="N139" s="57"/>
      <c r="O139" s="57">
        <f t="shared" si="22"/>
        <v>0</v>
      </c>
      <c r="P139" s="39" t="e">
        <f t="shared" si="14"/>
        <v>#DIV/0!</v>
      </c>
      <c r="Q139" s="40" t="e">
        <f t="shared" si="15"/>
        <v>#DIV/0!</v>
      </c>
      <c r="R139" s="39">
        <f t="shared" si="16"/>
        <v>0</v>
      </c>
      <c r="S139" s="32"/>
      <c r="U139" s="42" t="e">
        <f t="shared" si="17"/>
        <v>#DIV/0!</v>
      </c>
      <c r="V139" s="42" t="e">
        <f t="shared" si="18"/>
        <v>#DIV/0!</v>
      </c>
      <c r="W139" s="42" t="e">
        <f t="shared" si="19"/>
        <v>#DIV/0!</v>
      </c>
    </row>
    <row r="140" spans="1:23" s="28" customFormat="1" ht="82.5" customHeight="1" x14ac:dyDescent="0.2">
      <c r="A140" s="30">
        <v>129</v>
      </c>
      <c r="B140" s="115" t="s">
        <v>219</v>
      </c>
      <c r="C140" s="116" t="s">
        <v>25</v>
      </c>
      <c r="D140" s="117">
        <v>1018</v>
      </c>
      <c r="E140" s="118">
        <v>275.68</v>
      </c>
      <c r="F140" s="35"/>
      <c r="G140" s="32"/>
      <c r="H140" s="38"/>
      <c r="I140" s="57">
        <f t="shared" ref="I140:I171" si="23">D140*H140</f>
        <v>0</v>
      </c>
      <c r="J140" s="57"/>
      <c r="K140" s="57"/>
      <c r="L140" s="57">
        <f t="shared" ref="L140:L203" si="24">D140*K140</f>
        <v>0</v>
      </c>
      <c r="M140" s="57"/>
      <c r="N140" s="57"/>
      <c r="O140" s="57">
        <f t="shared" si="22"/>
        <v>0</v>
      </c>
      <c r="P140" s="39" t="e">
        <f t="shared" ref="P140:P203" si="25">AVERAGE(H140,K140,N140)</f>
        <v>#DIV/0!</v>
      </c>
      <c r="Q140" s="40" t="e">
        <f t="shared" ref="Q140:Q203" si="26">F140*100/P140-100</f>
        <v>#DIV/0!</v>
      </c>
      <c r="R140" s="39">
        <f t="shared" ref="R140:R203" si="27">D140*F140</f>
        <v>0</v>
      </c>
      <c r="S140" s="32"/>
      <c r="U140" s="42" t="e">
        <f t="shared" ref="U140:U203" si="28">ROUND(H140*100/P140-100,0)</f>
        <v>#DIV/0!</v>
      </c>
      <c r="V140" s="42" t="e">
        <f t="shared" ref="V140:V203" si="29">ROUND(K140*100/P140-100,0)</f>
        <v>#DIV/0!</v>
      </c>
      <c r="W140" s="42" t="e">
        <f t="shared" ref="W140:W203" si="30">ROUND(N140*100/P140-100,0)</f>
        <v>#DIV/0!</v>
      </c>
    </row>
    <row r="141" spans="1:23" s="28" customFormat="1" ht="72" customHeight="1" x14ac:dyDescent="0.2">
      <c r="A141" s="30">
        <v>130</v>
      </c>
      <c r="B141" s="115" t="s">
        <v>229</v>
      </c>
      <c r="C141" s="116" t="s">
        <v>45</v>
      </c>
      <c r="D141" s="117">
        <v>50</v>
      </c>
      <c r="E141" s="118">
        <v>8050.5</v>
      </c>
      <c r="F141" s="35"/>
      <c r="G141" s="32"/>
      <c r="H141" s="38"/>
      <c r="I141" s="57">
        <f t="shared" si="23"/>
        <v>0</v>
      </c>
      <c r="J141" s="57"/>
      <c r="K141" s="57"/>
      <c r="L141" s="57">
        <f t="shared" si="24"/>
        <v>0</v>
      </c>
      <c r="M141" s="57"/>
      <c r="N141" s="57"/>
      <c r="O141" s="57">
        <f t="shared" si="22"/>
        <v>0</v>
      </c>
      <c r="P141" s="39" t="e">
        <f t="shared" si="25"/>
        <v>#DIV/0!</v>
      </c>
      <c r="Q141" s="40" t="e">
        <f t="shared" si="26"/>
        <v>#DIV/0!</v>
      </c>
      <c r="R141" s="39">
        <f t="shared" si="27"/>
        <v>0</v>
      </c>
      <c r="S141" s="32"/>
      <c r="U141" s="42" t="e">
        <f t="shared" si="28"/>
        <v>#DIV/0!</v>
      </c>
      <c r="V141" s="42" t="e">
        <f t="shared" si="29"/>
        <v>#DIV/0!</v>
      </c>
      <c r="W141" s="42" t="e">
        <f t="shared" si="30"/>
        <v>#DIV/0!</v>
      </c>
    </row>
    <row r="142" spans="1:23" s="28" customFormat="1" ht="73.5" customHeight="1" x14ac:dyDescent="0.2">
      <c r="A142" s="30">
        <v>131</v>
      </c>
      <c r="B142" s="115" t="s">
        <v>232</v>
      </c>
      <c r="C142" s="116" t="s">
        <v>25</v>
      </c>
      <c r="D142" s="117">
        <v>136</v>
      </c>
      <c r="E142" s="118">
        <v>164.05</v>
      </c>
      <c r="F142" s="35"/>
      <c r="G142" s="32"/>
      <c r="H142" s="38"/>
      <c r="I142" s="57">
        <f t="shared" si="23"/>
        <v>0</v>
      </c>
      <c r="J142" s="57"/>
      <c r="K142" s="57"/>
      <c r="L142" s="57">
        <f t="shared" si="24"/>
        <v>0</v>
      </c>
      <c r="M142" s="57"/>
      <c r="N142" s="57"/>
      <c r="O142" s="57">
        <f t="shared" si="22"/>
        <v>0</v>
      </c>
      <c r="P142" s="39" t="e">
        <f t="shared" si="25"/>
        <v>#DIV/0!</v>
      </c>
      <c r="Q142" s="40" t="e">
        <f t="shared" si="26"/>
        <v>#DIV/0!</v>
      </c>
      <c r="R142" s="39">
        <f t="shared" si="27"/>
        <v>0</v>
      </c>
      <c r="S142" s="32"/>
      <c r="U142" s="42" t="e">
        <f t="shared" si="28"/>
        <v>#DIV/0!</v>
      </c>
      <c r="V142" s="42" t="e">
        <f t="shared" si="29"/>
        <v>#DIV/0!</v>
      </c>
      <c r="W142" s="42" t="e">
        <f t="shared" si="30"/>
        <v>#DIV/0!</v>
      </c>
    </row>
    <row r="143" spans="1:23" s="28" customFormat="1" ht="73.5" customHeight="1" x14ac:dyDescent="0.2">
      <c r="A143" s="30">
        <v>132</v>
      </c>
      <c r="B143" s="115" t="s">
        <v>234</v>
      </c>
      <c r="C143" s="116" t="s">
        <v>45</v>
      </c>
      <c r="D143" s="117">
        <v>18.350000000000001</v>
      </c>
      <c r="E143" s="118">
        <v>6388.4</v>
      </c>
      <c r="F143" s="35"/>
      <c r="G143" s="119"/>
      <c r="H143" s="38"/>
      <c r="I143" s="38">
        <f t="shared" si="23"/>
        <v>0</v>
      </c>
      <c r="J143" s="32"/>
      <c r="K143" s="38"/>
      <c r="L143" s="38">
        <f t="shared" si="24"/>
        <v>0</v>
      </c>
      <c r="M143" s="32"/>
      <c r="N143" s="38"/>
      <c r="O143" s="120">
        <f t="shared" si="22"/>
        <v>0</v>
      </c>
      <c r="P143" s="39" t="e">
        <f t="shared" si="25"/>
        <v>#DIV/0!</v>
      </c>
      <c r="Q143" s="121" t="e">
        <f t="shared" si="26"/>
        <v>#DIV/0!</v>
      </c>
      <c r="R143" s="39">
        <f t="shared" si="27"/>
        <v>0</v>
      </c>
      <c r="S143" s="32"/>
      <c r="U143" s="42" t="e">
        <f t="shared" si="28"/>
        <v>#DIV/0!</v>
      </c>
      <c r="V143" s="42" t="e">
        <f t="shared" si="29"/>
        <v>#DIV/0!</v>
      </c>
      <c r="W143" s="42" t="e">
        <f t="shared" si="30"/>
        <v>#DIV/0!</v>
      </c>
    </row>
    <row r="144" spans="1:23" s="28" customFormat="1" ht="73.5" customHeight="1" x14ac:dyDescent="0.2">
      <c r="A144" s="30">
        <v>133</v>
      </c>
      <c r="B144" s="115" t="s">
        <v>237</v>
      </c>
      <c r="C144" s="116" t="s">
        <v>147</v>
      </c>
      <c r="D144" s="117">
        <v>2400</v>
      </c>
      <c r="E144" s="118">
        <v>14.72</v>
      </c>
      <c r="F144" s="35"/>
      <c r="G144" s="119"/>
      <c r="H144" s="38"/>
      <c r="I144" s="38">
        <f t="shared" si="23"/>
        <v>0</v>
      </c>
      <c r="J144" s="32"/>
      <c r="K144" s="38"/>
      <c r="L144" s="38">
        <f t="shared" si="24"/>
        <v>0</v>
      </c>
      <c r="M144" s="32"/>
      <c r="N144" s="38"/>
      <c r="O144" s="120">
        <f t="shared" si="22"/>
        <v>0</v>
      </c>
      <c r="P144" s="39" t="e">
        <f t="shared" si="25"/>
        <v>#DIV/0!</v>
      </c>
      <c r="Q144" s="121" t="e">
        <f t="shared" si="26"/>
        <v>#DIV/0!</v>
      </c>
      <c r="R144" s="39">
        <f t="shared" si="27"/>
        <v>0</v>
      </c>
      <c r="S144" s="32"/>
      <c r="U144" s="42" t="e">
        <f t="shared" si="28"/>
        <v>#DIV/0!</v>
      </c>
      <c r="V144" s="42" t="e">
        <f t="shared" si="29"/>
        <v>#DIV/0!</v>
      </c>
      <c r="W144" s="42" t="e">
        <f t="shared" si="30"/>
        <v>#DIV/0!</v>
      </c>
    </row>
    <row r="145" spans="1:23" s="28" customFormat="1" ht="73.5" customHeight="1" x14ac:dyDescent="0.2">
      <c r="A145" s="30">
        <v>134</v>
      </c>
      <c r="B145" s="115" t="s">
        <v>239</v>
      </c>
      <c r="C145" s="116" t="s">
        <v>147</v>
      </c>
      <c r="D145" s="117">
        <v>65</v>
      </c>
      <c r="E145" s="118">
        <v>6</v>
      </c>
      <c r="F145" s="35"/>
      <c r="G145" s="32"/>
      <c r="H145" s="38"/>
      <c r="I145" s="57">
        <f t="shared" si="23"/>
        <v>0</v>
      </c>
      <c r="J145" s="57"/>
      <c r="K145" s="57"/>
      <c r="L145" s="57">
        <f t="shared" si="24"/>
        <v>0</v>
      </c>
      <c r="M145" s="57"/>
      <c r="N145" s="57"/>
      <c r="O145" s="57">
        <f t="shared" si="22"/>
        <v>0</v>
      </c>
      <c r="P145" s="39" t="e">
        <f t="shared" si="25"/>
        <v>#DIV/0!</v>
      </c>
      <c r="Q145" s="40" t="e">
        <f t="shared" si="26"/>
        <v>#DIV/0!</v>
      </c>
      <c r="R145" s="39">
        <f t="shared" si="27"/>
        <v>0</v>
      </c>
      <c r="S145" s="32"/>
      <c r="U145" s="42" t="e">
        <f t="shared" si="28"/>
        <v>#DIV/0!</v>
      </c>
      <c r="V145" s="42" t="e">
        <f t="shared" si="29"/>
        <v>#DIV/0!</v>
      </c>
      <c r="W145" s="42" t="e">
        <f t="shared" si="30"/>
        <v>#DIV/0!</v>
      </c>
    </row>
    <row r="146" spans="1:23" s="28" customFormat="1" ht="73.5" customHeight="1" x14ac:dyDescent="0.2">
      <c r="A146" s="30">
        <v>135</v>
      </c>
      <c r="B146" s="115" t="s">
        <v>240</v>
      </c>
      <c r="C146" s="116" t="s">
        <v>147</v>
      </c>
      <c r="D146" s="117">
        <v>400</v>
      </c>
      <c r="E146" s="118">
        <v>7.6</v>
      </c>
      <c r="F146" s="35"/>
      <c r="G146" s="119"/>
      <c r="H146" s="38"/>
      <c r="I146" s="38">
        <f t="shared" si="23"/>
        <v>0</v>
      </c>
      <c r="J146" s="32"/>
      <c r="K146" s="38"/>
      <c r="L146" s="38">
        <f t="shared" si="24"/>
        <v>0</v>
      </c>
      <c r="M146" s="32"/>
      <c r="N146" s="38"/>
      <c r="O146" s="120">
        <f t="shared" si="22"/>
        <v>0</v>
      </c>
      <c r="P146" s="39" t="e">
        <f t="shared" si="25"/>
        <v>#DIV/0!</v>
      </c>
      <c r="Q146" s="121" t="e">
        <f t="shared" si="26"/>
        <v>#DIV/0!</v>
      </c>
      <c r="R146" s="39">
        <f t="shared" si="27"/>
        <v>0</v>
      </c>
      <c r="S146" s="32"/>
      <c r="U146" s="42" t="e">
        <f t="shared" si="28"/>
        <v>#DIV/0!</v>
      </c>
      <c r="V146" s="42" t="e">
        <f t="shared" si="29"/>
        <v>#DIV/0!</v>
      </c>
      <c r="W146" s="42" t="e">
        <f t="shared" si="30"/>
        <v>#DIV/0!</v>
      </c>
    </row>
    <row r="147" spans="1:23" s="28" customFormat="1" ht="73.5" customHeight="1" x14ac:dyDescent="0.2">
      <c r="A147" s="30">
        <v>136</v>
      </c>
      <c r="B147" s="115" t="s">
        <v>242</v>
      </c>
      <c r="C147" s="116" t="s">
        <v>147</v>
      </c>
      <c r="D147" s="117">
        <v>20</v>
      </c>
      <c r="E147" s="118">
        <v>9.52</v>
      </c>
      <c r="F147" s="35"/>
      <c r="G147" s="119"/>
      <c r="H147" s="38"/>
      <c r="I147" s="38">
        <f t="shared" si="23"/>
        <v>0</v>
      </c>
      <c r="J147" s="32"/>
      <c r="K147" s="38"/>
      <c r="L147" s="38">
        <f t="shared" si="24"/>
        <v>0</v>
      </c>
      <c r="M147" s="32"/>
      <c r="N147" s="38"/>
      <c r="O147" s="120">
        <f t="shared" si="22"/>
        <v>0</v>
      </c>
      <c r="P147" s="39" t="e">
        <f t="shared" si="25"/>
        <v>#DIV/0!</v>
      </c>
      <c r="Q147" s="121" t="e">
        <f t="shared" si="26"/>
        <v>#DIV/0!</v>
      </c>
      <c r="R147" s="39">
        <f t="shared" si="27"/>
        <v>0</v>
      </c>
      <c r="S147" s="32"/>
      <c r="U147" s="42" t="e">
        <f t="shared" si="28"/>
        <v>#DIV/0!</v>
      </c>
      <c r="V147" s="42" t="e">
        <f t="shared" si="29"/>
        <v>#DIV/0!</v>
      </c>
      <c r="W147" s="42" t="e">
        <f t="shared" si="30"/>
        <v>#DIV/0!</v>
      </c>
    </row>
    <row r="148" spans="1:23" s="28" customFormat="1" ht="73.5" customHeight="1" x14ac:dyDescent="0.2">
      <c r="A148" s="30">
        <v>137</v>
      </c>
      <c r="B148" s="115" t="s">
        <v>244</v>
      </c>
      <c r="C148" s="116" t="s">
        <v>147</v>
      </c>
      <c r="D148" s="117">
        <v>400</v>
      </c>
      <c r="E148" s="118">
        <v>6.79</v>
      </c>
      <c r="F148" s="35"/>
      <c r="G148" s="32"/>
      <c r="H148" s="38"/>
      <c r="I148" s="57">
        <f t="shared" si="23"/>
        <v>0</v>
      </c>
      <c r="J148" s="57"/>
      <c r="K148" s="57"/>
      <c r="L148" s="57">
        <f t="shared" si="24"/>
        <v>0</v>
      </c>
      <c r="M148" s="57"/>
      <c r="N148" s="57"/>
      <c r="O148" s="57">
        <f t="shared" si="22"/>
        <v>0</v>
      </c>
      <c r="P148" s="39" t="e">
        <f t="shared" si="25"/>
        <v>#DIV/0!</v>
      </c>
      <c r="Q148" s="40" t="e">
        <f t="shared" si="26"/>
        <v>#DIV/0!</v>
      </c>
      <c r="R148" s="39">
        <f t="shared" si="27"/>
        <v>0</v>
      </c>
      <c r="S148" s="32"/>
      <c r="U148" s="42" t="e">
        <f t="shared" si="28"/>
        <v>#DIV/0!</v>
      </c>
      <c r="V148" s="42" t="e">
        <f t="shared" si="29"/>
        <v>#DIV/0!</v>
      </c>
      <c r="W148" s="42" t="e">
        <f t="shared" si="30"/>
        <v>#DIV/0!</v>
      </c>
    </row>
    <row r="149" spans="1:23" s="28" customFormat="1" ht="73.5" customHeight="1" x14ac:dyDescent="0.2">
      <c r="A149" s="30">
        <v>138</v>
      </c>
      <c r="B149" s="115" t="s">
        <v>252</v>
      </c>
      <c r="C149" s="116" t="s">
        <v>45</v>
      </c>
      <c r="D149" s="117">
        <v>190</v>
      </c>
      <c r="E149" s="118">
        <v>383.82</v>
      </c>
      <c r="F149" s="35"/>
      <c r="G149" s="32"/>
      <c r="H149" s="38"/>
      <c r="I149" s="57">
        <f t="shared" si="23"/>
        <v>0</v>
      </c>
      <c r="J149" s="57"/>
      <c r="K149" s="57"/>
      <c r="L149" s="57">
        <f t="shared" si="24"/>
        <v>0</v>
      </c>
      <c r="M149" s="57"/>
      <c r="N149" s="57"/>
      <c r="O149" s="57">
        <f t="shared" si="22"/>
        <v>0</v>
      </c>
      <c r="P149" s="39" t="e">
        <f t="shared" si="25"/>
        <v>#DIV/0!</v>
      </c>
      <c r="Q149" s="40" t="e">
        <f t="shared" si="26"/>
        <v>#DIV/0!</v>
      </c>
      <c r="R149" s="39">
        <f t="shared" si="27"/>
        <v>0</v>
      </c>
      <c r="S149" s="32"/>
      <c r="U149" s="42" t="e">
        <f t="shared" si="28"/>
        <v>#DIV/0!</v>
      </c>
      <c r="V149" s="42" t="e">
        <f t="shared" si="29"/>
        <v>#DIV/0!</v>
      </c>
      <c r="W149" s="42" t="e">
        <f t="shared" si="30"/>
        <v>#DIV/0!</v>
      </c>
    </row>
    <row r="150" spans="1:23" s="28" customFormat="1" ht="73.5" customHeight="1" x14ac:dyDescent="0.2">
      <c r="A150" s="30">
        <v>139</v>
      </c>
      <c r="B150" s="115" t="s">
        <v>548</v>
      </c>
      <c r="C150" s="116" t="s">
        <v>45</v>
      </c>
      <c r="D150" s="117">
        <v>1194</v>
      </c>
      <c r="E150" s="118" t="s">
        <v>504</v>
      </c>
      <c r="F150" s="35"/>
      <c r="G150" s="32"/>
      <c r="H150" s="38"/>
      <c r="I150" s="57">
        <f t="shared" si="23"/>
        <v>0</v>
      </c>
      <c r="J150" s="57"/>
      <c r="K150" s="57"/>
      <c r="L150" s="57">
        <f t="shared" si="24"/>
        <v>0</v>
      </c>
      <c r="M150" s="57"/>
      <c r="N150" s="57"/>
      <c r="O150" s="57">
        <f t="shared" si="22"/>
        <v>0</v>
      </c>
      <c r="P150" s="39" t="e">
        <f t="shared" si="25"/>
        <v>#DIV/0!</v>
      </c>
      <c r="Q150" s="40" t="e">
        <f t="shared" si="26"/>
        <v>#DIV/0!</v>
      </c>
      <c r="R150" s="39">
        <f t="shared" si="27"/>
        <v>0</v>
      </c>
      <c r="S150" s="32"/>
      <c r="U150" s="42" t="e">
        <f t="shared" si="28"/>
        <v>#DIV/0!</v>
      </c>
      <c r="V150" s="42" t="e">
        <f t="shared" si="29"/>
        <v>#DIV/0!</v>
      </c>
      <c r="W150" s="42" t="e">
        <f t="shared" si="30"/>
        <v>#DIV/0!</v>
      </c>
    </row>
    <row r="151" spans="1:23" s="28" customFormat="1" ht="73.5" customHeight="1" x14ac:dyDescent="0.2">
      <c r="A151" s="30">
        <v>140</v>
      </c>
      <c r="B151" s="115" t="s">
        <v>549</v>
      </c>
      <c r="C151" s="116" t="s">
        <v>147</v>
      </c>
      <c r="D151" s="117">
        <v>50</v>
      </c>
      <c r="E151" s="118" t="s">
        <v>504</v>
      </c>
      <c r="F151" s="35"/>
      <c r="G151" s="32"/>
      <c r="H151" s="38"/>
      <c r="I151" s="57">
        <f t="shared" si="23"/>
        <v>0</v>
      </c>
      <c r="J151" s="57"/>
      <c r="K151" s="57"/>
      <c r="L151" s="57">
        <f t="shared" si="24"/>
        <v>0</v>
      </c>
      <c r="M151" s="57"/>
      <c r="N151" s="57"/>
      <c r="O151" s="57">
        <f t="shared" si="22"/>
        <v>0</v>
      </c>
      <c r="P151" s="39" t="e">
        <f t="shared" si="25"/>
        <v>#DIV/0!</v>
      </c>
      <c r="Q151" s="40" t="e">
        <f t="shared" si="26"/>
        <v>#DIV/0!</v>
      </c>
      <c r="R151" s="39">
        <f t="shared" si="27"/>
        <v>0</v>
      </c>
      <c r="S151" s="32"/>
      <c r="U151" s="42" t="e">
        <f t="shared" si="28"/>
        <v>#DIV/0!</v>
      </c>
      <c r="V151" s="42" t="e">
        <f t="shared" si="29"/>
        <v>#DIV/0!</v>
      </c>
      <c r="W151" s="42" t="e">
        <f t="shared" si="30"/>
        <v>#DIV/0!</v>
      </c>
    </row>
    <row r="152" spans="1:23" s="28" customFormat="1" ht="73.5" customHeight="1" x14ac:dyDescent="0.2">
      <c r="A152" s="30">
        <v>141</v>
      </c>
      <c r="B152" s="115" t="s">
        <v>256</v>
      </c>
      <c r="C152" s="116" t="s">
        <v>25</v>
      </c>
      <c r="D152" s="117">
        <v>1500</v>
      </c>
      <c r="E152" s="118">
        <v>254.67</v>
      </c>
      <c r="F152" s="35"/>
      <c r="G152" s="32"/>
      <c r="H152" s="38"/>
      <c r="I152" s="38">
        <f t="shared" si="23"/>
        <v>0</v>
      </c>
      <c r="J152" s="32"/>
      <c r="K152" s="38"/>
      <c r="L152" s="38">
        <f t="shared" si="24"/>
        <v>0</v>
      </c>
      <c r="M152" s="38"/>
      <c r="N152" s="38"/>
      <c r="O152" s="38">
        <f t="shared" si="22"/>
        <v>0</v>
      </c>
      <c r="P152" s="39" t="e">
        <f t="shared" si="25"/>
        <v>#DIV/0!</v>
      </c>
      <c r="Q152" s="40" t="e">
        <f t="shared" si="26"/>
        <v>#DIV/0!</v>
      </c>
      <c r="R152" s="39">
        <f t="shared" si="27"/>
        <v>0</v>
      </c>
      <c r="S152" s="32"/>
      <c r="U152" s="42" t="e">
        <f t="shared" si="28"/>
        <v>#DIV/0!</v>
      </c>
      <c r="V152" s="42" t="e">
        <f t="shared" si="29"/>
        <v>#DIV/0!</v>
      </c>
      <c r="W152" s="42" t="e">
        <f t="shared" si="30"/>
        <v>#DIV/0!</v>
      </c>
    </row>
    <row r="153" spans="1:23" s="28" customFormat="1" ht="73.5" customHeight="1" x14ac:dyDescent="0.2">
      <c r="A153" s="30">
        <v>142</v>
      </c>
      <c r="B153" s="115" t="s">
        <v>257</v>
      </c>
      <c r="C153" s="116" t="s">
        <v>45</v>
      </c>
      <c r="D153" s="117">
        <v>13</v>
      </c>
      <c r="E153" s="118">
        <v>98.56</v>
      </c>
      <c r="F153" s="35"/>
      <c r="G153" s="32"/>
      <c r="H153" s="38"/>
      <c r="I153" s="38">
        <f t="shared" si="23"/>
        <v>0</v>
      </c>
      <c r="J153" s="32"/>
      <c r="K153" s="38"/>
      <c r="L153" s="38">
        <f t="shared" si="24"/>
        <v>0</v>
      </c>
      <c r="M153" s="38"/>
      <c r="N153" s="38"/>
      <c r="O153" s="38">
        <f t="shared" si="22"/>
        <v>0</v>
      </c>
      <c r="P153" s="39" t="e">
        <f t="shared" si="25"/>
        <v>#DIV/0!</v>
      </c>
      <c r="Q153" s="40" t="e">
        <f t="shared" si="26"/>
        <v>#DIV/0!</v>
      </c>
      <c r="R153" s="39">
        <f t="shared" si="27"/>
        <v>0</v>
      </c>
      <c r="S153" s="32"/>
      <c r="U153" s="42" t="e">
        <f t="shared" si="28"/>
        <v>#DIV/0!</v>
      </c>
      <c r="V153" s="42" t="e">
        <f t="shared" si="29"/>
        <v>#DIV/0!</v>
      </c>
      <c r="W153" s="42" t="e">
        <f t="shared" si="30"/>
        <v>#DIV/0!</v>
      </c>
    </row>
    <row r="154" spans="1:23" s="28" customFormat="1" ht="73.5" customHeight="1" x14ac:dyDescent="0.2">
      <c r="A154" s="30">
        <v>143</v>
      </c>
      <c r="B154" s="115" t="s">
        <v>260</v>
      </c>
      <c r="C154" s="116" t="s">
        <v>45</v>
      </c>
      <c r="D154" s="117">
        <v>3</v>
      </c>
      <c r="E154" s="118">
        <v>395.42</v>
      </c>
      <c r="F154" s="35"/>
      <c r="G154" s="32"/>
      <c r="H154" s="38"/>
      <c r="I154" s="38">
        <f t="shared" si="23"/>
        <v>0</v>
      </c>
      <c r="J154" s="32"/>
      <c r="K154" s="38"/>
      <c r="L154" s="38">
        <f t="shared" si="24"/>
        <v>0</v>
      </c>
      <c r="M154" s="38"/>
      <c r="N154" s="38"/>
      <c r="O154" s="38">
        <f t="shared" si="22"/>
        <v>0</v>
      </c>
      <c r="P154" s="39" t="e">
        <f t="shared" si="25"/>
        <v>#DIV/0!</v>
      </c>
      <c r="Q154" s="40" t="e">
        <f t="shared" si="26"/>
        <v>#DIV/0!</v>
      </c>
      <c r="R154" s="39">
        <f t="shared" si="27"/>
        <v>0</v>
      </c>
      <c r="S154" s="32"/>
      <c r="U154" s="42" t="e">
        <f t="shared" si="28"/>
        <v>#DIV/0!</v>
      </c>
      <c r="V154" s="42" t="e">
        <f t="shared" si="29"/>
        <v>#DIV/0!</v>
      </c>
      <c r="W154" s="42" t="e">
        <f t="shared" si="30"/>
        <v>#DIV/0!</v>
      </c>
    </row>
    <row r="155" spans="1:23" s="28" customFormat="1" ht="73.5" customHeight="1" x14ac:dyDescent="0.2">
      <c r="A155" s="30">
        <v>144</v>
      </c>
      <c r="B155" s="115" t="s">
        <v>262</v>
      </c>
      <c r="C155" s="116" t="s">
        <v>45</v>
      </c>
      <c r="D155" s="117">
        <v>4.8</v>
      </c>
      <c r="E155" s="118">
        <v>12311.49</v>
      </c>
      <c r="F155" s="35"/>
      <c r="G155" s="32"/>
      <c r="H155" s="38"/>
      <c r="I155" s="38">
        <f t="shared" si="23"/>
        <v>0</v>
      </c>
      <c r="J155" s="32"/>
      <c r="K155" s="38"/>
      <c r="L155" s="38">
        <f t="shared" si="24"/>
        <v>0</v>
      </c>
      <c r="M155" s="38"/>
      <c r="N155" s="38"/>
      <c r="O155" s="38">
        <f t="shared" si="22"/>
        <v>0</v>
      </c>
      <c r="P155" s="39" t="e">
        <f t="shared" si="25"/>
        <v>#DIV/0!</v>
      </c>
      <c r="Q155" s="40" t="e">
        <f t="shared" si="26"/>
        <v>#DIV/0!</v>
      </c>
      <c r="R155" s="39">
        <f t="shared" si="27"/>
        <v>0</v>
      </c>
      <c r="S155" s="32"/>
      <c r="U155" s="42" t="e">
        <f t="shared" si="28"/>
        <v>#DIV/0!</v>
      </c>
      <c r="V155" s="42" t="e">
        <f t="shared" si="29"/>
        <v>#DIV/0!</v>
      </c>
      <c r="W155" s="42" t="e">
        <f t="shared" si="30"/>
        <v>#DIV/0!</v>
      </c>
    </row>
    <row r="156" spans="1:23" s="28" customFormat="1" ht="73.5" customHeight="1" x14ac:dyDescent="0.2">
      <c r="A156" s="30">
        <v>145</v>
      </c>
      <c r="B156" s="115" t="s">
        <v>263</v>
      </c>
      <c r="C156" s="116" t="s">
        <v>25</v>
      </c>
      <c r="D156" s="117">
        <v>69</v>
      </c>
      <c r="E156" s="118">
        <v>1431.87</v>
      </c>
      <c r="F156" s="35"/>
      <c r="G156" s="32"/>
      <c r="H156" s="38"/>
      <c r="I156" s="38">
        <f t="shared" si="23"/>
        <v>0</v>
      </c>
      <c r="J156" s="32"/>
      <c r="K156" s="38"/>
      <c r="L156" s="38">
        <f t="shared" si="24"/>
        <v>0</v>
      </c>
      <c r="M156" s="38"/>
      <c r="N156" s="38"/>
      <c r="O156" s="38">
        <f t="shared" si="22"/>
        <v>0</v>
      </c>
      <c r="P156" s="39" t="e">
        <f t="shared" si="25"/>
        <v>#DIV/0!</v>
      </c>
      <c r="Q156" s="40" t="e">
        <f t="shared" si="26"/>
        <v>#DIV/0!</v>
      </c>
      <c r="R156" s="39">
        <f t="shared" si="27"/>
        <v>0</v>
      </c>
      <c r="S156" s="32"/>
      <c r="U156" s="42" t="e">
        <f t="shared" si="28"/>
        <v>#DIV/0!</v>
      </c>
      <c r="V156" s="42" t="e">
        <f t="shared" si="29"/>
        <v>#DIV/0!</v>
      </c>
      <c r="W156" s="42" t="e">
        <f t="shared" si="30"/>
        <v>#DIV/0!</v>
      </c>
    </row>
    <row r="157" spans="1:23" s="28" customFormat="1" ht="73.5" customHeight="1" x14ac:dyDescent="0.2">
      <c r="A157" s="30">
        <v>146</v>
      </c>
      <c r="B157" s="115" t="s">
        <v>266</v>
      </c>
      <c r="C157" s="116" t="s">
        <v>25</v>
      </c>
      <c r="D157" s="117">
        <v>100</v>
      </c>
      <c r="E157" s="118">
        <v>1.28</v>
      </c>
      <c r="F157" s="35"/>
      <c r="G157" s="32"/>
      <c r="H157" s="38"/>
      <c r="I157" s="38">
        <f t="shared" si="23"/>
        <v>0</v>
      </c>
      <c r="J157" s="32"/>
      <c r="K157" s="38"/>
      <c r="L157" s="38">
        <f t="shared" si="24"/>
        <v>0</v>
      </c>
      <c r="M157" s="38"/>
      <c r="N157" s="38"/>
      <c r="O157" s="38">
        <f t="shared" si="22"/>
        <v>0</v>
      </c>
      <c r="P157" s="39" t="e">
        <f t="shared" si="25"/>
        <v>#DIV/0!</v>
      </c>
      <c r="Q157" s="40" t="e">
        <f t="shared" si="26"/>
        <v>#DIV/0!</v>
      </c>
      <c r="R157" s="39">
        <f t="shared" si="27"/>
        <v>0</v>
      </c>
      <c r="S157" s="32"/>
      <c r="U157" s="42" t="e">
        <f t="shared" si="28"/>
        <v>#DIV/0!</v>
      </c>
      <c r="V157" s="42" t="e">
        <f t="shared" si="29"/>
        <v>#DIV/0!</v>
      </c>
      <c r="W157" s="42" t="e">
        <f t="shared" si="30"/>
        <v>#DIV/0!</v>
      </c>
    </row>
    <row r="158" spans="1:23" s="28" customFormat="1" ht="73.5" customHeight="1" x14ac:dyDescent="0.2">
      <c r="A158" s="30">
        <v>147</v>
      </c>
      <c r="B158" s="115" t="s">
        <v>267</v>
      </c>
      <c r="C158" s="116" t="s">
        <v>25</v>
      </c>
      <c r="D158" s="117">
        <v>76</v>
      </c>
      <c r="E158" s="118">
        <v>22.15</v>
      </c>
      <c r="F158" s="35"/>
      <c r="G158" s="32"/>
      <c r="H158" s="38"/>
      <c r="I158" s="57">
        <f t="shared" si="23"/>
        <v>0</v>
      </c>
      <c r="J158" s="57"/>
      <c r="K158" s="57"/>
      <c r="L158" s="57">
        <f t="shared" si="24"/>
        <v>0</v>
      </c>
      <c r="M158" s="32"/>
      <c r="N158" s="57"/>
      <c r="O158" s="57">
        <f t="shared" si="22"/>
        <v>0</v>
      </c>
      <c r="P158" s="39" t="e">
        <f t="shared" si="25"/>
        <v>#DIV/0!</v>
      </c>
      <c r="Q158" s="40" t="e">
        <f t="shared" si="26"/>
        <v>#DIV/0!</v>
      </c>
      <c r="R158" s="39">
        <f t="shared" si="27"/>
        <v>0</v>
      </c>
      <c r="S158" s="32"/>
      <c r="U158" s="42" t="e">
        <f t="shared" si="28"/>
        <v>#DIV/0!</v>
      </c>
      <c r="V158" s="42" t="e">
        <f t="shared" si="29"/>
        <v>#DIV/0!</v>
      </c>
      <c r="W158" s="42" t="e">
        <f t="shared" si="30"/>
        <v>#DIV/0!</v>
      </c>
    </row>
    <row r="159" spans="1:23" s="28" customFormat="1" ht="73.5" customHeight="1" x14ac:dyDescent="0.2">
      <c r="A159" s="30">
        <v>148</v>
      </c>
      <c r="B159" s="115" t="s">
        <v>268</v>
      </c>
      <c r="C159" s="116" t="s">
        <v>25</v>
      </c>
      <c r="D159" s="117">
        <v>8</v>
      </c>
      <c r="E159" s="118">
        <v>569.91</v>
      </c>
      <c r="F159" s="35"/>
      <c r="G159" s="32"/>
      <c r="H159" s="38"/>
      <c r="I159" s="57">
        <f t="shared" si="23"/>
        <v>0</v>
      </c>
      <c r="J159" s="57"/>
      <c r="K159" s="57"/>
      <c r="L159" s="57">
        <f t="shared" si="24"/>
        <v>0</v>
      </c>
      <c r="M159" s="32"/>
      <c r="N159" s="57"/>
      <c r="O159" s="57">
        <f t="shared" si="22"/>
        <v>0</v>
      </c>
      <c r="P159" s="39" t="e">
        <f t="shared" si="25"/>
        <v>#DIV/0!</v>
      </c>
      <c r="Q159" s="40" t="e">
        <f t="shared" si="26"/>
        <v>#DIV/0!</v>
      </c>
      <c r="R159" s="39">
        <f t="shared" si="27"/>
        <v>0</v>
      </c>
      <c r="S159" s="32"/>
      <c r="U159" s="42" t="e">
        <f t="shared" si="28"/>
        <v>#DIV/0!</v>
      </c>
      <c r="V159" s="42" t="e">
        <f t="shared" si="29"/>
        <v>#DIV/0!</v>
      </c>
      <c r="W159" s="42" t="e">
        <f t="shared" si="30"/>
        <v>#DIV/0!</v>
      </c>
    </row>
    <row r="160" spans="1:23" s="28" customFormat="1" ht="73.5" customHeight="1" x14ac:dyDescent="0.2">
      <c r="A160" s="30">
        <v>149</v>
      </c>
      <c r="B160" s="115" t="s">
        <v>269</v>
      </c>
      <c r="C160" s="116" t="s">
        <v>45</v>
      </c>
      <c r="D160" s="117">
        <v>78</v>
      </c>
      <c r="E160" s="118">
        <v>4556.9399999999996</v>
      </c>
      <c r="F160" s="35"/>
      <c r="G160" s="32"/>
      <c r="H160" s="38"/>
      <c r="I160" s="57">
        <f t="shared" si="23"/>
        <v>0</v>
      </c>
      <c r="J160" s="57"/>
      <c r="K160" s="57"/>
      <c r="L160" s="57">
        <f t="shared" si="24"/>
        <v>0</v>
      </c>
      <c r="M160" s="32"/>
      <c r="N160" s="57"/>
      <c r="O160" s="57">
        <f t="shared" si="22"/>
        <v>0</v>
      </c>
      <c r="P160" s="39" t="e">
        <f t="shared" si="25"/>
        <v>#DIV/0!</v>
      </c>
      <c r="Q160" s="40" t="e">
        <f t="shared" si="26"/>
        <v>#DIV/0!</v>
      </c>
      <c r="R160" s="39">
        <f t="shared" si="27"/>
        <v>0</v>
      </c>
      <c r="S160" s="32"/>
      <c r="U160" s="42" t="e">
        <f t="shared" si="28"/>
        <v>#DIV/0!</v>
      </c>
      <c r="V160" s="42" t="e">
        <f t="shared" si="29"/>
        <v>#DIV/0!</v>
      </c>
      <c r="W160" s="42" t="e">
        <f t="shared" si="30"/>
        <v>#DIV/0!</v>
      </c>
    </row>
    <row r="161" spans="1:23" s="28" customFormat="1" ht="73.5" customHeight="1" x14ac:dyDescent="0.2">
      <c r="A161" s="30">
        <v>150</v>
      </c>
      <c r="B161" s="115" t="s">
        <v>273</v>
      </c>
      <c r="C161" s="116" t="s">
        <v>45</v>
      </c>
      <c r="D161" s="117">
        <v>16</v>
      </c>
      <c r="E161" s="118">
        <v>1229.54</v>
      </c>
      <c r="F161" s="35"/>
      <c r="G161" s="32"/>
      <c r="H161" s="38"/>
      <c r="I161" s="38">
        <f t="shared" si="23"/>
        <v>0</v>
      </c>
      <c r="J161" s="32"/>
      <c r="K161" s="38"/>
      <c r="L161" s="38">
        <f t="shared" si="24"/>
        <v>0</v>
      </c>
      <c r="M161" s="38"/>
      <c r="N161" s="38"/>
      <c r="O161" s="38">
        <f t="shared" si="22"/>
        <v>0</v>
      </c>
      <c r="P161" s="39" t="e">
        <f t="shared" si="25"/>
        <v>#DIV/0!</v>
      </c>
      <c r="Q161" s="40" t="e">
        <f t="shared" si="26"/>
        <v>#DIV/0!</v>
      </c>
      <c r="R161" s="39">
        <f t="shared" si="27"/>
        <v>0</v>
      </c>
      <c r="S161" s="57"/>
      <c r="U161" s="42" t="e">
        <f t="shared" si="28"/>
        <v>#DIV/0!</v>
      </c>
      <c r="V161" s="42" t="e">
        <f t="shared" si="29"/>
        <v>#DIV/0!</v>
      </c>
      <c r="W161" s="42" t="e">
        <f t="shared" si="30"/>
        <v>#DIV/0!</v>
      </c>
    </row>
    <row r="162" spans="1:23" s="28" customFormat="1" ht="73.5" customHeight="1" x14ac:dyDescent="0.2">
      <c r="A162" s="30">
        <v>151</v>
      </c>
      <c r="B162" s="115" t="s">
        <v>276</v>
      </c>
      <c r="C162" s="116" t="s">
        <v>53</v>
      </c>
      <c r="D162" s="117">
        <v>550</v>
      </c>
      <c r="E162" s="118">
        <v>482.37</v>
      </c>
      <c r="F162" s="35"/>
      <c r="G162" s="32"/>
      <c r="H162" s="38"/>
      <c r="I162" s="57">
        <f t="shared" si="23"/>
        <v>0</v>
      </c>
      <c r="J162" s="57"/>
      <c r="K162" s="57"/>
      <c r="L162" s="57">
        <f t="shared" si="24"/>
        <v>0</v>
      </c>
      <c r="M162" s="32"/>
      <c r="N162" s="57"/>
      <c r="O162" s="57">
        <f t="shared" si="22"/>
        <v>0</v>
      </c>
      <c r="P162" s="39" t="e">
        <f t="shared" si="25"/>
        <v>#DIV/0!</v>
      </c>
      <c r="Q162" s="40" t="e">
        <f t="shared" si="26"/>
        <v>#DIV/0!</v>
      </c>
      <c r="R162" s="39">
        <f t="shared" si="27"/>
        <v>0</v>
      </c>
      <c r="S162" s="32"/>
      <c r="U162" s="42" t="e">
        <f t="shared" si="28"/>
        <v>#DIV/0!</v>
      </c>
      <c r="V162" s="42" t="e">
        <f t="shared" si="29"/>
        <v>#DIV/0!</v>
      </c>
      <c r="W162" s="42" t="e">
        <f t="shared" si="30"/>
        <v>#DIV/0!</v>
      </c>
    </row>
    <row r="163" spans="1:23" s="28" customFormat="1" ht="73.5" customHeight="1" x14ac:dyDescent="0.2">
      <c r="A163" s="30">
        <v>152</v>
      </c>
      <c r="B163" s="115" t="s">
        <v>279</v>
      </c>
      <c r="C163" s="116" t="s">
        <v>45</v>
      </c>
      <c r="D163" s="117">
        <v>0.4</v>
      </c>
      <c r="E163" s="118">
        <v>28855.3</v>
      </c>
      <c r="F163" s="35"/>
      <c r="G163" s="32"/>
      <c r="H163" s="38"/>
      <c r="I163" s="57">
        <f t="shared" si="23"/>
        <v>0</v>
      </c>
      <c r="J163" s="57"/>
      <c r="K163" s="57"/>
      <c r="L163" s="57">
        <f t="shared" si="24"/>
        <v>0</v>
      </c>
      <c r="M163" s="32"/>
      <c r="N163" s="57"/>
      <c r="O163" s="57">
        <f t="shared" si="22"/>
        <v>0</v>
      </c>
      <c r="P163" s="39" t="e">
        <f t="shared" si="25"/>
        <v>#DIV/0!</v>
      </c>
      <c r="Q163" s="40" t="e">
        <f t="shared" si="26"/>
        <v>#DIV/0!</v>
      </c>
      <c r="R163" s="39">
        <f t="shared" si="27"/>
        <v>0</v>
      </c>
      <c r="S163" s="32"/>
      <c r="U163" s="42" t="e">
        <f t="shared" si="28"/>
        <v>#DIV/0!</v>
      </c>
      <c r="V163" s="42" t="e">
        <f t="shared" si="29"/>
        <v>#DIV/0!</v>
      </c>
      <c r="W163" s="42" t="e">
        <f t="shared" si="30"/>
        <v>#DIV/0!</v>
      </c>
    </row>
    <row r="164" spans="1:23" s="28" customFormat="1" ht="73.5" customHeight="1" x14ac:dyDescent="0.2">
      <c r="A164" s="30">
        <v>153</v>
      </c>
      <c r="B164" s="115" t="s">
        <v>282</v>
      </c>
      <c r="C164" s="116" t="s">
        <v>25</v>
      </c>
      <c r="D164" s="117">
        <v>10</v>
      </c>
      <c r="E164" s="118">
        <v>154.38</v>
      </c>
      <c r="F164" s="35"/>
      <c r="G164" s="32"/>
      <c r="H164" s="38"/>
      <c r="I164" s="57">
        <f t="shared" si="23"/>
        <v>0</v>
      </c>
      <c r="J164" s="57"/>
      <c r="K164" s="57"/>
      <c r="L164" s="57">
        <f t="shared" si="24"/>
        <v>0</v>
      </c>
      <c r="M164" s="57"/>
      <c r="N164" s="57"/>
      <c r="O164" s="57">
        <f t="shared" si="22"/>
        <v>0</v>
      </c>
      <c r="P164" s="39" t="e">
        <f t="shared" si="25"/>
        <v>#DIV/0!</v>
      </c>
      <c r="Q164" s="40" t="e">
        <f t="shared" si="26"/>
        <v>#DIV/0!</v>
      </c>
      <c r="R164" s="39">
        <f t="shared" si="27"/>
        <v>0</v>
      </c>
      <c r="S164" s="32"/>
      <c r="U164" s="42" t="e">
        <f t="shared" si="28"/>
        <v>#DIV/0!</v>
      </c>
      <c r="V164" s="42" t="e">
        <f t="shared" si="29"/>
        <v>#DIV/0!</v>
      </c>
      <c r="W164" s="42" t="e">
        <f t="shared" si="30"/>
        <v>#DIV/0!</v>
      </c>
    </row>
    <row r="165" spans="1:23" s="28" customFormat="1" ht="73.5" customHeight="1" x14ac:dyDescent="0.2">
      <c r="A165" s="30">
        <v>154</v>
      </c>
      <c r="B165" s="115" t="s">
        <v>284</v>
      </c>
      <c r="C165" s="116" t="s">
        <v>25</v>
      </c>
      <c r="D165" s="117">
        <v>30</v>
      </c>
      <c r="E165" s="118">
        <v>37.020000000000003</v>
      </c>
      <c r="F165" s="35"/>
      <c r="G165" s="32"/>
      <c r="H165" s="38"/>
      <c r="I165" s="57">
        <f t="shared" si="23"/>
        <v>0</v>
      </c>
      <c r="J165" s="57"/>
      <c r="K165" s="57"/>
      <c r="L165" s="57">
        <f t="shared" si="24"/>
        <v>0</v>
      </c>
      <c r="M165" s="57"/>
      <c r="N165" s="57"/>
      <c r="O165" s="57">
        <f t="shared" si="22"/>
        <v>0</v>
      </c>
      <c r="P165" s="39" t="e">
        <f t="shared" si="25"/>
        <v>#DIV/0!</v>
      </c>
      <c r="Q165" s="40" t="e">
        <f t="shared" si="26"/>
        <v>#DIV/0!</v>
      </c>
      <c r="R165" s="39">
        <f t="shared" si="27"/>
        <v>0</v>
      </c>
      <c r="S165" s="32"/>
      <c r="U165" s="42" t="e">
        <f t="shared" si="28"/>
        <v>#DIV/0!</v>
      </c>
      <c r="V165" s="42" t="e">
        <f t="shared" si="29"/>
        <v>#DIV/0!</v>
      </c>
      <c r="W165" s="42" t="e">
        <f t="shared" si="30"/>
        <v>#DIV/0!</v>
      </c>
    </row>
    <row r="166" spans="1:23" s="28" customFormat="1" ht="73.5" customHeight="1" x14ac:dyDescent="0.2">
      <c r="A166" s="30">
        <v>155</v>
      </c>
      <c r="B166" s="115" t="s">
        <v>285</v>
      </c>
      <c r="C166" s="116" t="s">
        <v>25</v>
      </c>
      <c r="D166" s="117">
        <v>37</v>
      </c>
      <c r="E166" s="118">
        <v>128.97999999999999</v>
      </c>
      <c r="F166" s="35"/>
      <c r="G166" s="32"/>
      <c r="H166" s="38"/>
      <c r="I166" s="38">
        <f t="shared" si="23"/>
        <v>0</v>
      </c>
      <c r="J166" s="32"/>
      <c r="K166" s="38"/>
      <c r="L166" s="38">
        <f t="shared" si="24"/>
        <v>0</v>
      </c>
      <c r="M166" s="32"/>
      <c r="N166" s="38"/>
      <c r="O166" s="38">
        <f t="shared" si="22"/>
        <v>0</v>
      </c>
      <c r="P166" s="39" t="e">
        <f t="shared" si="25"/>
        <v>#DIV/0!</v>
      </c>
      <c r="Q166" s="40" t="e">
        <f t="shared" si="26"/>
        <v>#DIV/0!</v>
      </c>
      <c r="R166" s="39">
        <f t="shared" si="27"/>
        <v>0</v>
      </c>
      <c r="S166" s="32"/>
      <c r="U166" s="42" t="e">
        <f t="shared" si="28"/>
        <v>#DIV/0!</v>
      </c>
      <c r="V166" s="42" t="e">
        <f t="shared" si="29"/>
        <v>#DIV/0!</v>
      </c>
      <c r="W166" s="42" t="e">
        <f t="shared" si="30"/>
        <v>#DIV/0!</v>
      </c>
    </row>
    <row r="167" spans="1:23" s="28" customFormat="1" ht="73.5" customHeight="1" x14ac:dyDescent="0.2">
      <c r="A167" s="30">
        <v>156</v>
      </c>
      <c r="B167" s="115" t="s">
        <v>287</v>
      </c>
      <c r="C167" s="116" t="s">
        <v>25</v>
      </c>
      <c r="D167" s="117">
        <v>1</v>
      </c>
      <c r="E167" s="118">
        <v>1705.34</v>
      </c>
      <c r="F167" s="35"/>
      <c r="G167" s="119"/>
      <c r="H167" s="38"/>
      <c r="I167" s="38">
        <f t="shared" si="23"/>
        <v>0</v>
      </c>
      <c r="J167" s="32"/>
      <c r="K167" s="38"/>
      <c r="L167" s="38">
        <f t="shared" si="24"/>
        <v>0</v>
      </c>
      <c r="M167" s="32"/>
      <c r="N167" s="38"/>
      <c r="O167" s="120">
        <f t="shared" si="22"/>
        <v>0</v>
      </c>
      <c r="P167" s="39" t="e">
        <f t="shared" si="25"/>
        <v>#DIV/0!</v>
      </c>
      <c r="Q167" s="121" t="e">
        <f t="shared" si="26"/>
        <v>#DIV/0!</v>
      </c>
      <c r="R167" s="39">
        <f t="shared" si="27"/>
        <v>0</v>
      </c>
      <c r="S167" s="32"/>
      <c r="U167" s="42" t="e">
        <f t="shared" si="28"/>
        <v>#DIV/0!</v>
      </c>
      <c r="V167" s="42" t="e">
        <f t="shared" si="29"/>
        <v>#DIV/0!</v>
      </c>
      <c r="W167" s="42" t="e">
        <f t="shared" si="30"/>
        <v>#DIV/0!</v>
      </c>
    </row>
    <row r="168" spans="1:23" s="28" customFormat="1" ht="73.5" customHeight="1" x14ac:dyDescent="0.2">
      <c r="A168" s="30">
        <v>157</v>
      </c>
      <c r="B168" s="115" t="s">
        <v>550</v>
      </c>
      <c r="C168" s="116" t="s">
        <v>25</v>
      </c>
      <c r="D168" s="117">
        <v>75</v>
      </c>
      <c r="E168" s="118" t="s">
        <v>504</v>
      </c>
      <c r="F168" s="35"/>
      <c r="G168" s="32"/>
      <c r="H168" s="38"/>
      <c r="I168" s="38">
        <f t="shared" si="23"/>
        <v>0</v>
      </c>
      <c r="J168" s="32"/>
      <c r="K168" s="38"/>
      <c r="L168" s="38">
        <f t="shared" si="24"/>
        <v>0</v>
      </c>
      <c r="M168" s="32"/>
      <c r="N168" s="38"/>
      <c r="O168" s="38">
        <f t="shared" si="22"/>
        <v>0</v>
      </c>
      <c r="P168" s="39" t="e">
        <f t="shared" si="25"/>
        <v>#DIV/0!</v>
      </c>
      <c r="Q168" s="40" t="e">
        <f t="shared" si="26"/>
        <v>#DIV/0!</v>
      </c>
      <c r="R168" s="39">
        <f t="shared" si="27"/>
        <v>0</v>
      </c>
      <c r="S168" s="57"/>
      <c r="U168" s="42" t="e">
        <f t="shared" si="28"/>
        <v>#DIV/0!</v>
      </c>
      <c r="V168" s="42" t="e">
        <f t="shared" si="29"/>
        <v>#DIV/0!</v>
      </c>
      <c r="W168" s="42" t="e">
        <f t="shared" si="30"/>
        <v>#DIV/0!</v>
      </c>
    </row>
    <row r="169" spans="1:23" s="28" customFormat="1" ht="82.5" customHeight="1" x14ac:dyDescent="0.2">
      <c r="A169" s="30">
        <v>158</v>
      </c>
      <c r="B169" s="115" t="s">
        <v>289</v>
      </c>
      <c r="C169" s="116" t="s">
        <v>25</v>
      </c>
      <c r="D169" s="117">
        <v>36</v>
      </c>
      <c r="E169" s="118">
        <v>39.04</v>
      </c>
      <c r="F169" s="35"/>
      <c r="G169" s="119"/>
      <c r="H169" s="38"/>
      <c r="I169" s="38">
        <f t="shared" si="23"/>
        <v>0</v>
      </c>
      <c r="J169" s="32"/>
      <c r="K169" s="38"/>
      <c r="L169" s="38">
        <f t="shared" si="24"/>
        <v>0</v>
      </c>
      <c r="M169" s="32"/>
      <c r="N169" s="38"/>
      <c r="O169" s="120">
        <f t="shared" ref="O169:O200" si="31">D169*N169</f>
        <v>0</v>
      </c>
      <c r="P169" s="39" t="e">
        <f t="shared" si="25"/>
        <v>#DIV/0!</v>
      </c>
      <c r="Q169" s="121" t="e">
        <f t="shared" si="26"/>
        <v>#DIV/0!</v>
      </c>
      <c r="R169" s="39">
        <f t="shared" si="27"/>
        <v>0</v>
      </c>
      <c r="S169" s="32"/>
      <c r="U169" s="42" t="e">
        <f t="shared" si="28"/>
        <v>#DIV/0!</v>
      </c>
      <c r="V169" s="42" t="e">
        <f t="shared" si="29"/>
        <v>#DIV/0!</v>
      </c>
      <c r="W169" s="42" t="e">
        <f t="shared" si="30"/>
        <v>#DIV/0!</v>
      </c>
    </row>
    <row r="170" spans="1:23" s="28" customFormat="1" ht="87" customHeight="1" x14ac:dyDescent="0.2">
      <c r="A170" s="30">
        <v>159</v>
      </c>
      <c r="B170" s="115" t="s">
        <v>290</v>
      </c>
      <c r="C170" s="116" t="s">
        <v>45</v>
      </c>
      <c r="D170" s="117">
        <v>8</v>
      </c>
      <c r="E170" s="118">
        <v>592.47</v>
      </c>
      <c r="F170" s="35"/>
      <c r="G170" s="119"/>
      <c r="H170" s="38"/>
      <c r="I170" s="38">
        <f t="shared" si="23"/>
        <v>0</v>
      </c>
      <c r="J170" s="32"/>
      <c r="K170" s="38"/>
      <c r="L170" s="38">
        <f t="shared" si="24"/>
        <v>0</v>
      </c>
      <c r="M170" s="32"/>
      <c r="N170" s="38"/>
      <c r="O170" s="120">
        <f t="shared" si="31"/>
        <v>0</v>
      </c>
      <c r="P170" s="39" t="e">
        <f t="shared" si="25"/>
        <v>#DIV/0!</v>
      </c>
      <c r="Q170" s="121" t="e">
        <f t="shared" si="26"/>
        <v>#DIV/0!</v>
      </c>
      <c r="R170" s="39">
        <f t="shared" si="27"/>
        <v>0</v>
      </c>
      <c r="S170" s="32"/>
      <c r="U170" s="42" t="e">
        <f t="shared" si="28"/>
        <v>#DIV/0!</v>
      </c>
      <c r="V170" s="42" t="e">
        <f t="shared" si="29"/>
        <v>#DIV/0!</v>
      </c>
      <c r="W170" s="42" t="e">
        <f t="shared" si="30"/>
        <v>#DIV/0!</v>
      </c>
    </row>
    <row r="171" spans="1:23" s="28" customFormat="1" ht="73.5" customHeight="1" x14ac:dyDescent="0.2">
      <c r="A171" s="30">
        <v>160</v>
      </c>
      <c r="B171" s="115" t="s">
        <v>291</v>
      </c>
      <c r="C171" s="116" t="s">
        <v>292</v>
      </c>
      <c r="D171" s="117">
        <v>532</v>
      </c>
      <c r="E171" s="118">
        <v>53.08</v>
      </c>
      <c r="F171" s="35"/>
      <c r="G171" s="119"/>
      <c r="H171" s="38"/>
      <c r="I171" s="38">
        <f t="shared" si="23"/>
        <v>0</v>
      </c>
      <c r="J171" s="32"/>
      <c r="K171" s="38"/>
      <c r="L171" s="38">
        <f t="shared" si="24"/>
        <v>0</v>
      </c>
      <c r="M171" s="32"/>
      <c r="N171" s="38"/>
      <c r="O171" s="120">
        <f t="shared" si="31"/>
        <v>0</v>
      </c>
      <c r="P171" s="39" t="e">
        <f t="shared" si="25"/>
        <v>#DIV/0!</v>
      </c>
      <c r="Q171" s="121" t="e">
        <f t="shared" si="26"/>
        <v>#DIV/0!</v>
      </c>
      <c r="R171" s="39">
        <f t="shared" si="27"/>
        <v>0</v>
      </c>
      <c r="S171" s="32"/>
      <c r="U171" s="42" t="e">
        <f t="shared" si="28"/>
        <v>#DIV/0!</v>
      </c>
      <c r="V171" s="42" t="e">
        <f t="shared" si="29"/>
        <v>#DIV/0!</v>
      </c>
      <c r="W171" s="42" t="e">
        <f t="shared" si="30"/>
        <v>#DIV/0!</v>
      </c>
    </row>
    <row r="172" spans="1:23" s="28" customFormat="1" ht="73.5" customHeight="1" x14ac:dyDescent="0.2">
      <c r="A172" s="30">
        <v>161</v>
      </c>
      <c r="B172" s="115" t="s">
        <v>296</v>
      </c>
      <c r="C172" s="116" t="s">
        <v>25</v>
      </c>
      <c r="D172" s="117">
        <v>14</v>
      </c>
      <c r="E172" s="118">
        <v>402.64</v>
      </c>
      <c r="F172" s="35"/>
      <c r="G172" s="119"/>
      <c r="H172" s="38"/>
      <c r="I172" s="38">
        <f t="shared" ref="I172:I203" si="32">D172*H172</f>
        <v>0</v>
      </c>
      <c r="J172" s="32"/>
      <c r="K172" s="38"/>
      <c r="L172" s="38">
        <f t="shared" si="24"/>
        <v>0</v>
      </c>
      <c r="M172" s="32"/>
      <c r="N172" s="38"/>
      <c r="O172" s="120">
        <f t="shared" si="31"/>
        <v>0</v>
      </c>
      <c r="P172" s="39" t="e">
        <f t="shared" si="25"/>
        <v>#DIV/0!</v>
      </c>
      <c r="Q172" s="121" t="e">
        <f t="shared" si="26"/>
        <v>#DIV/0!</v>
      </c>
      <c r="R172" s="39">
        <f t="shared" si="27"/>
        <v>0</v>
      </c>
      <c r="S172" s="32"/>
      <c r="U172" s="42" t="e">
        <f t="shared" si="28"/>
        <v>#DIV/0!</v>
      </c>
      <c r="V172" s="42" t="e">
        <f t="shared" si="29"/>
        <v>#DIV/0!</v>
      </c>
      <c r="W172" s="42" t="e">
        <f t="shared" si="30"/>
        <v>#DIV/0!</v>
      </c>
    </row>
    <row r="173" spans="1:23" s="28" customFormat="1" ht="64.5" customHeight="1" x14ac:dyDescent="0.2">
      <c r="A173" s="30">
        <v>162</v>
      </c>
      <c r="B173" s="115" t="s">
        <v>301</v>
      </c>
      <c r="C173" s="116" t="s">
        <v>25</v>
      </c>
      <c r="D173" s="117">
        <v>10</v>
      </c>
      <c r="E173" s="118">
        <v>1017.48</v>
      </c>
      <c r="F173" s="35"/>
      <c r="G173" s="32"/>
      <c r="H173" s="38"/>
      <c r="I173" s="38">
        <f t="shared" si="32"/>
        <v>0</v>
      </c>
      <c r="J173" s="38"/>
      <c r="K173" s="38"/>
      <c r="L173" s="38">
        <f t="shared" si="24"/>
        <v>0</v>
      </c>
      <c r="M173" s="32"/>
      <c r="N173" s="38"/>
      <c r="O173" s="38">
        <f t="shared" si="31"/>
        <v>0</v>
      </c>
      <c r="P173" s="39" t="e">
        <f t="shared" si="25"/>
        <v>#DIV/0!</v>
      </c>
      <c r="Q173" s="40" t="e">
        <f t="shared" si="26"/>
        <v>#DIV/0!</v>
      </c>
      <c r="R173" s="39">
        <f t="shared" si="27"/>
        <v>0</v>
      </c>
      <c r="S173" s="32"/>
      <c r="U173" s="42" t="e">
        <f t="shared" si="28"/>
        <v>#DIV/0!</v>
      </c>
      <c r="V173" s="42" t="e">
        <f t="shared" si="29"/>
        <v>#DIV/0!</v>
      </c>
      <c r="W173" s="42" t="e">
        <f t="shared" si="30"/>
        <v>#DIV/0!</v>
      </c>
    </row>
    <row r="174" spans="1:23" s="28" customFormat="1" ht="73.5" customHeight="1" x14ac:dyDescent="0.2">
      <c r="A174" s="30">
        <v>163</v>
      </c>
      <c r="B174" s="115" t="s">
        <v>306</v>
      </c>
      <c r="C174" s="116" t="s">
        <v>25</v>
      </c>
      <c r="D174" s="117">
        <v>12</v>
      </c>
      <c r="E174" s="118">
        <v>19950.740000000002</v>
      </c>
      <c r="F174" s="35"/>
      <c r="G174" s="38"/>
      <c r="H174" s="38"/>
      <c r="I174" s="38">
        <f t="shared" si="32"/>
        <v>0</v>
      </c>
      <c r="J174" s="32"/>
      <c r="K174" s="38"/>
      <c r="L174" s="38">
        <f t="shared" si="24"/>
        <v>0</v>
      </c>
      <c r="M174" s="32"/>
      <c r="N174" s="38"/>
      <c r="O174" s="38">
        <f t="shared" si="31"/>
        <v>0</v>
      </c>
      <c r="P174" s="39" t="e">
        <f t="shared" si="25"/>
        <v>#DIV/0!</v>
      </c>
      <c r="Q174" s="40" t="e">
        <f t="shared" si="26"/>
        <v>#DIV/0!</v>
      </c>
      <c r="R174" s="39">
        <f t="shared" si="27"/>
        <v>0</v>
      </c>
      <c r="S174" s="32"/>
      <c r="U174" s="42" t="e">
        <f t="shared" si="28"/>
        <v>#DIV/0!</v>
      </c>
      <c r="V174" s="42" t="e">
        <f t="shared" si="29"/>
        <v>#DIV/0!</v>
      </c>
      <c r="W174" s="42" t="e">
        <f t="shared" si="30"/>
        <v>#DIV/0!</v>
      </c>
    </row>
    <row r="175" spans="1:23" s="28" customFormat="1" ht="73.5" customHeight="1" x14ac:dyDescent="0.2">
      <c r="A175" s="30">
        <v>164</v>
      </c>
      <c r="B175" s="115" t="s">
        <v>551</v>
      </c>
      <c r="C175" s="116" t="s">
        <v>25</v>
      </c>
      <c r="D175" s="117">
        <v>4</v>
      </c>
      <c r="E175" s="118" t="s">
        <v>504</v>
      </c>
      <c r="F175" s="35"/>
      <c r="G175" s="32"/>
      <c r="H175" s="38"/>
      <c r="I175" s="38">
        <f t="shared" si="32"/>
        <v>0</v>
      </c>
      <c r="J175" s="38"/>
      <c r="K175" s="38"/>
      <c r="L175" s="38">
        <f t="shared" si="24"/>
        <v>0</v>
      </c>
      <c r="M175" s="32"/>
      <c r="N175" s="38"/>
      <c r="O175" s="38">
        <f t="shared" si="31"/>
        <v>0</v>
      </c>
      <c r="P175" s="39" t="e">
        <f t="shared" si="25"/>
        <v>#DIV/0!</v>
      </c>
      <c r="Q175" s="40" t="e">
        <f t="shared" si="26"/>
        <v>#DIV/0!</v>
      </c>
      <c r="R175" s="39">
        <f t="shared" si="27"/>
        <v>0</v>
      </c>
      <c r="S175" s="32"/>
      <c r="U175" s="42" t="e">
        <f t="shared" si="28"/>
        <v>#DIV/0!</v>
      </c>
      <c r="V175" s="42" t="e">
        <f t="shared" si="29"/>
        <v>#DIV/0!</v>
      </c>
      <c r="W175" s="42" t="e">
        <f t="shared" si="30"/>
        <v>#DIV/0!</v>
      </c>
    </row>
    <row r="176" spans="1:23" s="28" customFormat="1" ht="73.5" customHeight="1" x14ac:dyDescent="0.2">
      <c r="A176" s="30">
        <v>165</v>
      </c>
      <c r="B176" s="115" t="s">
        <v>310</v>
      </c>
      <c r="C176" s="116" t="s">
        <v>81</v>
      </c>
      <c r="D176" s="117">
        <v>4864</v>
      </c>
      <c r="E176" s="118">
        <v>83.4</v>
      </c>
      <c r="F176" s="35"/>
      <c r="G176" s="32"/>
      <c r="H176" s="38"/>
      <c r="I176" s="38">
        <f t="shared" si="32"/>
        <v>0</v>
      </c>
      <c r="J176" s="38"/>
      <c r="K176" s="38"/>
      <c r="L176" s="38">
        <f t="shared" si="24"/>
        <v>0</v>
      </c>
      <c r="M176" s="32"/>
      <c r="N176" s="38"/>
      <c r="O176" s="38">
        <f t="shared" si="31"/>
        <v>0</v>
      </c>
      <c r="P176" s="39" t="e">
        <f t="shared" si="25"/>
        <v>#DIV/0!</v>
      </c>
      <c r="Q176" s="40" t="e">
        <f t="shared" si="26"/>
        <v>#DIV/0!</v>
      </c>
      <c r="R176" s="39">
        <f t="shared" si="27"/>
        <v>0</v>
      </c>
      <c r="S176" s="32"/>
      <c r="U176" s="42" t="e">
        <f t="shared" si="28"/>
        <v>#DIV/0!</v>
      </c>
      <c r="V176" s="42" t="e">
        <f t="shared" si="29"/>
        <v>#DIV/0!</v>
      </c>
      <c r="W176" s="42" t="e">
        <f t="shared" si="30"/>
        <v>#DIV/0!</v>
      </c>
    </row>
    <row r="177" spans="1:23" s="28" customFormat="1" ht="73.5" customHeight="1" x14ac:dyDescent="0.2">
      <c r="A177" s="30">
        <v>166</v>
      </c>
      <c r="B177" s="115" t="s">
        <v>313</v>
      </c>
      <c r="C177" s="116" t="s">
        <v>25</v>
      </c>
      <c r="D177" s="117">
        <v>3</v>
      </c>
      <c r="E177" s="118">
        <v>3621.37</v>
      </c>
      <c r="F177" s="35"/>
      <c r="G177" s="32"/>
      <c r="H177" s="38"/>
      <c r="I177" s="38">
        <f t="shared" si="32"/>
        <v>0</v>
      </c>
      <c r="J177" s="38"/>
      <c r="K177" s="38"/>
      <c r="L177" s="38">
        <f t="shared" si="24"/>
        <v>0</v>
      </c>
      <c r="M177" s="32"/>
      <c r="N177" s="38"/>
      <c r="O177" s="38">
        <f t="shared" si="31"/>
        <v>0</v>
      </c>
      <c r="P177" s="39" t="e">
        <f t="shared" si="25"/>
        <v>#DIV/0!</v>
      </c>
      <c r="Q177" s="40" t="e">
        <f t="shared" si="26"/>
        <v>#DIV/0!</v>
      </c>
      <c r="R177" s="39">
        <f t="shared" si="27"/>
        <v>0</v>
      </c>
      <c r="S177" s="32"/>
      <c r="U177" s="42" t="e">
        <f t="shared" si="28"/>
        <v>#DIV/0!</v>
      </c>
      <c r="V177" s="42" t="e">
        <f t="shared" si="29"/>
        <v>#DIV/0!</v>
      </c>
      <c r="W177" s="42" t="e">
        <f t="shared" si="30"/>
        <v>#DIV/0!</v>
      </c>
    </row>
    <row r="178" spans="1:23" s="28" customFormat="1" ht="73.5" customHeight="1" x14ac:dyDescent="0.2">
      <c r="A178" s="30">
        <v>167</v>
      </c>
      <c r="B178" s="115" t="s">
        <v>314</v>
      </c>
      <c r="C178" s="116" t="s">
        <v>25</v>
      </c>
      <c r="D178" s="117">
        <v>4</v>
      </c>
      <c r="E178" s="118">
        <v>5811.74</v>
      </c>
      <c r="F178" s="35"/>
      <c r="G178" s="32"/>
      <c r="H178" s="38"/>
      <c r="I178" s="38">
        <f t="shared" si="32"/>
        <v>0</v>
      </c>
      <c r="J178" s="38"/>
      <c r="K178" s="38"/>
      <c r="L178" s="38">
        <f t="shared" si="24"/>
        <v>0</v>
      </c>
      <c r="M178" s="32"/>
      <c r="N178" s="38"/>
      <c r="O178" s="38">
        <f t="shared" si="31"/>
        <v>0</v>
      </c>
      <c r="P178" s="39" t="e">
        <f t="shared" si="25"/>
        <v>#DIV/0!</v>
      </c>
      <c r="Q178" s="40" t="e">
        <f t="shared" si="26"/>
        <v>#DIV/0!</v>
      </c>
      <c r="R178" s="39">
        <f t="shared" si="27"/>
        <v>0</v>
      </c>
      <c r="S178" s="32"/>
      <c r="U178" s="42" t="e">
        <f t="shared" si="28"/>
        <v>#DIV/0!</v>
      </c>
      <c r="V178" s="42" t="e">
        <f t="shared" si="29"/>
        <v>#DIV/0!</v>
      </c>
      <c r="W178" s="42" t="e">
        <f t="shared" si="30"/>
        <v>#DIV/0!</v>
      </c>
    </row>
    <row r="179" spans="1:23" s="28" customFormat="1" ht="73.5" customHeight="1" x14ac:dyDescent="0.2">
      <c r="A179" s="30">
        <v>168</v>
      </c>
      <c r="B179" s="115" t="s">
        <v>315</v>
      </c>
      <c r="C179" s="116" t="s">
        <v>25</v>
      </c>
      <c r="D179" s="117">
        <v>4</v>
      </c>
      <c r="E179" s="118">
        <v>292.47000000000003</v>
      </c>
      <c r="F179" s="35"/>
      <c r="G179" s="32"/>
      <c r="H179" s="38"/>
      <c r="I179" s="38">
        <f t="shared" si="32"/>
        <v>0</v>
      </c>
      <c r="J179" s="38"/>
      <c r="K179" s="38"/>
      <c r="L179" s="38">
        <f t="shared" si="24"/>
        <v>0</v>
      </c>
      <c r="M179" s="32"/>
      <c r="N179" s="38"/>
      <c r="O179" s="38">
        <f t="shared" si="31"/>
        <v>0</v>
      </c>
      <c r="P179" s="39" t="e">
        <f t="shared" si="25"/>
        <v>#DIV/0!</v>
      </c>
      <c r="Q179" s="40" t="e">
        <f t="shared" si="26"/>
        <v>#DIV/0!</v>
      </c>
      <c r="R179" s="39">
        <f t="shared" si="27"/>
        <v>0</v>
      </c>
      <c r="S179" s="32"/>
      <c r="U179" s="42" t="e">
        <f t="shared" si="28"/>
        <v>#DIV/0!</v>
      </c>
      <c r="V179" s="42" t="e">
        <f t="shared" si="29"/>
        <v>#DIV/0!</v>
      </c>
      <c r="W179" s="42" t="e">
        <f t="shared" si="30"/>
        <v>#DIV/0!</v>
      </c>
    </row>
    <row r="180" spans="1:23" s="28" customFormat="1" ht="73.5" customHeight="1" x14ac:dyDescent="0.2">
      <c r="A180" s="30">
        <v>169</v>
      </c>
      <c r="B180" s="115" t="s">
        <v>316</v>
      </c>
      <c r="C180" s="116" t="s">
        <v>25</v>
      </c>
      <c r="D180" s="117">
        <v>5</v>
      </c>
      <c r="E180" s="118">
        <v>563.94000000000005</v>
      </c>
      <c r="F180" s="35"/>
      <c r="G180" s="32"/>
      <c r="H180" s="38"/>
      <c r="I180" s="38">
        <f t="shared" si="32"/>
        <v>0</v>
      </c>
      <c r="J180" s="38"/>
      <c r="K180" s="38"/>
      <c r="L180" s="38">
        <f t="shared" si="24"/>
        <v>0</v>
      </c>
      <c r="M180" s="32"/>
      <c r="N180" s="38"/>
      <c r="O180" s="38">
        <f t="shared" si="31"/>
        <v>0</v>
      </c>
      <c r="P180" s="39" t="e">
        <f t="shared" si="25"/>
        <v>#DIV/0!</v>
      </c>
      <c r="Q180" s="40" t="e">
        <f t="shared" si="26"/>
        <v>#DIV/0!</v>
      </c>
      <c r="R180" s="39">
        <f t="shared" si="27"/>
        <v>0</v>
      </c>
      <c r="S180" s="32"/>
      <c r="U180" s="42" t="e">
        <f t="shared" si="28"/>
        <v>#DIV/0!</v>
      </c>
      <c r="V180" s="42" t="e">
        <f t="shared" si="29"/>
        <v>#DIV/0!</v>
      </c>
      <c r="W180" s="42" t="e">
        <f t="shared" si="30"/>
        <v>#DIV/0!</v>
      </c>
    </row>
    <row r="181" spans="1:23" s="28" customFormat="1" ht="73.5" customHeight="1" x14ac:dyDescent="0.2">
      <c r="A181" s="30">
        <v>170</v>
      </c>
      <c r="B181" s="115" t="s">
        <v>317</v>
      </c>
      <c r="C181" s="116" t="s">
        <v>25</v>
      </c>
      <c r="D181" s="117">
        <v>11</v>
      </c>
      <c r="E181" s="118">
        <v>1331.15</v>
      </c>
      <c r="F181" s="35"/>
      <c r="G181" s="32"/>
      <c r="H181" s="38"/>
      <c r="I181" s="57">
        <f t="shared" si="32"/>
        <v>0</v>
      </c>
      <c r="J181" s="57"/>
      <c r="K181" s="57"/>
      <c r="L181" s="57">
        <f t="shared" si="24"/>
        <v>0</v>
      </c>
      <c r="M181" s="57"/>
      <c r="N181" s="57"/>
      <c r="O181" s="57">
        <f t="shared" si="31"/>
        <v>0</v>
      </c>
      <c r="P181" s="39" t="e">
        <f t="shared" si="25"/>
        <v>#DIV/0!</v>
      </c>
      <c r="Q181" s="40" t="e">
        <f t="shared" si="26"/>
        <v>#DIV/0!</v>
      </c>
      <c r="R181" s="39">
        <f t="shared" si="27"/>
        <v>0</v>
      </c>
      <c r="S181" s="32"/>
      <c r="U181" s="42" t="e">
        <f t="shared" si="28"/>
        <v>#DIV/0!</v>
      </c>
      <c r="V181" s="42" t="e">
        <f t="shared" si="29"/>
        <v>#DIV/0!</v>
      </c>
      <c r="W181" s="42" t="e">
        <f t="shared" si="30"/>
        <v>#DIV/0!</v>
      </c>
    </row>
    <row r="182" spans="1:23" s="28" customFormat="1" ht="73.5" customHeight="1" x14ac:dyDescent="0.2">
      <c r="A182" s="30">
        <v>171</v>
      </c>
      <c r="B182" s="115" t="s">
        <v>318</v>
      </c>
      <c r="C182" s="116" t="s">
        <v>147</v>
      </c>
      <c r="D182" s="117">
        <v>80</v>
      </c>
      <c r="E182" s="118">
        <v>104.48</v>
      </c>
      <c r="F182" s="35"/>
      <c r="G182" s="119"/>
      <c r="H182" s="38"/>
      <c r="I182" s="38">
        <f t="shared" si="32"/>
        <v>0</v>
      </c>
      <c r="J182" s="32"/>
      <c r="K182" s="38"/>
      <c r="L182" s="38">
        <f t="shared" si="24"/>
        <v>0</v>
      </c>
      <c r="M182" s="32"/>
      <c r="N182" s="38"/>
      <c r="O182" s="120">
        <f t="shared" si="31"/>
        <v>0</v>
      </c>
      <c r="P182" s="39" t="e">
        <f t="shared" si="25"/>
        <v>#DIV/0!</v>
      </c>
      <c r="Q182" s="121" t="e">
        <f t="shared" si="26"/>
        <v>#DIV/0!</v>
      </c>
      <c r="R182" s="39">
        <f t="shared" si="27"/>
        <v>0</v>
      </c>
      <c r="S182" s="32"/>
      <c r="U182" s="42" t="e">
        <f t="shared" si="28"/>
        <v>#DIV/0!</v>
      </c>
      <c r="V182" s="42" t="e">
        <f t="shared" si="29"/>
        <v>#DIV/0!</v>
      </c>
      <c r="W182" s="42" t="e">
        <f t="shared" si="30"/>
        <v>#DIV/0!</v>
      </c>
    </row>
    <row r="183" spans="1:23" s="28" customFormat="1" ht="73.5" customHeight="1" x14ac:dyDescent="0.2">
      <c r="A183" s="30">
        <v>172</v>
      </c>
      <c r="B183" s="115" t="s">
        <v>552</v>
      </c>
      <c r="C183" s="116" t="s">
        <v>147</v>
      </c>
      <c r="D183" s="117">
        <v>30</v>
      </c>
      <c r="E183" s="118" t="s">
        <v>504</v>
      </c>
      <c r="F183" s="35"/>
      <c r="G183" s="119"/>
      <c r="H183" s="38"/>
      <c r="I183" s="38">
        <f t="shared" si="32"/>
        <v>0</v>
      </c>
      <c r="J183" s="32"/>
      <c r="K183" s="38"/>
      <c r="L183" s="38">
        <f t="shared" si="24"/>
        <v>0</v>
      </c>
      <c r="M183" s="32"/>
      <c r="N183" s="38"/>
      <c r="O183" s="120">
        <f t="shared" si="31"/>
        <v>0</v>
      </c>
      <c r="P183" s="39" t="e">
        <f t="shared" si="25"/>
        <v>#DIV/0!</v>
      </c>
      <c r="Q183" s="121" t="e">
        <f t="shared" si="26"/>
        <v>#DIV/0!</v>
      </c>
      <c r="R183" s="39">
        <f t="shared" si="27"/>
        <v>0</v>
      </c>
      <c r="S183" s="32"/>
      <c r="U183" s="42" t="e">
        <f t="shared" si="28"/>
        <v>#DIV/0!</v>
      </c>
      <c r="V183" s="42" t="e">
        <f t="shared" si="29"/>
        <v>#DIV/0!</v>
      </c>
      <c r="W183" s="42" t="e">
        <f t="shared" si="30"/>
        <v>#DIV/0!</v>
      </c>
    </row>
    <row r="184" spans="1:23" s="28" customFormat="1" ht="73.5" customHeight="1" x14ac:dyDescent="0.2">
      <c r="A184" s="30">
        <v>173</v>
      </c>
      <c r="B184" s="115" t="s">
        <v>553</v>
      </c>
      <c r="C184" s="116" t="s">
        <v>147</v>
      </c>
      <c r="D184" s="117">
        <v>14</v>
      </c>
      <c r="E184" s="118" t="s">
        <v>504</v>
      </c>
      <c r="F184" s="35"/>
      <c r="G184" s="119"/>
      <c r="H184" s="38"/>
      <c r="I184" s="38">
        <f t="shared" si="32"/>
        <v>0</v>
      </c>
      <c r="J184" s="32"/>
      <c r="K184" s="38"/>
      <c r="L184" s="38">
        <f t="shared" si="24"/>
        <v>0</v>
      </c>
      <c r="M184" s="32"/>
      <c r="N184" s="38"/>
      <c r="O184" s="120">
        <f t="shared" si="31"/>
        <v>0</v>
      </c>
      <c r="P184" s="39" t="e">
        <f t="shared" si="25"/>
        <v>#DIV/0!</v>
      </c>
      <c r="Q184" s="121" t="e">
        <f t="shared" si="26"/>
        <v>#DIV/0!</v>
      </c>
      <c r="R184" s="39">
        <f t="shared" si="27"/>
        <v>0</v>
      </c>
      <c r="S184" s="32"/>
      <c r="U184" s="42" t="e">
        <f t="shared" si="28"/>
        <v>#DIV/0!</v>
      </c>
      <c r="V184" s="42" t="e">
        <f t="shared" si="29"/>
        <v>#DIV/0!</v>
      </c>
      <c r="W184" s="42" t="e">
        <f t="shared" si="30"/>
        <v>#DIV/0!</v>
      </c>
    </row>
    <row r="185" spans="1:23" s="28" customFormat="1" ht="73.5" customHeight="1" x14ac:dyDescent="0.2">
      <c r="A185" s="30">
        <v>174</v>
      </c>
      <c r="B185" s="115" t="s">
        <v>320</v>
      </c>
      <c r="C185" s="116" t="s">
        <v>25</v>
      </c>
      <c r="D185" s="117">
        <v>30</v>
      </c>
      <c r="E185" s="118">
        <v>796.51</v>
      </c>
      <c r="F185" s="35"/>
      <c r="G185" s="119"/>
      <c r="H185" s="38"/>
      <c r="I185" s="38">
        <f t="shared" si="32"/>
        <v>0</v>
      </c>
      <c r="J185" s="32"/>
      <c r="K185" s="38"/>
      <c r="L185" s="38">
        <f t="shared" si="24"/>
        <v>0</v>
      </c>
      <c r="M185" s="32"/>
      <c r="N185" s="38"/>
      <c r="O185" s="120">
        <f t="shared" si="31"/>
        <v>0</v>
      </c>
      <c r="P185" s="39" t="e">
        <f t="shared" si="25"/>
        <v>#DIV/0!</v>
      </c>
      <c r="Q185" s="121" t="e">
        <f t="shared" si="26"/>
        <v>#DIV/0!</v>
      </c>
      <c r="R185" s="39">
        <f t="shared" si="27"/>
        <v>0</v>
      </c>
      <c r="S185" s="32"/>
      <c r="U185" s="42" t="e">
        <f t="shared" si="28"/>
        <v>#DIV/0!</v>
      </c>
      <c r="V185" s="42" t="e">
        <f t="shared" si="29"/>
        <v>#DIV/0!</v>
      </c>
      <c r="W185" s="42" t="e">
        <f t="shared" si="30"/>
        <v>#DIV/0!</v>
      </c>
    </row>
    <row r="186" spans="1:23" s="28" customFormat="1" ht="73.5" customHeight="1" x14ac:dyDescent="0.2">
      <c r="A186" s="30">
        <v>175</v>
      </c>
      <c r="B186" s="115" t="s">
        <v>554</v>
      </c>
      <c r="C186" s="116" t="s">
        <v>25</v>
      </c>
      <c r="D186" s="117">
        <v>16</v>
      </c>
      <c r="E186" s="118" t="s">
        <v>504</v>
      </c>
      <c r="F186" s="35"/>
      <c r="G186" s="119"/>
      <c r="H186" s="38"/>
      <c r="I186" s="38">
        <f t="shared" si="32"/>
        <v>0</v>
      </c>
      <c r="J186" s="32"/>
      <c r="K186" s="38"/>
      <c r="L186" s="38">
        <f t="shared" si="24"/>
        <v>0</v>
      </c>
      <c r="M186" s="32"/>
      <c r="N186" s="38"/>
      <c r="O186" s="120">
        <f t="shared" si="31"/>
        <v>0</v>
      </c>
      <c r="P186" s="39" t="e">
        <f t="shared" si="25"/>
        <v>#DIV/0!</v>
      </c>
      <c r="Q186" s="121" t="e">
        <f t="shared" si="26"/>
        <v>#DIV/0!</v>
      </c>
      <c r="R186" s="39">
        <f t="shared" si="27"/>
        <v>0</v>
      </c>
      <c r="S186" s="32"/>
      <c r="U186" s="42" t="e">
        <f t="shared" si="28"/>
        <v>#DIV/0!</v>
      </c>
      <c r="V186" s="42" t="e">
        <f t="shared" si="29"/>
        <v>#DIV/0!</v>
      </c>
      <c r="W186" s="42" t="e">
        <f t="shared" si="30"/>
        <v>#DIV/0!</v>
      </c>
    </row>
    <row r="187" spans="1:23" s="28" customFormat="1" ht="73.5" customHeight="1" x14ac:dyDescent="0.2">
      <c r="A187" s="30">
        <v>176</v>
      </c>
      <c r="B187" s="115" t="s">
        <v>321</v>
      </c>
      <c r="C187" s="116" t="s">
        <v>25</v>
      </c>
      <c r="D187" s="117">
        <v>3</v>
      </c>
      <c r="E187" s="118">
        <v>5485.34</v>
      </c>
      <c r="F187" s="35"/>
      <c r="G187" s="119"/>
      <c r="H187" s="38"/>
      <c r="I187" s="38">
        <f t="shared" si="32"/>
        <v>0</v>
      </c>
      <c r="J187" s="32"/>
      <c r="K187" s="38"/>
      <c r="L187" s="38">
        <f t="shared" si="24"/>
        <v>0</v>
      </c>
      <c r="M187" s="32"/>
      <c r="N187" s="38"/>
      <c r="O187" s="120">
        <f t="shared" si="31"/>
        <v>0</v>
      </c>
      <c r="P187" s="39" t="e">
        <f t="shared" si="25"/>
        <v>#DIV/0!</v>
      </c>
      <c r="Q187" s="121" t="e">
        <f t="shared" si="26"/>
        <v>#DIV/0!</v>
      </c>
      <c r="R187" s="39">
        <f t="shared" si="27"/>
        <v>0</v>
      </c>
      <c r="S187" s="32"/>
      <c r="U187" s="42" t="e">
        <f t="shared" si="28"/>
        <v>#DIV/0!</v>
      </c>
      <c r="V187" s="42" t="e">
        <f t="shared" si="29"/>
        <v>#DIV/0!</v>
      </c>
      <c r="W187" s="42" t="e">
        <f t="shared" si="30"/>
        <v>#DIV/0!</v>
      </c>
    </row>
    <row r="188" spans="1:23" s="28" customFormat="1" ht="73.5" customHeight="1" x14ac:dyDescent="0.2">
      <c r="A188" s="30">
        <v>177</v>
      </c>
      <c r="B188" s="115" t="s">
        <v>555</v>
      </c>
      <c r="C188" s="116" t="s">
        <v>25</v>
      </c>
      <c r="D188" s="117">
        <v>5</v>
      </c>
      <c r="E188" s="118" t="s">
        <v>504</v>
      </c>
      <c r="F188" s="35"/>
      <c r="G188" s="32"/>
      <c r="H188" s="38"/>
      <c r="I188" s="57">
        <f t="shared" si="32"/>
        <v>0</v>
      </c>
      <c r="J188" s="32"/>
      <c r="K188" s="57"/>
      <c r="L188" s="57">
        <f t="shared" si="24"/>
        <v>0</v>
      </c>
      <c r="M188" s="57"/>
      <c r="N188" s="57"/>
      <c r="O188" s="57">
        <f t="shared" si="31"/>
        <v>0</v>
      </c>
      <c r="P188" s="39" t="e">
        <f t="shared" si="25"/>
        <v>#DIV/0!</v>
      </c>
      <c r="Q188" s="40" t="e">
        <f t="shared" si="26"/>
        <v>#DIV/0!</v>
      </c>
      <c r="R188" s="39">
        <f t="shared" si="27"/>
        <v>0</v>
      </c>
      <c r="S188" s="32"/>
      <c r="U188" s="42" t="e">
        <f t="shared" si="28"/>
        <v>#DIV/0!</v>
      </c>
      <c r="V188" s="42" t="e">
        <f t="shared" si="29"/>
        <v>#DIV/0!</v>
      </c>
      <c r="W188" s="42" t="e">
        <f t="shared" si="30"/>
        <v>#DIV/0!</v>
      </c>
    </row>
    <row r="189" spans="1:23" s="28" customFormat="1" ht="73.5" customHeight="1" x14ac:dyDescent="0.2">
      <c r="A189" s="30">
        <v>178</v>
      </c>
      <c r="B189" s="115" t="s">
        <v>328</v>
      </c>
      <c r="C189" s="116" t="s">
        <v>25</v>
      </c>
      <c r="D189" s="117">
        <v>1</v>
      </c>
      <c r="E189" s="118">
        <v>1842.92</v>
      </c>
      <c r="F189" s="35"/>
      <c r="G189" s="32"/>
      <c r="H189" s="38"/>
      <c r="I189" s="57">
        <f t="shared" si="32"/>
        <v>0</v>
      </c>
      <c r="J189" s="32"/>
      <c r="K189" s="57"/>
      <c r="L189" s="57">
        <f t="shared" si="24"/>
        <v>0</v>
      </c>
      <c r="M189" s="57"/>
      <c r="N189" s="57"/>
      <c r="O189" s="57">
        <f t="shared" si="31"/>
        <v>0</v>
      </c>
      <c r="P189" s="39" t="e">
        <f t="shared" si="25"/>
        <v>#DIV/0!</v>
      </c>
      <c r="Q189" s="40" t="e">
        <f t="shared" si="26"/>
        <v>#DIV/0!</v>
      </c>
      <c r="R189" s="39">
        <f t="shared" si="27"/>
        <v>0</v>
      </c>
      <c r="S189" s="32"/>
      <c r="U189" s="42" t="e">
        <f t="shared" si="28"/>
        <v>#DIV/0!</v>
      </c>
      <c r="V189" s="42" t="e">
        <f t="shared" si="29"/>
        <v>#DIV/0!</v>
      </c>
      <c r="W189" s="42" t="e">
        <f t="shared" si="30"/>
        <v>#DIV/0!</v>
      </c>
    </row>
    <row r="190" spans="1:23" s="28" customFormat="1" ht="73.5" customHeight="1" x14ac:dyDescent="0.2">
      <c r="A190" s="30">
        <v>179</v>
      </c>
      <c r="B190" s="115" t="s">
        <v>556</v>
      </c>
      <c r="C190" s="116" t="s">
        <v>25</v>
      </c>
      <c r="D190" s="117">
        <v>25</v>
      </c>
      <c r="E190" s="118" t="s">
        <v>504</v>
      </c>
      <c r="F190" s="35"/>
      <c r="G190" s="32"/>
      <c r="H190" s="38"/>
      <c r="I190" s="57">
        <f t="shared" si="32"/>
        <v>0</v>
      </c>
      <c r="J190" s="32"/>
      <c r="K190" s="57"/>
      <c r="L190" s="57">
        <f t="shared" si="24"/>
        <v>0</v>
      </c>
      <c r="M190" s="57"/>
      <c r="N190" s="57"/>
      <c r="O190" s="57">
        <f t="shared" si="31"/>
        <v>0</v>
      </c>
      <c r="P190" s="39" t="e">
        <f t="shared" si="25"/>
        <v>#DIV/0!</v>
      </c>
      <c r="Q190" s="40" t="e">
        <f t="shared" si="26"/>
        <v>#DIV/0!</v>
      </c>
      <c r="R190" s="39">
        <f t="shared" si="27"/>
        <v>0</v>
      </c>
      <c r="S190" s="32"/>
      <c r="U190" s="42" t="e">
        <f t="shared" si="28"/>
        <v>#DIV/0!</v>
      </c>
      <c r="V190" s="42" t="e">
        <f t="shared" si="29"/>
        <v>#DIV/0!</v>
      </c>
      <c r="W190" s="42" t="e">
        <f t="shared" si="30"/>
        <v>#DIV/0!</v>
      </c>
    </row>
    <row r="191" spans="1:23" s="28" customFormat="1" ht="73.5" customHeight="1" x14ac:dyDescent="0.2">
      <c r="A191" s="30">
        <v>180</v>
      </c>
      <c r="B191" s="115" t="s">
        <v>331</v>
      </c>
      <c r="C191" s="116" t="s">
        <v>25</v>
      </c>
      <c r="D191" s="117">
        <v>30</v>
      </c>
      <c r="E191" s="118">
        <v>233.82</v>
      </c>
      <c r="F191" s="35"/>
      <c r="G191" s="32"/>
      <c r="H191" s="38"/>
      <c r="I191" s="57">
        <f t="shared" si="32"/>
        <v>0</v>
      </c>
      <c r="J191" s="32"/>
      <c r="K191" s="57"/>
      <c r="L191" s="57">
        <f t="shared" si="24"/>
        <v>0</v>
      </c>
      <c r="M191" s="57"/>
      <c r="N191" s="57"/>
      <c r="O191" s="57">
        <f t="shared" si="31"/>
        <v>0</v>
      </c>
      <c r="P191" s="39" t="e">
        <f t="shared" si="25"/>
        <v>#DIV/0!</v>
      </c>
      <c r="Q191" s="40" t="e">
        <f t="shared" si="26"/>
        <v>#DIV/0!</v>
      </c>
      <c r="R191" s="39">
        <f t="shared" si="27"/>
        <v>0</v>
      </c>
      <c r="S191" s="32"/>
      <c r="U191" s="42" t="e">
        <f t="shared" si="28"/>
        <v>#DIV/0!</v>
      </c>
      <c r="V191" s="42" t="e">
        <f t="shared" si="29"/>
        <v>#DIV/0!</v>
      </c>
      <c r="W191" s="42" t="e">
        <f t="shared" si="30"/>
        <v>#DIV/0!</v>
      </c>
    </row>
    <row r="192" spans="1:23" s="28" customFormat="1" ht="96.75" customHeight="1" x14ac:dyDescent="0.2">
      <c r="A192" s="30">
        <v>181</v>
      </c>
      <c r="B192" s="115" t="s">
        <v>332</v>
      </c>
      <c r="C192" s="116" t="s">
        <v>25</v>
      </c>
      <c r="D192" s="117">
        <v>56</v>
      </c>
      <c r="E192" s="118">
        <v>178.37</v>
      </c>
      <c r="F192" s="35"/>
      <c r="G192" s="32"/>
      <c r="H192" s="38"/>
      <c r="I192" s="57">
        <f t="shared" si="32"/>
        <v>0</v>
      </c>
      <c r="J192" s="32"/>
      <c r="K192" s="57"/>
      <c r="L192" s="57">
        <f t="shared" si="24"/>
        <v>0</v>
      </c>
      <c r="M192" s="57"/>
      <c r="N192" s="57"/>
      <c r="O192" s="57">
        <f t="shared" si="31"/>
        <v>0</v>
      </c>
      <c r="P192" s="39" t="e">
        <f t="shared" si="25"/>
        <v>#DIV/0!</v>
      </c>
      <c r="Q192" s="40" t="e">
        <f t="shared" si="26"/>
        <v>#DIV/0!</v>
      </c>
      <c r="R192" s="39">
        <f t="shared" si="27"/>
        <v>0</v>
      </c>
      <c r="S192" s="32"/>
      <c r="U192" s="42" t="e">
        <f t="shared" si="28"/>
        <v>#DIV/0!</v>
      </c>
      <c r="V192" s="42" t="e">
        <f t="shared" si="29"/>
        <v>#DIV/0!</v>
      </c>
      <c r="W192" s="42" t="e">
        <f t="shared" si="30"/>
        <v>#DIV/0!</v>
      </c>
    </row>
    <row r="193" spans="1:23" s="28" customFormat="1" ht="73.5" customHeight="1" x14ac:dyDescent="0.2">
      <c r="A193" s="30">
        <v>182</v>
      </c>
      <c r="B193" s="115" t="s">
        <v>557</v>
      </c>
      <c r="C193" s="116" t="s">
        <v>25</v>
      </c>
      <c r="D193" s="117">
        <v>5</v>
      </c>
      <c r="E193" s="118" t="s">
        <v>504</v>
      </c>
      <c r="F193" s="35"/>
      <c r="G193" s="32"/>
      <c r="H193" s="38"/>
      <c r="I193" s="57">
        <f t="shared" si="32"/>
        <v>0</v>
      </c>
      <c r="J193" s="32"/>
      <c r="K193" s="57"/>
      <c r="L193" s="57">
        <f t="shared" si="24"/>
        <v>0</v>
      </c>
      <c r="M193" s="57"/>
      <c r="N193" s="57"/>
      <c r="O193" s="57">
        <f t="shared" si="31"/>
        <v>0</v>
      </c>
      <c r="P193" s="39" t="e">
        <f t="shared" si="25"/>
        <v>#DIV/0!</v>
      </c>
      <c r="Q193" s="40" t="e">
        <f t="shared" si="26"/>
        <v>#DIV/0!</v>
      </c>
      <c r="R193" s="39">
        <f t="shared" si="27"/>
        <v>0</v>
      </c>
      <c r="S193" s="32"/>
      <c r="U193" s="42" t="e">
        <f t="shared" si="28"/>
        <v>#DIV/0!</v>
      </c>
      <c r="V193" s="42" t="e">
        <f t="shared" si="29"/>
        <v>#DIV/0!</v>
      </c>
      <c r="W193" s="42" t="e">
        <f t="shared" si="30"/>
        <v>#DIV/0!</v>
      </c>
    </row>
    <row r="194" spans="1:23" s="28" customFormat="1" ht="73.5" customHeight="1" x14ac:dyDescent="0.2">
      <c r="A194" s="30">
        <v>183</v>
      </c>
      <c r="B194" s="115" t="s">
        <v>334</v>
      </c>
      <c r="C194" s="116" t="s">
        <v>25</v>
      </c>
      <c r="D194" s="117">
        <v>2</v>
      </c>
      <c r="E194" s="118">
        <v>191.64</v>
      </c>
      <c r="F194" s="35"/>
      <c r="G194" s="32"/>
      <c r="H194" s="38"/>
      <c r="I194" s="38">
        <f t="shared" si="32"/>
        <v>0</v>
      </c>
      <c r="J194" s="38"/>
      <c r="K194" s="38"/>
      <c r="L194" s="38">
        <f t="shared" si="24"/>
        <v>0</v>
      </c>
      <c r="M194" s="32"/>
      <c r="N194" s="38"/>
      <c r="O194" s="38">
        <f t="shared" si="31"/>
        <v>0</v>
      </c>
      <c r="P194" s="39" t="e">
        <f t="shared" si="25"/>
        <v>#DIV/0!</v>
      </c>
      <c r="Q194" s="40" t="e">
        <f t="shared" si="26"/>
        <v>#DIV/0!</v>
      </c>
      <c r="R194" s="39">
        <f t="shared" si="27"/>
        <v>0</v>
      </c>
      <c r="S194" s="32"/>
      <c r="U194" s="42" t="e">
        <f t="shared" si="28"/>
        <v>#DIV/0!</v>
      </c>
      <c r="V194" s="42" t="e">
        <f t="shared" si="29"/>
        <v>#DIV/0!</v>
      </c>
      <c r="W194" s="42" t="e">
        <f t="shared" si="30"/>
        <v>#DIV/0!</v>
      </c>
    </row>
    <row r="195" spans="1:23" s="28" customFormat="1" ht="73.5" customHeight="1" x14ac:dyDescent="0.2">
      <c r="A195" s="30">
        <v>184</v>
      </c>
      <c r="B195" s="115" t="s">
        <v>558</v>
      </c>
      <c r="C195" s="116" t="s">
        <v>25</v>
      </c>
      <c r="D195" s="117">
        <v>25</v>
      </c>
      <c r="E195" s="118" t="s">
        <v>504</v>
      </c>
      <c r="F195" s="35"/>
      <c r="G195" s="32"/>
      <c r="H195" s="38"/>
      <c r="I195" s="38">
        <f t="shared" si="32"/>
        <v>0</v>
      </c>
      <c r="J195" s="32"/>
      <c r="K195" s="38"/>
      <c r="L195" s="38">
        <f t="shared" si="24"/>
        <v>0</v>
      </c>
      <c r="M195" s="38"/>
      <c r="N195" s="38"/>
      <c r="O195" s="38">
        <f t="shared" si="31"/>
        <v>0</v>
      </c>
      <c r="P195" s="39" t="e">
        <f t="shared" si="25"/>
        <v>#DIV/0!</v>
      </c>
      <c r="Q195" s="40" t="e">
        <f t="shared" si="26"/>
        <v>#DIV/0!</v>
      </c>
      <c r="R195" s="39">
        <f t="shared" si="27"/>
        <v>0</v>
      </c>
      <c r="S195" s="32"/>
      <c r="U195" s="42" t="e">
        <f t="shared" si="28"/>
        <v>#DIV/0!</v>
      </c>
      <c r="V195" s="42" t="e">
        <f t="shared" si="29"/>
        <v>#DIV/0!</v>
      </c>
      <c r="W195" s="42" t="e">
        <f t="shared" si="30"/>
        <v>#DIV/0!</v>
      </c>
    </row>
    <row r="196" spans="1:23" s="28" customFormat="1" ht="73.5" customHeight="1" x14ac:dyDescent="0.2">
      <c r="A196" s="30">
        <v>185</v>
      </c>
      <c r="B196" s="115" t="s">
        <v>337</v>
      </c>
      <c r="C196" s="116" t="s">
        <v>45</v>
      </c>
      <c r="D196" s="117">
        <v>40</v>
      </c>
      <c r="E196" s="118">
        <v>3124.7</v>
      </c>
      <c r="F196" s="35"/>
      <c r="G196" s="32"/>
      <c r="H196" s="38"/>
      <c r="I196" s="38">
        <f t="shared" si="32"/>
        <v>0</v>
      </c>
      <c r="J196" s="38"/>
      <c r="K196" s="38"/>
      <c r="L196" s="38">
        <f t="shared" si="24"/>
        <v>0</v>
      </c>
      <c r="M196" s="32"/>
      <c r="N196" s="38"/>
      <c r="O196" s="38">
        <f t="shared" si="31"/>
        <v>0</v>
      </c>
      <c r="P196" s="39" t="e">
        <f t="shared" si="25"/>
        <v>#DIV/0!</v>
      </c>
      <c r="Q196" s="40" t="e">
        <f t="shared" si="26"/>
        <v>#DIV/0!</v>
      </c>
      <c r="R196" s="39">
        <f t="shared" si="27"/>
        <v>0</v>
      </c>
      <c r="S196" s="32"/>
      <c r="U196" s="42" t="e">
        <f t="shared" si="28"/>
        <v>#DIV/0!</v>
      </c>
      <c r="V196" s="42" t="e">
        <f t="shared" si="29"/>
        <v>#DIV/0!</v>
      </c>
      <c r="W196" s="42" t="e">
        <f t="shared" si="30"/>
        <v>#DIV/0!</v>
      </c>
    </row>
    <row r="197" spans="1:23" s="28" customFormat="1" ht="73.5" customHeight="1" x14ac:dyDescent="0.2">
      <c r="A197" s="30">
        <v>186</v>
      </c>
      <c r="B197" s="115" t="s">
        <v>559</v>
      </c>
      <c r="C197" s="116" t="s">
        <v>25</v>
      </c>
      <c r="D197" s="117">
        <v>25</v>
      </c>
      <c r="E197" s="118" t="s">
        <v>504</v>
      </c>
      <c r="F197" s="35"/>
      <c r="G197" s="32"/>
      <c r="H197" s="38"/>
      <c r="I197" s="38">
        <f t="shared" si="32"/>
        <v>0</v>
      </c>
      <c r="J197" s="32"/>
      <c r="K197" s="38"/>
      <c r="L197" s="38">
        <f t="shared" si="24"/>
        <v>0</v>
      </c>
      <c r="M197" s="32"/>
      <c r="N197" s="38"/>
      <c r="O197" s="38">
        <f t="shared" si="31"/>
        <v>0</v>
      </c>
      <c r="P197" s="39" t="e">
        <f t="shared" si="25"/>
        <v>#DIV/0!</v>
      </c>
      <c r="Q197" s="40" t="e">
        <f t="shared" si="26"/>
        <v>#DIV/0!</v>
      </c>
      <c r="R197" s="39">
        <f t="shared" si="27"/>
        <v>0</v>
      </c>
      <c r="S197" s="57"/>
      <c r="U197" s="42" t="e">
        <f t="shared" si="28"/>
        <v>#DIV/0!</v>
      </c>
      <c r="V197" s="42" t="e">
        <f t="shared" si="29"/>
        <v>#DIV/0!</v>
      </c>
      <c r="W197" s="42" t="e">
        <f t="shared" si="30"/>
        <v>#DIV/0!</v>
      </c>
    </row>
    <row r="198" spans="1:23" s="28" customFormat="1" ht="73.5" customHeight="1" x14ac:dyDescent="0.2">
      <c r="A198" s="30">
        <v>187</v>
      </c>
      <c r="B198" s="115" t="s">
        <v>560</v>
      </c>
      <c r="C198" s="116" t="s">
        <v>25</v>
      </c>
      <c r="D198" s="117">
        <v>50</v>
      </c>
      <c r="E198" s="118" t="s">
        <v>504</v>
      </c>
      <c r="F198" s="35"/>
      <c r="G198" s="32"/>
      <c r="H198" s="38"/>
      <c r="I198" s="38">
        <f t="shared" si="32"/>
        <v>0</v>
      </c>
      <c r="J198" s="38"/>
      <c r="K198" s="38"/>
      <c r="L198" s="38">
        <f t="shared" si="24"/>
        <v>0</v>
      </c>
      <c r="M198" s="32"/>
      <c r="N198" s="38"/>
      <c r="O198" s="38">
        <f t="shared" si="31"/>
        <v>0</v>
      </c>
      <c r="P198" s="39" t="e">
        <f t="shared" si="25"/>
        <v>#DIV/0!</v>
      </c>
      <c r="Q198" s="40" t="e">
        <f t="shared" si="26"/>
        <v>#DIV/0!</v>
      </c>
      <c r="R198" s="39">
        <f t="shared" si="27"/>
        <v>0</v>
      </c>
      <c r="S198" s="32"/>
      <c r="U198" s="42" t="e">
        <f t="shared" si="28"/>
        <v>#DIV/0!</v>
      </c>
      <c r="V198" s="42" t="e">
        <f t="shared" si="29"/>
        <v>#DIV/0!</v>
      </c>
      <c r="W198" s="42" t="e">
        <f t="shared" si="30"/>
        <v>#DIV/0!</v>
      </c>
    </row>
    <row r="199" spans="1:23" s="28" customFormat="1" ht="73.5" customHeight="1" x14ac:dyDescent="0.2">
      <c r="A199" s="30">
        <v>188</v>
      </c>
      <c r="B199" s="115" t="s">
        <v>561</v>
      </c>
      <c r="C199" s="116" t="s">
        <v>25</v>
      </c>
      <c r="D199" s="117">
        <v>25</v>
      </c>
      <c r="E199" s="118" t="s">
        <v>504</v>
      </c>
      <c r="F199" s="35"/>
      <c r="G199" s="32"/>
      <c r="H199" s="38"/>
      <c r="I199" s="38">
        <f t="shared" si="32"/>
        <v>0</v>
      </c>
      <c r="J199" s="38"/>
      <c r="K199" s="38"/>
      <c r="L199" s="38">
        <f t="shared" si="24"/>
        <v>0</v>
      </c>
      <c r="M199" s="32"/>
      <c r="N199" s="38"/>
      <c r="O199" s="38">
        <f t="shared" si="31"/>
        <v>0</v>
      </c>
      <c r="P199" s="39" t="e">
        <f t="shared" si="25"/>
        <v>#DIV/0!</v>
      </c>
      <c r="Q199" s="40" t="e">
        <f t="shared" si="26"/>
        <v>#DIV/0!</v>
      </c>
      <c r="R199" s="39">
        <f t="shared" si="27"/>
        <v>0</v>
      </c>
      <c r="S199" s="32"/>
      <c r="U199" s="42" t="e">
        <f t="shared" si="28"/>
        <v>#DIV/0!</v>
      </c>
      <c r="V199" s="42" t="e">
        <f t="shared" si="29"/>
        <v>#DIV/0!</v>
      </c>
      <c r="W199" s="42" t="e">
        <f t="shared" si="30"/>
        <v>#DIV/0!</v>
      </c>
    </row>
    <row r="200" spans="1:23" s="28" customFormat="1" ht="73.5" customHeight="1" x14ac:dyDescent="0.2">
      <c r="A200" s="30">
        <v>189</v>
      </c>
      <c r="B200" s="115" t="s">
        <v>562</v>
      </c>
      <c r="C200" s="116" t="s">
        <v>25</v>
      </c>
      <c r="D200" s="117">
        <v>500</v>
      </c>
      <c r="E200" s="118" t="s">
        <v>504</v>
      </c>
      <c r="F200" s="35"/>
      <c r="G200" s="32"/>
      <c r="H200" s="38"/>
      <c r="I200" s="38">
        <f t="shared" si="32"/>
        <v>0</v>
      </c>
      <c r="J200" s="38"/>
      <c r="K200" s="38"/>
      <c r="L200" s="38">
        <f t="shared" si="24"/>
        <v>0</v>
      </c>
      <c r="M200" s="32"/>
      <c r="N200" s="38"/>
      <c r="O200" s="38">
        <f t="shared" si="31"/>
        <v>0</v>
      </c>
      <c r="P200" s="39" t="e">
        <f t="shared" si="25"/>
        <v>#DIV/0!</v>
      </c>
      <c r="Q200" s="40" t="e">
        <f t="shared" si="26"/>
        <v>#DIV/0!</v>
      </c>
      <c r="R200" s="39">
        <f t="shared" si="27"/>
        <v>0</v>
      </c>
      <c r="S200" s="32"/>
      <c r="U200" s="42" t="e">
        <f t="shared" si="28"/>
        <v>#DIV/0!</v>
      </c>
      <c r="V200" s="42" t="e">
        <f t="shared" si="29"/>
        <v>#DIV/0!</v>
      </c>
      <c r="W200" s="42" t="e">
        <f t="shared" si="30"/>
        <v>#DIV/0!</v>
      </c>
    </row>
    <row r="201" spans="1:23" s="28" customFormat="1" ht="73.5" customHeight="1" x14ac:dyDescent="0.2">
      <c r="A201" s="30">
        <v>190</v>
      </c>
      <c r="B201" s="115" t="s">
        <v>340</v>
      </c>
      <c r="C201" s="116" t="s">
        <v>25</v>
      </c>
      <c r="D201" s="117">
        <v>10</v>
      </c>
      <c r="E201" s="118">
        <v>2334.6799999999998</v>
      </c>
      <c r="F201" s="35"/>
      <c r="G201" s="32"/>
      <c r="H201" s="38"/>
      <c r="I201" s="38">
        <f t="shared" si="32"/>
        <v>0</v>
      </c>
      <c r="J201" s="38"/>
      <c r="K201" s="38"/>
      <c r="L201" s="38">
        <f t="shared" si="24"/>
        <v>0</v>
      </c>
      <c r="M201" s="32"/>
      <c r="N201" s="38"/>
      <c r="O201" s="38">
        <f t="shared" ref="O201:O232" si="33">D201*N201</f>
        <v>0</v>
      </c>
      <c r="P201" s="39" t="e">
        <f t="shared" si="25"/>
        <v>#DIV/0!</v>
      </c>
      <c r="Q201" s="40" t="e">
        <f t="shared" si="26"/>
        <v>#DIV/0!</v>
      </c>
      <c r="R201" s="39">
        <f t="shared" si="27"/>
        <v>0</v>
      </c>
      <c r="S201" s="32"/>
      <c r="U201" s="42" t="e">
        <f t="shared" si="28"/>
        <v>#DIV/0!</v>
      </c>
      <c r="V201" s="42" t="e">
        <f t="shared" si="29"/>
        <v>#DIV/0!</v>
      </c>
      <c r="W201" s="42" t="e">
        <f t="shared" si="30"/>
        <v>#DIV/0!</v>
      </c>
    </row>
    <row r="202" spans="1:23" s="28" customFormat="1" ht="73.5" customHeight="1" x14ac:dyDescent="0.2">
      <c r="A202" s="30">
        <v>191</v>
      </c>
      <c r="B202" s="115" t="s">
        <v>343</v>
      </c>
      <c r="C202" s="116" t="s">
        <v>25</v>
      </c>
      <c r="D202" s="117">
        <v>5</v>
      </c>
      <c r="E202" s="118">
        <v>1394.8</v>
      </c>
      <c r="F202" s="35"/>
      <c r="G202" s="32"/>
      <c r="H202" s="38"/>
      <c r="I202" s="38">
        <f t="shared" si="32"/>
        <v>0</v>
      </c>
      <c r="J202" s="38"/>
      <c r="K202" s="38"/>
      <c r="L202" s="38">
        <f t="shared" si="24"/>
        <v>0</v>
      </c>
      <c r="M202" s="32"/>
      <c r="N202" s="38"/>
      <c r="O202" s="38">
        <f t="shared" si="33"/>
        <v>0</v>
      </c>
      <c r="P202" s="39" t="e">
        <f t="shared" si="25"/>
        <v>#DIV/0!</v>
      </c>
      <c r="Q202" s="40" t="e">
        <f t="shared" si="26"/>
        <v>#DIV/0!</v>
      </c>
      <c r="R202" s="39">
        <f t="shared" si="27"/>
        <v>0</v>
      </c>
      <c r="S202" s="32"/>
      <c r="U202" s="42" t="e">
        <f t="shared" si="28"/>
        <v>#DIV/0!</v>
      </c>
      <c r="V202" s="42" t="e">
        <f t="shared" si="29"/>
        <v>#DIV/0!</v>
      </c>
      <c r="W202" s="42" t="e">
        <f t="shared" si="30"/>
        <v>#DIV/0!</v>
      </c>
    </row>
    <row r="203" spans="1:23" s="28" customFormat="1" ht="73.5" customHeight="1" x14ac:dyDescent="0.2">
      <c r="A203" s="30">
        <v>192</v>
      </c>
      <c r="B203" s="115" t="s">
        <v>563</v>
      </c>
      <c r="C203" s="116" t="s">
        <v>25</v>
      </c>
      <c r="D203" s="117">
        <v>20</v>
      </c>
      <c r="E203" s="118" t="s">
        <v>504</v>
      </c>
      <c r="F203" s="35"/>
      <c r="G203" s="32"/>
      <c r="H203" s="38"/>
      <c r="I203" s="38">
        <f t="shared" si="32"/>
        <v>0</v>
      </c>
      <c r="J203" s="38"/>
      <c r="K203" s="38"/>
      <c r="L203" s="38">
        <f t="shared" si="24"/>
        <v>0</v>
      </c>
      <c r="M203" s="32"/>
      <c r="N203" s="38"/>
      <c r="O203" s="38">
        <f t="shared" si="33"/>
        <v>0</v>
      </c>
      <c r="P203" s="39" t="e">
        <f t="shared" si="25"/>
        <v>#DIV/0!</v>
      </c>
      <c r="Q203" s="40" t="e">
        <f t="shared" si="26"/>
        <v>#DIV/0!</v>
      </c>
      <c r="R203" s="39">
        <f t="shared" si="27"/>
        <v>0</v>
      </c>
      <c r="S203" s="32"/>
      <c r="U203" s="42" t="e">
        <f t="shared" si="28"/>
        <v>#DIV/0!</v>
      </c>
      <c r="V203" s="42" t="e">
        <f t="shared" si="29"/>
        <v>#DIV/0!</v>
      </c>
      <c r="W203" s="42" t="e">
        <f t="shared" si="30"/>
        <v>#DIV/0!</v>
      </c>
    </row>
    <row r="204" spans="1:23" s="28" customFormat="1" ht="73.5" customHeight="1" x14ac:dyDescent="0.2">
      <c r="A204" s="30">
        <v>193</v>
      </c>
      <c r="B204" s="115" t="s">
        <v>350</v>
      </c>
      <c r="C204" s="116" t="s">
        <v>25</v>
      </c>
      <c r="D204" s="117">
        <v>30</v>
      </c>
      <c r="E204" s="118">
        <v>1243.98</v>
      </c>
      <c r="F204" s="35"/>
      <c r="G204" s="32"/>
      <c r="H204" s="38"/>
      <c r="I204" s="38">
        <f t="shared" ref="I204:I207" si="34">D204*H204</f>
        <v>0</v>
      </c>
      <c r="J204" s="38"/>
      <c r="K204" s="38"/>
      <c r="L204" s="38">
        <f t="shared" ref="L204:L267" si="35">D204*K204</f>
        <v>0</v>
      </c>
      <c r="M204" s="32"/>
      <c r="N204" s="38"/>
      <c r="O204" s="38">
        <f t="shared" si="33"/>
        <v>0</v>
      </c>
      <c r="P204" s="39" t="e">
        <f t="shared" ref="P204:P267" si="36">AVERAGE(H204,K204,N204)</f>
        <v>#DIV/0!</v>
      </c>
      <c r="Q204" s="40" t="e">
        <f t="shared" ref="Q204:Q267" si="37">F204*100/P204-100</f>
        <v>#DIV/0!</v>
      </c>
      <c r="R204" s="39">
        <f t="shared" ref="R204:R267" si="38">D204*F204</f>
        <v>0</v>
      </c>
      <c r="S204" s="32"/>
      <c r="U204" s="42" t="e">
        <f t="shared" ref="U204:U267" si="39">ROUND(H204*100/P204-100,0)</f>
        <v>#DIV/0!</v>
      </c>
      <c r="V204" s="42" t="e">
        <f t="shared" ref="V204:V267" si="40">ROUND(K204*100/P204-100,0)</f>
        <v>#DIV/0!</v>
      </c>
      <c r="W204" s="42" t="e">
        <f t="shared" ref="W204:W267" si="41">ROUND(N204*100/P204-100,0)</f>
        <v>#DIV/0!</v>
      </c>
    </row>
    <row r="205" spans="1:23" s="28" customFormat="1" ht="73.5" customHeight="1" x14ac:dyDescent="0.2">
      <c r="A205" s="30">
        <v>194</v>
      </c>
      <c r="B205" s="115" t="s">
        <v>354</v>
      </c>
      <c r="C205" s="116" t="s">
        <v>25</v>
      </c>
      <c r="D205" s="117">
        <v>9</v>
      </c>
      <c r="E205" s="118">
        <v>6620.5</v>
      </c>
      <c r="F205" s="35"/>
      <c r="G205" s="32"/>
      <c r="H205" s="38"/>
      <c r="I205" s="38">
        <f t="shared" si="34"/>
        <v>0</v>
      </c>
      <c r="J205" s="38"/>
      <c r="K205" s="38"/>
      <c r="L205" s="38">
        <f t="shared" si="35"/>
        <v>0</v>
      </c>
      <c r="M205" s="32"/>
      <c r="N205" s="38"/>
      <c r="O205" s="38">
        <f t="shared" si="33"/>
        <v>0</v>
      </c>
      <c r="P205" s="39" t="e">
        <f t="shared" si="36"/>
        <v>#DIV/0!</v>
      </c>
      <c r="Q205" s="40" t="e">
        <f t="shared" si="37"/>
        <v>#DIV/0!</v>
      </c>
      <c r="R205" s="39">
        <f t="shared" si="38"/>
        <v>0</v>
      </c>
      <c r="S205" s="32"/>
      <c r="U205" s="42" t="e">
        <f t="shared" si="39"/>
        <v>#DIV/0!</v>
      </c>
      <c r="V205" s="42" t="e">
        <f t="shared" si="40"/>
        <v>#DIV/0!</v>
      </c>
      <c r="W205" s="42" t="e">
        <f t="shared" si="41"/>
        <v>#DIV/0!</v>
      </c>
    </row>
    <row r="206" spans="1:23" s="28" customFormat="1" ht="73.5" customHeight="1" x14ac:dyDescent="0.2">
      <c r="A206" s="30">
        <v>195</v>
      </c>
      <c r="B206" s="115" t="s">
        <v>357</v>
      </c>
      <c r="C206" s="116" t="s">
        <v>25</v>
      </c>
      <c r="D206" s="117">
        <v>80</v>
      </c>
      <c r="E206" s="118">
        <v>6160.34</v>
      </c>
      <c r="F206" s="35"/>
      <c r="G206" s="32"/>
      <c r="H206" s="38"/>
      <c r="I206" s="38">
        <f t="shared" si="34"/>
        <v>0</v>
      </c>
      <c r="J206" s="38"/>
      <c r="K206" s="38"/>
      <c r="L206" s="38">
        <f t="shared" si="35"/>
        <v>0</v>
      </c>
      <c r="M206" s="32"/>
      <c r="N206" s="38"/>
      <c r="O206" s="38">
        <f t="shared" si="33"/>
        <v>0</v>
      </c>
      <c r="P206" s="39" t="e">
        <f t="shared" si="36"/>
        <v>#DIV/0!</v>
      </c>
      <c r="Q206" s="40" t="e">
        <f t="shared" si="37"/>
        <v>#DIV/0!</v>
      </c>
      <c r="R206" s="39">
        <f t="shared" si="38"/>
        <v>0</v>
      </c>
      <c r="S206" s="32"/>
      <c r="U206" s="42" t="e">
        <f t="shared" si="39"/>
        <v>#DIV/0!</v>
      </c>
      <c r="V206" s="42" t="e">
        <f t="shared" si="40"/>
        <v>#DIV/0!</v>
      </c>
      <c r="W206" s="42" t="e">
        <f t="shared" si="41"/>
        <v>#DIV/0!</v>
      </c>
    </row>
    <row r="207" spans="1:23" s="28" customFormat="1" ht="73.5" customHeight="1" x14ac:dyDescent="0.2">
      <c r="A207" s="30">
        <v>196</v>
      </c>
      <c r="B207" s="115" t="s">
        <v>564</v>
      </c>
      <c r="C207" s="116" t="s">
        <v>25</v>
      </c>
      <c r="D207" s="117">
        <v>3</v>
      </c>
      <c r="E207" s="118" t="s">
        <v>504</v>
      </c>
      <c r="F207" s="35"/>
      <c r="G207" s="32"/>
      <c r="H207" s="38"/>
      <c r="I207" s="38">
        <f t="shared" si="34"/>
        <v>0</v>
      </c>
      <c r="J207" s="38"/>
      <c r="K207" s="38"/>
      <c r="L207" s="38">
        <f t="shared" si="35"/>
        <v>0</v>
      </c>
      <c r="M207" s="32"/>
      <c r="N207" s="38"/>
      <c r="O207" s="38">
        <f t="shared" si="33"/>
        <v>0</v>
      </c>
      <c r="P207" s="39" t="e">
        <f t="shared" si="36"/>
        <v>#DIV/0!</v>
      </c>
      <c r="Q207" s="40" t="e">
        <f t="shared" si="37"/>
        <v>#DIV/0!</v>
      </c>
      <c r="R207" s="39">
        <f t="shared" si="38"/>
        <v>0</v>
      </c>
      <c r="S207" s="32"/>
      <c r="U207" s="42" t="e">
        <f t="shared" si="39"/>
        <v>#DIV/0!</v>
      </c>
      <c r="V207" s="42" t="e">
        <f t="shared" si="40"/>
        <v>#DIV/0!</v>
      </c>
      <c r="W207" s="42" t="e">
        <f t="shared" si="41"/>
        <v>#DIV/0!</v>
      </c>
    </row>
    <row r="208" spans="1:23" s="28" customFormat="1" ht="73.5" customHeight="1" x14ac:dyDescent="0.2">
      <c r="A208" s="30">
        <v>197</v>
      </c>
      <c r="B208" s="115" t="s">
        <v>359</v>
      </c>
      <c r="C208" s="116" t="s">
        <v>25</v>
      </c>
      <c r="D208" s="117">
        <v>5</v>
      </c>
      <c r="E208" s="118">
        <v>6504.74</v>
      </c>
      <c r="F208" s="35"/>
      <c r="G208" s="32"/>
      <c r="H208" s="38"/>
      <c r="I208" s="38">
        <f>H208*D208</f>
        <v>0</v>
      </c>
      <c r="J208" s="32"/>
      <c r="K208" s="38"/>
      <c r="L208" s="38">
        <f t="shared" si="35"/>
        <v>0</v>
      </c>
      <c r="M208" s="32"/>
      <c r="N208" s="38"/>
      <c r="O208" s="38">
        <f t="shared" si="33"/>
        <v>0</v>
      </c>
      <c r="P208" s="39" t="e">
        <f t="shared" si="36"/>
        <v>#DIV/0!</v>
      </c>
      <c r="Q208" s="40" t="e">
        <f t="shared" si="37"/>
        <v>#DIV/0!</v>
      </c>
      <c r="R208" s="39">
        <f t="shared" si="38"/>
        <v>0</v>
      </c>
      <c r="S208" s="32"/>
      <c r="U208" s="42" t="e">
        <f t="shared" si="39"/>
        <v>#DIV/0!</v>
      </c>
      <c r="V208" s="42" t="e">
        <f t="shared" si="40"/>
        <v>#DIV/0!</v>
      </c>
      <c r="W208" s="42" t="e">
        <f t="shared" si="41"/>
        <v>#DIV/0!</v>
      </c>
    </row>
    <row r="209" spans="1:23" s="28" customFormat="1" ht="73.5" customHeight="1" x14ac:dyDescent="0.2">
      <c r="A209" s="30">
        <v>198</v>
      </c>
      <c r="B209" s="123" t="s">
        <v>565</v>
      </c>
      <c r="C209" s="116" t="s">
        <v>25</v>
      </c>
      <c r="D209" s="117">
        <v>1</v>
      </c>
      <c r="E209" s="118"/>
      <c r="F209" s="35"/>
      <c r="G209" s="208" t="s">
        <v>566</v>
      </c>
      <c r="H209" s="38"/>
      <c r="I209" s="38">
        <f>H209*D209</f>
        <v>0</v>
      </c>
      <c r="J209" s="32"/>
      <c r="K209" s="38"/>
      <c r="L209" s="38">
        <f t="shared" si="35"/>
        <v>0</v>
      </c>
      <c r="M209" s="32"/>
      <c r="N209" s="38"/>
      <c r="O209" s="38">
        <f t="shared" si="33"/>
        <v>0</v>
      </c>
      <c r="P209" s="39" t="e">
        <f t="shared" si="36"/>
        <v>#DIV/0!</v>
      </c>
      <c r="Q209" s="40" t="e">
        <f t="shared" si="37"/>
        <v>#DIV/0!</v>
      </c>
      <c r="R209" s="39">
        <f t="shared" si="38"/>
        <v>0</v>
      </c>
      <c r="S209" s="32"/>
      <c r="U209" s="42" t="e">
        <f t="shared" si="39"/>
        <v>#DIV/0!</v>
      </c>
      <c r="V209" s="42" t="e">
        <f t="shared" si="40"/>
        <v>#DIV/0!</v>
      </c>
      <c r="W209" s="42" t="e">
        <f t="shared" si="41"/>
        <v>#DIV/0!</v>
      </c>
    </row>
    <row r="210" spans="1:23" s="28" customFormat="1" ht="73.5" customHeight="1" x14ac:dyDescent="0.2">
      <c r="A210" s="30">
        <v>199</v>
      </c>
      <c r="B210" s="123" t="s">
        <v>362</v>
      </c>
      <c r="C210" s="116" t="s">
        <v>25</v>
      </c>
      <c r="D210" s="117">
        <v>6</v>
      </c>
      <c r="E210" s="118">
        <v>9723.4</v>
      </c>
      <c r="F210" s="35"/>
      <c r="G210" s="208"/>
      <c r="H210" s="38"/>
      <c r="I210" s="38">
        <f>H210*D210</f>
        <v>0</v>
      </c>
      <c r="J210" s="32"/>
      <c r="K210" s="38"/>
      <c r="L210" s="38">
        <f t="shared" si="35"/>
        <v>0</v>
      </c>
      <c r="M210" s="32"/>
      <c r="N210" s="38"/>
      <c r="O210" s="38">
        <f t="shared" si="33"/>
        <v>0</v>
      </c>
      <c r="P210" s="39" t="e">
        <f t="shared" si="36"/>
        <v>#DIV/0!</v>
      </c>
      <c r="Q210" s="40" t="e">
        <f t="shared" si="37"/>
        <v>#DIV/0!</v>
      </c>
      <c r="R210" s="39">
        <f t="shared" si="38"/>
        <v>0</v>
      </c>
      <c r="S210" s="32"/>
      <c r="U210" s="42" t="e">
        <f t="shared" si="39"/>
        <v>#DIV/0!</v>
      </c>
      <c r="V210" s="42" t="e">
        <f t="shared" si="40"/>
        <v>#DIV/0!</v>
      </c>
      <c r="W210" s="42" t="e">
        <f t="shared" si="41"/>
        <v>#DIV/0!</v>
      </c>
    </row>
    <row r="211" spans="1:23" s="28" customFormat="1" ht="73.5" customHeight="1" x14ac:dyDescent="0.2">
      <c r="A211" s="30">
        <v>200</v>
      </c>
      <c r="B211" s="115" t="s">
        <v>364</v>
      </c>
      <c r="C211" s="116" t="s">
        <v>25</v>
      </c>
      <c r="D211" s="117">
        <v>43</v>
      </c>
      <c r="E211" s="118">
        <v>14297.31</v>
      </c>
      <c r="F211" s="35"/>
      <c r="G211" s="32"/>
      <c r="H211" s="38"/>
      <c r="I211" s="38">
        <f>H211*D211</f>
        <v>0</v>
      </c>
      <c r="J211" s="32"/>
      <c r="K211" s="38"/>
      <c r="L211" s="38">
        <f t="shared" si="35"/>
        <v>0</v>
      </c>
      <c r="M211" s="32"/>
      <c r="N211" s="38"/>
      <c r="O211" s="38">
        <f t="shared" si="33"/>
        <v>0</v>
      </c>
      <c r="P211" s="39" t="e">
        <f t="shared" si="36"/>
        <v>#DIV/0!</v>
      </c>
      <c r="Q211" s="40" t="e">
        <f t="shared" si="37"/>
        <v>#DIV/0!</v>
      </c>
      <c r="R211" s="39">
        <f t="shared" si="38"/>
        <v>0</v>
      </c>
      <c r="S211" s="32"/>
      <c r="U211" s="42" t="e">
        <f t="shared" si="39"/>
        <v>#DIV/0!</v>
      </c>
      <c r="V211" s="42" t="e">
        <f t="shared" si="40"/>
        <v>#DIV/0!</v>
      </c>
      <c r="W211" s="42" t="e">
        <f t="shared" si="41"/>
        <v>#DIV/0!</v>
      </c>
    </row>
    <row r="212" spans="1:23" s="28" customFormat="1" ht="80.25" customHeight="1" x14ac:dyDescent="0.2">
      <c r="A212" s="30">
        <v>201</v>
      </c>
      <c r="B212" s="115" t="s">
        <v>366</v>
      </c>
      <c r="C212" s="116" t="s">
        <v>25</v>
      </c>
      <c r="D212" s="117">
        <v>2</v>
      </c>
      <c r="E212" s="118">
        <v>18180.7</v>
      </c>
      <c r="F212" s="35"/>
      <c r="G212" s="32"/>
      <c r="H212" s="38"/>
      <c r="I212" s="38">
        <f>H212*D212</f>
        <v>0</v>
      </c>
      <c r="J212" s="32"/>
      <c r="K212" s="38"/>
      <c r="L212" s="38">
        <f t="shared" si="35"/>
        <v>0</v>
      </c>
      <c r="M212" s="32"/>
      <c r="N212" s="38"/>
      <c r="O212" s="38">
        <f t="shared" si="33"/>
        <v>0</v>
      </c>
      <c r="P212" s="39" t="e">
        <f t="shared" si="36"/>
        <v>#DIV/0!</v>
      </c>
      <c r="Q212" s="40" t="e">
        <f t="shared" si="37"/>
        <v>#DIV/0!</v>
      </c>
      <c r="R212" s="39">
        <f t="shared" si="38"/>
        <v>0</v>
      </c>
      <c r="S212" s="32"/>
      <c r="U212" s="42" t="e">
        <f t="shared" si="39"/>
        <v>#DIV/0!</v>
      </c>
      <c r="V212" s="42" t="e">
        <f t="shared" si="40"/>
        <v>#DIV/0!</v>
      </c>
      <c r="W212" s="42" t="e">
        <f t="shared" si="41"/>
        <v>#DIV/0!</v>
      </c>
    </row>
    <row r="213" spans="1:23" s="28" customFormat="1" ht="73.5" customHeight="1" x14ac:dyDescent="0.2">
      <c r="A213" s="30">
        <v>202</v>
      </c>
      <c r="B213" s="115" t="s">
        <v>367</v>
      </c>
      <c r="C213" s="116" t="s">
        <v>25</v>
      </c>
      <c r="D213" s="117">
        <v>2</v>
      </c>
      <c r="E213" s="118">
        <v>15497.6</v>
      </c>
      <c r="F213" s="35"/>
      <c r="G213" s="32"/>
      <c r="H213" s="38"/>
      <c r="I213" s="38">
        <f t="shared" ref="I213:I244" si="42">D213*H213</f>
        <v>0</v>
      </c>
      <c r="J213" s="38"/>
      <c r="K213" s="38"/>
      <c r="L213" s="38">
        <f t="shared" si="35"/>
        <v>0</v>
      </c>
      <c r="M213" s="32"/>
      <c r="N213" s="38"/>
      <c r="O213" s="38">
        <f t="shared" si="33"/>
        <v>0</v>
      </c>
      <c r="P213" s="39" t="e">
        <f t="shared" si="36"/>
        <v>#DIV/0!</v>
      </c>
      <c r="Q213" s="40" t="e">
        <f t="shared" si="37"/>
        <v>#DIV/0!</v>
      </c>
      <c r="R213" s="39">
        <f t="shared" si="38"/>
        <v>0</v>
      </c>
      <c r="S213" s="32"/>
      <c r="U213" s="42" t="e">
        <f t="shared" si="39"/>
        <v>#DIV/0!</v>
      </c>
      <c r="V213" s="42" t="e">
        <f t="shared" si="40"/>
        <v>#DIV/0!</v>
      </c>
      <c r="W213" s="42" t="e">
        <f t="shared" si="41"/>
        <v>#DIV/0!</v>
      </c>
    </row>
    <row r="214" spans="1:23" s="28" customFormat="1" ht="73.5" customHeight="1" x14ac:dyDescent="0.2">
      <c r="A214" s="30">
        <v>203</v>
      </c>
      <c r="B214" s="115" t="s">
        <v>368</v>
      </c>
      <c r="C214" s="116" t="s">
        <v>25</v>
      </c>
      <c r="D214" s="117">
        <v>2</v>
      </c>
      <c r="E214" s="118">
        <v>16602.099999999999</v>
      </c>
      <c r="F214" s="35"/>
      <c r="G214" s="32"/>
      <c r="H214" s="38"/>
      <c r="I214" s="38">
        <f t="shared" si="42"/>
        <v>0</v>
      </c>
      <c r="J214" s="32"/>
      <c r="K214" s="38"/>
      <c r="L214" s="38">
        <f t="shared" si="35"/>
        <v>0</v>
      </c>
      <c r="M214" s="32"/>
      <c r="N214" s="38"/>
      <c r="O214" s="38">
        <f t="shared" si="33"/>
        <v>0</v>
      </c>
      <c r="P214" s="39" t="e">
        <f t="shared" si="36"/>
        <v>#DIV/0!</v>
      </c>
      <c r="Q214" s="40" t="e">
        <f t="shared" si="37"/>
        <v>#DIV/0!</v>
      </c>
      <c r="R214" s="39">
        <f t="shared" si="38"/>
        <v>0</v>
      </c>
      <c r="S214" s="32"/>
      <c r="U214" s="42" t="e">
        <f t="shared" si="39"/>
        <v>#DIV/0!</v>
      </c>
      <c r="V214" s="42" t="e">
        <f t="shared" si="40"/>
        <v>#DIV/0!</v>
      </c>
      <c r="W214" s="42" t="e">
        <f t="shared" si="41"/>
        <v>#DIV/0!</v>
      </c>
    </row>
    <row r="215" spans="1:23" s="28" customFormat="1" ht="73.5" customHeight="1" x14ac:dyDescent="0.2">
      <c r="A215" s="30">
        <v>204</v>
      </c>
      <c r="B215" s="115" t="s">
        <v>567</v>
      </c>
      <c r="C215" s="116" t="s">
        <v>25</v>
      </c>
      <c r="D215" s="117">
        <v>149</v>
      </c>
      <c r="E215" s="118">
        <v>10970.42</v>
      </c>
      <c r="F215" s="35"/>
      <c r="G215" s="119"/>
      <c r="H215" s="38"/>
      <c r="I215" s="38">
        <f t="shared" si="42"/>
        <v>0</v>
      </c>
      <c r="J215" s="32"/>
      <c r="K215" s="38"/>
      <c r="L215" s="38">
        <f t="shared" si="35"/>
        <v>0</v>
      </c>
      <c r="M215" s="32"/>
      <c r="N215" s="38"/>
      <c r="O215" s="120">
        <f t="shared" si="33"/>
        <v>0</v>
      </c>
      <c r="P215" s="39" t="e">
        <f t="shared" si="36"/>
        <v>#DIV/0!</v>
      </c>
      <c r="Q215" s="121" t="e">
        <f t="shared" si="37"/>
        <v>#DIV/0!</v>
      </c>
      <c r="R215" s="39">
        <f t="shared" si="38"/>
        <v>0</v>
      </c>
      <c r="S215" s="32"/>
      <c r="U215" s="42" t="e">
        <f t="shared" si="39"/>
        <v>#DIV/0!</v>
      </c>
      <c r="V215" s="42" t="e">
        <f t="shared" si="40"/>
        <v>#DIV/0!</v>
      </c>
      <c r="W215" s="42" t="e">
        <f t="shared" si="41"/>
        <v>#DIV/0!</v>
      </c>
    </row>
    <row r="216" spans="1:23" s="28" customFormat="1" ht="73.5" customHeight="1" x14ac:dyDescent="0.2">
      <c r="A216" s="30">
        <v>205</v>
      </c>
      <c r="B216" s="115" t="s">
        <v>568</v>
      </c>
      <c r="C216" s="116" t="s">
        <v>25</v>
      </c>
      <c r="D216" s="117">
        <v>1</v>
      </c>
      <c r="E216" s="118" t="s">
        <v>504</v>
      </c>
      <c r="F216" s="35"/>
      <c r="G216" s="32"/>
      <c r="H216" s="38"/>
      <c r="I216" s="57">
        <f t="shared" si="42"/>
        <v>0</v>
      </c>
      <c r="J216" s="32"/>
      <c r="K216" s="57"/>
      <c r="L216" s="57">
        <f t="shared" si="35"/>
        <v>0</v>
      </c>
      <c r="M216" s="57"/>
      <c r="N216" s="57"/>
      <c r="O216" s="57">
        <f t="shared" si="33"/>
        <v>0</v>
      </c>
      <c r="P216" s="39" t="e">
        <f t="shared" si="36"/>
        <v>#DIV/0!</v>
      </c>
      <c r="Q216" s="40" t="e">
        <f t="shared" si="37"/>
        <v>#DIV/0!</v>
      </c>
      <c r="R216" s="39">
        <f t="shared" si="38"/>
        <v>0</v>
      </c>
      <c r="S216" s="32"/>
      <c r="U216" s="42" t="e">
        <f t="shared" si="39"/>
        <v>#DIV/0!</v>
      </c>
      <c r="V216" s="42" t="e">
        <f t="shared" si="40"/>
        <v>#DIV/0!</v>
      </c>
      <c r="W216" s="42" t="e">
        <f t="shared" si="41"/>
        <v>#DIV/0!</v>
      </c>
    </row>
    <row r="217" spans="1:23" s="28" customFormat="1" ht="73.5" customHeight="1" x14ac:dyDescent="0.2">
      <c r="A217" s="30">
        <v>206</v>
      </c>
      <c r="B217" s="115" t="s">
        <v>569</v>
      </c>
      <c r="C217" s="116" t="s">
        <v>45</v>
      </c>
      <c r="D217" s="117">
        <v>0.3</v>
      </c>
      <c r="E217" s="118" t="s">
        <v>504</v>
      </c>
      <c r="F217" s="35"/>
      <c r="G217" s="32"/>
      <c r="H217" s="38"/>
      <c r="I217" s="57">
        <f t="shared" si="42"/>
        <v>0</v>
      </c>
      <c r="J217" s="57"/>
      <c r="K217" s="57"/>
      <c r="L217" s="57">
        <f t="shared" si="35"/>
        <v>0</v>
      </c>
      <c r="M217" s="32"/>
      <c r="N217" s="57"/>
      <c r="O217" s="57">
        <f t="shared" si="33"/>
        <v>0</v>
      </c>
      <c r="P217" s="39" t="e">
        <f t="shared" si="36"/>
        <v>#DIV/0!</v>
      </c>
      <c r="Q217" s="40" t="e">
        <f t="shared" si="37"/>
        <v>#DIV/0!</v>
      </c>
      <c r="R217" s="39">
        <f t="shared" si="38"/>
        <v>0</v>
      </c>
      <c r="S217" s="32"/>
      <c r="U217" s="42" t="e">
        <f t="shared" si="39"/>
        <v>#DIV/0!</v>
      </c>
      <c r="V217" s="42" t="e">
        <f t="shared" si="40"/>
        <v>#DIV/0!</v>
      </c>
      <c r="W217" s="42" t="e">
        <f t="shared" si="41"/>
        <v>#DIV/0!</v>
      </c>
    </row>
    <row r="218" spans="1:23" s="28" customFormat="1" ht="73.5" customHeight="1" x14ac:dyDescent="0.2">
      <c r="A218" s="30">
        <v>207</v>
      </c>
      <c r="B218" s="115" t="s">
        <v>379</v>
      </c>
      <c r="C218" s="116" t="s">
        <v>25</v>
      </c>
      <c r="D218" s="117">
        <v>20</v>
      </c>
      <c r="E218" s="118">
        <v>28.03</v>
      </c>
      <c r="F218" s="35"/>
      <c r="G218" s="32"/>
      <c r="H218" s="38"/>
      <c r="I218" s="57">
        <f t="shared" si="42"/>
        <v>0</v>
      </c>
      <c r="J218" s="57"/>
      <c r="K218" s="57"/>
      <c r="L218" s="57">
        <f t="shared" si="35"/>
        <v>0</v>
      </c>
      <c r="M218" s="32"/>
      <c r="N218" s="57"/>
      <c r="O218" s="57">
        <f t="shared" si="33"/>
        <v>0</v>
      </c>
      <c r="P218" s="39" t="e">
        <f t="shared" si="36"/>
        <v>#DIV/0!</v>
      </c>
      <c r="Q218" s="40" t="e">
        <f t="shared" si="37"/>
        <v>#DIV/0!</v>
      </c>
      <c r="R218" s="39">
        <f t="shared" si="38"/>
        <v>0</v>
      </c>
      <c r="S218" s="32"/>
      <c r="U218" s="42" t="e">
        <f t="shared" si="39"/>
        <v>#DIV/0!</v>
      </c>
      <c r="V218" s="42" t="e">
        <f t="shared" si="40"/>
        <v>#DIV/0!</v>
      </c>
      <c r="W218" s="42" t="e">
        <f t="shared" si="41"/>
        <v>#DIV/0!</v>
      </c>
    </row>
    <row r="219" spans="1:23" s="28" customFormat="1" ht="73.5" customHeight="1" x14ac:dyDescent="0.2">
      <c r="A219" s="30">
        <v>208</v>
      </c>
      <c r="B219" s="115" t="s">
        <v>380</v>
      </c>
      <c r="C219" s="116" t="s">
        <v>381</v>
      </c>
      <c r="D219" s="117">
        <v>2</v>
      </c>
      <c r="E219" s="118">
        <v>41590.199999999997</v>
      </c>
      <c r="F219" s="35"/>
      <c r="G219" s="32"/>
      <c r="H219" s="38"/>
      <c r="I219" s="57">
        <f t="shared" si="42"/>
        <v>0</v>
      </c>
      <c r="J219" s="32"/>
      <c r="K219" s="57"/>
      <c r="L219" s="57">
        <f t="shared" si="35"/>
        <v>0</v>
      </c>
      <c r="M219" s="57"/>
      <c r="N219" s="57"/>
      <c r="O219" s="57">
        <f t="shared" si="33"/>
        <v>0</v>
      </c>
      <c r="P219" s="39" t="e">
        <f t="shared" si="36"/>
        <v>#DIV/0!</v>
      </c>
      <c r="Q219" s="40" t="e">
        <f t="shared" si="37"/>
        <v>#DIV/0!</v>
      </c>
      <c r="R219" s="39">
        <f t="shared" si="38"/>
        <v>0</v>
      </c>
      <c r="S219" s="32"/>
      <c r="U219" s="42" t="e">
        <f t="shared" si="39"/>
        <v>#DIV/0!</v>
      </c>
      <c r="V219" s="42" t="e">
        <f t="shared" si="40"/>
        <v>#DIV/0!</v>
      </c>
      <c r="W219" s="42" t="e">
        <f t="shared" si="41"/>
        <v>#DIV/0!</v>
      </c>
    </row>
    <row r="220" spans="1:23" s="28" customFormat="1" ht="78" customHeight="1" x14ac:dyDescent="0.2">
      <c r="A220" s="30">
        <v>209</v>
      </c>
      <c r="B220" s="115" t="s">
        <v>384</v>
      </c>
      <c r="C220" s="116" t="s">
        <v>323</v>
      </c>
      <c r="D220" s="117">
        <v>18</v>
      </c>
      <c r="E220" s="118">
        <v>181054.64</v>
      </c>
      <c r="F220" s="35"/>
      <c r="G220" s="32"/>
      <c r="H220" s="38"/>
      <c r="I220" s="57">
        <f t="shared" si="42"/>
        <v>0</v>
      </c>
      <c r="J220" s="57"/>
      <c r="K220" s="57"/>
      <c r="L220" s="57">
        <f t="shared" si="35"/>
        <v>0</v>
      </c>
      <c r="M220" s="32"/>
      <c r="N220" s="57"/>
      <c r="O220" s="57">
        <f t="shared" si="33"/>
        <v>0</v>
      </c>
      <c r="P220" s="39" t="e">
        <f t="shared" si="36"/>
        <v>#DIV/0!</v>
      </c>
      <c r="Q220" s="40" t="e">
        <f t="shared" si="37"/>
        <v>#DIV/0!</v>
      </c>
      <c r="R220" s="39">
        <f t="shared" si="38"/>
        <v>0</v>
      </c>
      <c r="S220" s="32"/>
      <c r="U220" s="42" t="e">
        <f t="shared" si="39"/>
        <v>#DIV/0!</v>
      </c>
      <c r="V220" s="42" t="e">
        <f t="shared" si="40"/>
        <v>#DIV/0!</v>
      </c>
      <c r="W220" s="42" t="e">
        <f t="shared" si="41"/>
        <v>#DIV/0!</v>
      </c>
    </row>
    <row r="221" spans="1:23" s="28" customFormat="1" ht="73.5" customHeight="1" x14ac:dyDescent="0.2">
      <c r="A221" s="30">
        <v>210</v>
      </c>
      <c r="B221" s="115" t="s">
        <v>387</v>
      </c>
      <c r="C221" s="116" t="s">
        <v>25</v>
      </c>
      <c r="D221" s="117">
        <v>48</v>
      </c>
      <c r="E221" s="118">
        <v>902.6</v>
      </c>
      <c r="F221" s="35"/>
      <c r="G221" s="32"/>
      <c r="H221" s="38"/>
      <c r="I221" s="57">
        <f t="shared" si="42"/>
        <v>0</v>
      </c>
      <c r="J221" s="57"/>
      <c r="K221" s="57"/>
      <c r="L221" s="57">
        <f t="shared" si="35"/>
        <v>0</v>
      </c>
      <c r="M221" s="57"/>
      <c r="N221" s="57"/>
      <c r="O221" s="57">
        <f t="shared" si="33"/>
        <v>0</v>
      </c>
      <c r="P221" s="39" t="e">
        <f t="shared" si="36"/>
        <v>#DIV/0!</v>
      </c>
      <c r="Q221" s="40" t="e">
        <f t="shared" si="37"/>
        <v>#DIV/0!</v>
      </c>
      <c r="R221" s="39">
        <f t="shared" si="38"/>
        <v>0</v>
      </c>
      <c r="S221" s="32"/>
      <c r="U221" s="42" t="e">
        <f t="shared" si="39"/>
        <v>#DIV/0!</v>
      </c>
      <c r="V221" s="42" t="e">
        <f t="shared" si="40"/>
        <v>#DIV/0!</v>
      </c>
      <c r="W221" s="42" t="e">
        <f t="shared" si="41"/>
        <v>#DIV/0!</v>
      </c>
    </row>
    <row r="222" spans="1:23" s="28" customFormat="1" ht="73.5" customHeight="1" x14ac:dyDescent="0.2">
      <c r="A222" s="30">
        <v>211</v>
      </c>
      <c r="B222" s="115" t="s">
        <v>570</v>
      </c>
      <c r="C222" s="116" t="s">
        <v>25</v>
      </c>
      <c r="D222" s="117">
        <v>40</v>
      </c>
      <c r="E222" s="118">
        <v>835.7</v>
      </c>
      <c r="F222" s="35"/>
      <c r="G222" s="32"/>
      <c r="H222" s="38"/>
      <c r="I222" s="38">
        <f t="shared" si="42"/>
        <v>0</v>
      </c>
      <c r="J222" s="57"/>
      <c r="K222" s="38"/>
      <c r="L222" s="38">
        <f t="shared" si="35"/>
        <v>0</v>
      </c>
      <c r="M222" s="32"/>
      <c r="N222" s="38"/>
      <c r="O222" s="38">
        <f t="shared" si="33"/>
        <v>0</v>
      </c>
      <c r="P222" s="39" t="e">
        <f t="shared" si="36"/>
        <v>#DIV/0!</v>
      </c>
      <c r="Q222" s="40" t="e">
        <f t="shared" si="37"/>
        <v>#DIV/0!</v>
      </c>
      <c r="R222" s="39">
        <f t="shared" si="38"/>
        <v>0</v>
      </c>
      <c r="S222" s="32"/>
      <c r="U222" s="42" t="e">
        <f t="shared" si="39"/>
        <v>#DIV/0!</v>
      </c>
      <c r="V222" s="42" t="e">
        <f t="shared" si="40"/>
        <v>#DIV/0!</v>
      </c>
      <c r="W222" s="42" t="e">
        <f t="shared" si="41"/>
        <v>#DIV/0!</v>
      </c>
    </row>
    <row r="223" spans="1:23" s="28" customFormat="1" ht="73.5" customHeight="1" x14ac:dyDescent="0.2">
      <c r="A223" s="30">
        <v>212</v>
      </c>
      <c r="B223" s="115" t="s">
        <v>389</v>
      </c>
      <c r="C223" s="116" t="s">
        <v>390</v>
      </c>
      <c r="D223" s="117">
        <v>21</v>
      </c>
      <c r="E223" s="118">
        <v>856.33</v>
      </c>
      <c r="F223" s="35"/>
      <c r="G223" s="32"/>
      <c r="H223" s="38"/>
      <c r="I223" s="57">
        <f t="shared" si="42"/>
        <v>0</v>
      </c>
      <c r="J223" s="57"/>
      <c r="K223" s="57"/>
      <c r="L223" s="57">
        <f t="shared" si="35"/>
        <v>0</v>
      </c>
      <c r="M223" s="32"/>
      <c r="N223" s="57"/>
      <c r="O223" s="57">
        <f t="shared" si="33"/>
        <v>0</v>
      </c>
      <c r="P223" s="39" t="e">
        <f t="shared" si="36"/>
        <v>#DIV/0!</v>
      </c>
      <c r="Q223" s="40" t="e">
        <f t="shared" si="37"/>
        <v>#DIV/0!</v>
      </c>
      <c r="R223" s="39">
        <f t="shared" si="38"/>
        <v>0</v>
      </c>
      <c r="S223" s="32"/>
      <c r="U223" s="42" t="e">
        <f t="shared" si="39"/>
        <v>#DIV/0!</v>
      </c>
      <c r="V223" s="42" t="e">
        <f t="shared" si="40"/>
        <v>#DIV/0!</v>
      </c>
      <c r="W223" s="42" t="e">
        <f t="shared" si="41"/>
        <v>#DIV/0!</v>
      </c>
    </row>
    <row r="224" spans="1:23" s="28" customFormat="1" ht="249.75" customHeight="1" x14ac:dyDescent="0.2">
      <c r="A224" s="30">
        <v>213</v>
      </c>
      <c r="B224" s="115" t="s">
        <v>571</v>
      </c>
      <c r="C224" s="116" t="s">
        <v>65</v>
      </c>
      <c r="D224" s="117">
        <v>9</v>
      </c>
      <c r="E224" s="125">
        <v>13200.5</v>
      </c>
      <c r="F224" s="55"/>
      <c r="G224" s="32"/>
      <c r="H224" s="38"/>
      <c r="I224" s="57">
        <f t="shared" si="42"/>
        <v>0</v>
      </c>
      <c r="J224" s="57"/>
      <c r="K224" s="57"/>
      <c r="L224" s="57">
        <f t="shared" si="35"/>
        <v>0</v>
      </c>
      <c r="M224" s="32"/>
      <c r="N224" s="57"/>
      <c r="O224" s="57">
        <f t="shared" si="33"/>
        <v>0</v>
      </c>
      <c r="P224" s="39" t="e">
        <f t="shared" si="36"/>
        <v>#DIV/0!</v>
      </c>
      <c r="Q224" s="40" t="e">
        <f t="shared" si="37"/>
        <v>#DIV/0!</v>
      </c>
      <c r="R224" s="39">
        <f t="shared" si="38"/>
        <v>0</v>
      </c>
      <c r="S224" s="32"/>
      <c r="U224" s="42" t="e">
        <f t="shared" si="39"/>
        <v>#DIV/0!</v>
      </c>
      <c r="V224" s="42" t="e">
        <f t="shared" si="40"/>
        <v>#DIV/0!</v>
      </c>
      <c r="W224" s="42" t="e">
        <f t="shared" si="41"/>
        <v>#DIV/0!</v>
      </c>
    </row>
    <row r="225" spans="1:23" s="28" customFormat="1" ht="249" customHeight="1" x14ac:dyDescent="0.2">
      <c r="A225" s="30">
        <v>214</v>
      </c>
      <c r="B225" s="115" t="s">
        <v>572</v>
      </c>
      <c r="C225" s="116" t="s">
        <v>65</v>
      </c>
      <c r="D225" s="117">
        <v>6</v>
      </c>
      <c r="E225" s="125">
        <v>13054.66</v>
      </c>
      <c r="F225" s="55"/>
      <c r="G225" s="32"/>
      <c r="H225" s="38"/>
      <c r="I225" s="57">
        <f t="shared" si="42"/>
        <v>0</v>
      </c>
      <c r="J225" s="57"/>
      <c r="K225" s="57"/>
      <c r="L225" s="57">
        <f t="shared" si="35"/>
        <v>0</v>
      </c>
      <c r="M225" s="32"/>
      <c r="N225" s="57"/>
      <c r="O225" s="57">
        <f t="shared" si="33"/>
        <v>0</v>
      </c>
      <c r="P225" s="39" t="e">
        <f t="shared" si="36"/>
        <v>#DIV/0!</v>
      </c>
      <c r="Q225" s="40" t="e">
        <f t="shared" si="37"/>
        <v>#DIV/0!</v>
      </c>
      <c r="R225" s="39">
        <f t="shared" si="38"/>
        <v>0</v>
      </c>
      <c r="S225" s="32"/>
      <c r="U225" s="42" t="e">
        <f t="shared" si="39"/>
        <v>#DIV/0!</v>
      </c>
      <c r="V225" s="42" t="e">
        <f t="shared" si="40"/>
        <v>#DIV/0!</v>
      </c>
      <c r="W225" s="42" t="e">
        <f t="shared" si="41"/>
        <v>#DIV/0!</v>
      </c>
    </row>
    <row r="226" spans="1:23" s="28" customFormat="1" ht="73.5" customHeight="1" x14ac:dyDescent="0.2">
      <c r="A226" s="30">
        <v>215</v>
      </c>
      <c r="B226" s="115" t="s">
        <v>396</v>
      </c>
      <c r="C226" s="116" t="s">
        <v>25</v>
      </c>
      <c r="D226" s="117">
        <v>1</v>
      </c>
      <c r="E226" s="118">
        <v>16735.5</v>
      </c>
      <c r="F226" s="35"/>
      <c r="G226" s="32"/>
      <c r="H226" s="38"/>
      <c r="I226" s="57">
        <f t="shared" si="42"/>
        <v>0</v>
      </c>
      <c r="J226" s="57"/>
      <c r="K226" s="57"/>
      <c r="L226" s="57">
        <f t="shared" si="35"/>
        <v>0</v>
      </c>
      <c r="M226" s="32"/>
      <c r="N226" s="57"/>
      <c r="O226" s="57">
        <f t="shared" si="33"/>
        <v>0</v>
      </c>
      <c r="P226" s="39" t="e">
        <f t="shared" si="36"/>
        <v>#DIV/0!</v>
      </c>
      <c r="Q226" s="40" t="e">
        <f t="shared" si="37"/>
        <v>#DIV/0!</v>
      </c>
      <c r="R226" s="39">
        <f t="shared" si="38"/>
        <v>0</v>
      </c>
      <c r="S226" s="32"/>
      <c r="U226" s="42" t="e">
        <f t="shared" si="39"/>
        <v>#DIV/0!</v>
      </c>
      <c r="V226" s="42" t="e">
        <f t="shared" si="40"/>
        <v>#DIV/0!</v>
      </c>
      <c r="W226" s="42" t="e">
        <f t="shared" si="41"/>
        <v>#DIV/0!</v>
      </c>
    </row>
    <row r="227" spans="1:23" s="28" customFormat="1" ht="73.5" customHeight="1" x14ac:dyDescent="0.2">
      <c r="A227" s="30">
        <v>216</v>
      </c>
      <c r="B227" s="115" t="s">
        <v>397</v>
      </c>
      <c r="C227" s="116" t="s">
        <v>25</v>
      </c>
      <c r="D227" s="117">
        <v>1</v>
      </c>
      <c r="E227" s="118">
        <v>2330.77</v>
      </c>
      <c r="F227" s="35"/>
      <c r="G227" s="32"/>
      <c r="H227" s="38"/>
      <c r="I227" s="57">
        <f t="shared" si="42"/>
        <v>0</v>
      </c>
      <c r="J227" s="57"/>
      <c r="K227" s="57"/>
      <c r="L227" s="57">
        <f t="shared" si="35"/>
        <v>0</v>
      </c>
      <c r="M227" s="32"/>
      <c r="N227" s="57"/>
      <c r="O227" s="57">
        <f t="shared" si="33"/>
        <v>0</v>
      </c>
      <c r="P227" s="39" t="e">
        <f t="shared" si="36"/>
        <v>#DIV/0!</v>
      </c>
      <c r="Q227" s="40" t="e">
        <f t="shared" si="37"/>
        <v>#DIV/0!</v>
      </c>
      <c r="R227" s="39">
        <f t="shared" si="38"/>
        <v>0</v>
      </c>
      <c r="S227" s="32"/>
      <c r="U227" s="42" t="e">
        <f t="shared" si="39"/>
        <v>#DIV/0!</v>
      </c>
      <c r="V227" s="42" t="e">
        <f t="shared" si="40"/>
        <v>#DIV/0!</v>
      </c>
      <c r="W227" s="42" t="e">
        <f t="shared" si="41"/>
        <v>#DIV/0!</v>
      </c>
    </row>
    <row r="228" spans="1:23" s="28" customFormat="1" ht="73.5" customHeight="1" x14ac:dyDescent="0.2">
      <c r="A228" s="30">
        <v>217</v>
      </c>
      <c r="B228" s="115" t="s">
        <v>398</v>
      </c>
      <c r="C228" s="116" t="s">
        <v>25</v>
      </c>
      <c r="D228" s="117">
        <v>2</v>
      </c>
      <c r="E228" s="118">
        <v>3600</v>
      </c>
      <c r="F228" s="35"/>
      <c r="G228" s="32"/>
      <c r="H228" s="38"/>
      <c r="I228" s="38">
        <f t="shared" si="42"/>
        <v>0</v>
      </c>
      <c r="J228" s="38"/>
      <c r="K228" s="38"/>
      <c r="L228" s="38">
        <f t="shared" si="35"/>
        <v>0</v>
      </c>
      <c r="M228" s="32"/>
      <c r="N228" s="38"/>
      <c r="O228" s="38">
        <f t="shared" si="33"/>
        <v>0</v>
      </c>
      <c r="P228" s="39" t="e">
        <f t="shared" si="36"/>
        <v>#DIV/0!</v>
      </c>
      <c r="Q228" s="40" t="e">
        <f t="shared" si="37"/>
        <v>#DIV/0!</v>
      </c>
      <c r="R228" s="39">
        <f t="shared" si="38"/>
        <v>0</v>
      </c>
      <c r="S228" s="32"/>
      <c r="U228" s="42" t="e">
        <f t="shared" si="39"/>
        <v>#DIV/0!</v>
      </c>
      <c r="V228" s="42" t="e">
        <f t="shared" si="40"/>
        <v>#DIV/0!</v>
      </c>
      <c r="W228" s="42" t="e">
        <f t="shared" si="41"/>
        <v>#DIV/0!</v>
      </c>
    </row>
    <row r="229" spans="1:23" s="28" customFormat="1" ht="73.5" customHeight="1" x14ac:dyDescent="0.2">
      <c r="A229" s="30">
        <v>218</v>
      </c>
      <c r="B229" s="115" t="s">
        <v>400</v>
      </c>
      <c r="C229" s="116" t="s">
        <v>25</v>
      </c>
      <c r="D229" s="117">
        <v>3</v>
      </c>
      <c r="E229" s="118">
        <v>27700.560000000001</v>
      </c>
      <c r="F229" s="35"/>
      <c r="G229" s="32"/>
      <c r="H229" s="38"/>
      <c r="I229" s="38">
        <f t="shared" si="42"/>
        <v>0</v>
      </c>
      <c r="J229" s="38"/>
      <c r="K229" s="38"/>
      <c r="L229" s="38">
        <f t="shared" si="35"/>
        <v>0</v>
      </c>
      <c r="M229" s="32"/>
      <c r="N229" s="38"/>
      <c r="O229" s="38">
        <f t="shared" si="33"/>
        <v>0</v>
      </c>
      <c r="P229" s="39" t="e">
        <f t="shared" si="36"/>
        <v>#DIV/0!</v>
      </c>
      <c r="Q229" s="40" t="e">
        <f t="shared" si="37"/>
        <v>#DIV/0!</v>
      </c>
      <c r="R229" s="39">
        <f t="shared" si="38"/>
        <v>0</v>
      </c>
      <c r="S229" s="32"/>
      <c r="U229" s="42" t="e">
        <f t="shared" si="39"/>
        <v>#DIV/0!</v>
      </c>
      <c r="V229" s="42" t="e">
        <f t="shared" si="40"/>
        <v>#DIV/0!</v>
      </c>
      <c r="W229" s="42" t="e">
        <f t="shared" si="41"/>
        <v>#DIV/0!</v>
      </c>
    </row>
    <row r="230" spans="1:23" s="28" customFormat="1" ht="73.5" customHeight="1" x14ac:dyDescent="0.2">
      <c r="A230" s="30">
        <v>219</v>
      </c>
      <c r="B230" s="115" t="s">
        <v>408</v>
      </c>
      <c r="C230" s="116" t="s">
        <v>25</v>
      </c>
      <c r="D230" s="117">
        <v>10</v>
      </c>
      <c r="E230" s="118">
        <v>1865.8</v>
      </c>
      <c r="F230" s="35"/>
      <c r="G230" s="32"/>
      <c r="H230" s="38"/>
      <c r="I230" s="38">
        <f t="shared" si="42"/>
        <v>0</v>
      </c>
      <c r="J230" s="38"/>
      <c r="K230" s="38"/>
      <c r="L230" s="38">
        <f t="shared" si="35"/>
        <v>0</v>
      </c>
      <c r="M230" s="32"/>
      <c r="N230" s="38"/>
      <c r="O230" s="38">
        <f t="shared" si="33"/>
        <v>0</v>
      </c>
      <c r="P230" s="39" t="e">
        <f t="shared" si="36"/>
        <v>#DIV/0!</v>
      </c>
      <c r="Q230" s="40" t="e">
        <f t="shared" si="37"/>
        <v>#DIV/0!</v>
      </c>
      <c r="R230" s="39">
        <f t="shared" si="38"/>
        <v>0</v>
      </c>
      <c r="S230" s="32"/>
      <c r="U230" s="42" t="e">
        <f t="shared" si="39"/>
        <v>#DIV/0!</v>
      </c>
      <c r="V230" s="42" t="e">
        <f t="shared" si="40"/>
        <v>#DIV/0!</v>
      </c>
      <c r="W230" s="42" t="e">
        <f t="shared" si="41"/>
        <v>#DIV/0!</v>
      </c>
    </row>
    <row r="231" spans="1:23" s="28" customFormat="1" ht="73.5" customHeight="1" x14ac:dyDescent="0.2">
      <c r="A231" s="30">
        <v>220</v>
      </c>
      <c r="B231" s="115" t="s">
        <v>573</v>
      </c>
      <c r="C231" s="116" t="s">
        <v>25</v>
      </c>
      <c r="D231" s="117">
        <v>3</v>
      </c>
      <c r="E231" s="118" t="s">
        <v>504</v>
      </c>
      <c r="F231" s="35"/>
      <c r="G231" s="32"/>
      <c r="H231" s="38"/>
      <c r="I231" s="38">
        <f t="shared" si="42"/>
        <v>0</v>
      </c>
      <c r="J231" s="38"/>
      <c r="K231" s="38"/>
      <c r="L231" s="38">
        <f t="shared" si="35"/>
        <v>0</v>
      </c>
      <c r="M231" s="32"/>
      <c r="N231" s="38"/>
      <c r="O231" s="38">
        <f t="shared" si="33"/>
        <v>0</v>
      </c>
      <c r="P231" s="39" t="e">
        <f t="shared" si="36"/>
        <v>#DIV/0!</v>
      </c>
      <c r="Q231" s="40" t="e">
        <f t="shared" si="37"/>
        <v>#DIV/0!</v>
      </c>
      <c r="R231" s="39">
        <f t="shared" si="38"/>
        <v>0</v>
      </c>
      <c r="S231" s="32"/>
      <c r="U231" s="42" t="e">
        <f t="shared" si="39"/>
        <v>#DIV/0!</v>
      </c>
      <c r="V231" s="42" t="e">
        <f t="shared" si="40"/>
        <v>#DIV/0!</v>
      </c>
      <c r="W231" s="42" t="e">
        <f t="shared" si="41"/>
        <v>#DIV/0!</v>
      </c>
    </row>
    <row r="232" spans="1:23" s="28" customFormat="1" ht="73.5" customHeight="1" x14ac:dyDescent="0.2">
      <c r="A232" s="30">
        <v>221</v>
      </c>
      <c r="B232" s="115" t="s">
        <v>574</v>
      </c>
      <c r="C232" s="116" t="s">
        <v>25</v>
      </c>
      <c r="D232" s="117">
        <v>3</v>
      </c>
      <c r="E232" s="118" t="s">
        <v>504</v>
      </c>
      <c r="F232" s="35"/>
      <c r="G232" s="119"/>
      <c r="H232" s="38"/>
      <c r="I232" s="38">
        <f t="shared" si="42"/>
        <v>0</v>
      </c>
      <c r="J232" s="32"/>
      <c r="K232" s="38"/>
      <c r="L232" s="38">
        <f t="shared" si="35"/>
        <v>0</v>
      </c>
      <c r="M232" s="32"/>
      <c r="N232" s="38"/>
      <c r="O232" s="120">
        <f t="shared" si="33"/>
        <v>0</v>
      </c>
      <c r="P232" s="39" t="e">
        <f t="shared" si="36"/>
        <v>#DIV/0!</v>
      </c>
      <c r="Q232" s="121" t="e">
        <f t="shared" si="37"/>
        <v>#DIV/0!</v>
      </c>
      <c r="R232" s="39">
        <f t="shared" si="38"/>
        <v>0</v>
      </c>
      <c r="S232" s="32"/>
      <c r="U232" s="42" t="e">
        <f t="shared" si="39"/>
        <v>#DIV/0!</v>
      </c>
      <c r="V232" s="42" t="e">
        <f t="shared" si="40"/>
        <v>#DIV/0!</v>
      </c>
      <c r="W232" s="42" t="e">
        <f t="shared" si="41"/>
        <v>#DIV/0!</v>
      </c>
    </row>
    <row r="233" spans="1:23" s="28" customFormat="1" ht="73.5" customHeight="1" x14ac:dyDescent="0.2">
      <c r="A233" s="30">
        <v>222</v>
      </c>
      <c r="B233" s="115" t="s">
        <v>411</v>
      </c>
      <c r="C233" s="116" t="s">
        <v>25</v>
      </c>
      <c r="D233" s="117">
        <v>1</v>
      </c>
      <c r="E233" s="118">
        <v>2664.2</v>
      </c>
      <c r="F233" s="35"/>
      <c r="G233" s="32"/>
      <c r="H233" s="38"/>
      <c r="I233" s="38">
        <f t="shared" si="42"/>
        <v>0</v>
      </c>
      <c r="J233" s="38"/>
      <c r="K233" s="38"/>
      <c r="L233" s="38">
        <f t="shared" si="35"/>
        <v>0</v>
      </c>
      <c r="M233" s="32"/>
      <c r="N233" s="38"/>
      <c r="O233" s="38">
        <f t="shared" ref="O233:O264" si="43">D233*N233</f>
        <v>0</v>
      </c>
      <c r="P233" s="39" t="e">
        <f t="shared" si="36"/>
        <v>#DIV/0!</v>
      </c>
      <c r="Q233" s="40" t="e">
        <f t="shared" si="37"/>
        <v>#DIV/0!</v>
      </c>
      <c r="R233" s="39">
        <f t="shared" si="38"/>
        <v>0</v>
      </c>
      <c r="S233" s="32"/>
      <c r="U233" s="42" t="e">
        <f t="shared" si="39"/>
        <v>#DIV/0!</v>
      </c>
      <c r="V233" s="42" t="e">
        <f t="shared" si="40"/>
        <v>#DIV/0!</v>
      </c>
      <c r="W233" s="42" t="e">
        <f t="shared" si="41"/>
        <v>#DIV/0!</v>
      </c>
    </row>
    <row r="234" spans="1:23" s="28" customFormat="1" ht="73.5" customHeight="1" x14ac:dyDescent="0.2">
      <c r="A234" s="30">
        <v>223</v>
      </c>
      <c r="B234" s="115" t="s">
        <v>412</v>
      </c>
      <c r="C234" s="116" t="s">
        <v>25</v>
      </c>
      <c r="D234" s="117">
        <v>1250</v>
      </c>
      <c r="E234" s="118">
        <v>1.37</v>
      </c>
      <c r="F234" s="35"/>
      <c r="G234" s="32"/>
      <c r="H234" s="38"/>
      <c r="I234" s="38">
        <f t="shared" si="42"/>
        <v>0</v>
      </c>
      <c r="J234" s="32"/>
      <c r="K234" s="38"/>
      <c r="L234" s="38">
        <f t="shared" si="35"/>
        <v>0</v>
      </c>
      <c r="M234" s="32"/>
      <c r="N234" s="38"/>
      <c r="O234" s="38">
        <f t="shared" si="43"/>
        <v>0</v>
      </c>
      <c r="P234" s="39" t="e">
        <f t="shared" si="36"/>
        <v>#DIV/0!</v>
      </c>
      <c r="Q234" s="40" t="e">
        <f t="shared" si="37"/>
        <v>#DIV/0!</v>
      </c>
      <c r="R234" s="39">
        <f t="shared" si="38"/>
        <v>0</v>
      </c>
      <c r="S234" s="32"/>
      <c r="U234" s="42" t="e">
        <f t="shared" si="39"/>
        <v>#DIV/0!</v>
      </c>
      <c r="V234" s="42" t="e">
        <f t="shared" si="40"/>
        <v>#DIV/0!</v>
      </c>
      <c r="W234" s="42" t="e">
        <f t="shared" si="41"/>
        <v>#DIV/0!</v>
      </c>
    </row>
    <row r="235" spans="1:23" s="28" customFormat="1" ht="73.5" customHeight="1" x14ac:dyDescent="0.2">
      <c r="A235" s="30">
        <v>224</v>
      </c>
      <c r="B235" s="115" t="s">
        <v>575</v>
      </c>
      <c r="C235" s="116" t="s">
        <v>25</v>
      </c>
      <c r="D235" s="117">
        <v>200</v>
      </c>
      <c r="E235" s="118" t="s">
        <v>504</v>
      </c>
      <c r="F235" s="35"/>
      <c r="G235" s="32"/>
      <c r="H235" s="38"/>
      <c r="I235" s="38">
        <f t="shared" si="42"/>
        <v>0</v>
      </c>
      <c r="J235" s="38"/>
      <c r="K235" s="38"/>
      <c r="L235" s="38">
        <f t="shared" si="35"/>
        <v>0</v>
      </c>
      <c r="M235" s="32"/>
      <c r="N235" s="38"/>
      <c r="O235" s="38">
        <f t="shared" si="43"/>
        <v>0</v>
      </c>
      <c r="P235" s="39" t="e">
        <f t="shared" si="36"/>
        <v>#DIV/0!</v>
      </c>
      <c r="Q235" s="40" t="e">
        <f t="shared" si="37"/>
        <v>#DIV/0!</v>
      </c>
      <c r="R235" s="39">
        <f t="shared" si="38"/>
        <v>0</v>
      </c>
      <c r="S235" s="32"/>
      <c r="U235" s="42" t="e">
        <f t="shared" si="39"/>
        <v>#DIV/0!</v>
      </c>
      <c r="V235" s="42" t="e">
        <f t="shared" si="40"/>
        <v>#DIV/0!</v>
      </c>
      <c r="W235" s="42" t="e">
        <f t="shared" si="41"/>
        <v>#DIV/0!</v>
      </c>
    </row>
    <row r="236" spans="1:23" s="28" customFormat="1" ht="73.5" customHeight="1" x14ac:dyDescent="0.2">
      <c r="A236" s="30">
        <v>225</v>
      </c>
      <c r="B236" s="115" t="s">
        <v>576</v>
      </c>
      <c r="C236" s="116" t="s">
        <v>25</v>
      </c>
      <c r="D236" s="117">
        <v>1833</v>
      </c>
      <c r="E236" s="118" t="s">
        <v>504</v>
      </c>
      <c r="F236" s="35"/>
      <c r="G236" s="32"/>
      <c r="H236" s="38"/>
      <c r="I236" s="38">
        <f t="shared" si="42"/>
        <v>0</v>
      </c>
      <c r="J236" s="38"/>
      <c r="K236" s="38"/>
      <c r="L236" s="38">
        <f t="shared" si="35"/>
        <v>0</v>
      </c>
      <c r="M236" s="32"/>
      <c r="N236" s="38"/>
      <c r="O236" s="38">
        <f t="shared" si="43"/>
        <v>0</v>
      </c>
      <c r="P236" s="39" t="e">
        <f t="shared" si="36"/>
        <v>#DIV/0!</v>
      </c>
      <c r="Q236" s="40" t="e">
        <f t="shared" si="37"/>
        <v>#DIV/0!</v>
      </c>
      <c r="R236" s="39">
        <f t="shared" si="38"/>
        <v>0</v>
      </c>
      <c r="S236" s="32"/>
      <c r="U236" s="42" t="e">
        <f t="shared" si="39"/>
        <v>#DIV/0!</v>
      </c>
      <c r="V236" s="42" t="e">
        <f t="shared" si="40"/>
        <v>#DIV/0!</v>
      </c>
      <c r="W236" s="42" t="e">
        <f t="shared" si="41"/>
        <v>#DIV/0!</v>
      </c>
    </row>
    <row r="237" spans="1:23" s="28" customFormat="1" ht="73.5" customHeight="1" x14ac:dyDescent="0.2">
      <c r="A237" s="30">
        <v>226</v>
      </c>
      <c r="B237" s="115" t="s">
        <v>413</v>
      </c>
      <c r="C237" s="116" t="s">
        <v>25</v>
      </c>
      <c r="D237" s="117">
        <v>80</v>
      </c>
      <c r="E237" s="118">
        <v>1.18</v>
      </c>
      <c r="F237" s="35"/>
      <c r="G237" s="32"/>
      <c r="H237" s="38"/>
      <c r="I237" s="38">
        <f t="shared" si="42"/>
        <v>0</v>
      </c>
      <c r="J237" s="38"/>
      <c r="K237" s="38"/>
      <c r="L237" s="38">
        <f t="shared" si="35"/>
        <v>0</v>
      </c>
      <c r="M237" s="32"/>
      <c r="N237" s="38"/>
      <c r="O237" s="38">
        <f t="shared" si="43"/>
        <v>0</v>
      </c>
      <c r="P237" s="39" t="e">
        <f t="shared" si="36"/>
        <v>#DIV/0!</v>
      </c>
      <c r="Q237" s="40" t="e">
        <f t="shared" si="37"/>
        <v>#DIV/0!</v>
      </c>
      <c r="R237" s="39">
        <f t="shared" si="38"/>
        <v>0</v>
      </c>
      <c r="S237" s="32"/>
      <c r="U237" s="42" t="e">
        <f t="shared" si="39"/>
        <v>#DIV/0!</v>
      </c>
      <c r="V237" s="42" t="e">
        <f t="shared" si="40"/>
        <v>#DIV/0!</v>
      </c>
      <c r="W237" s="42" t="e">
        <f t="shared" si="41"/>
        <v>#DIV/0!</v>
      </c>
    </row>
    <row r="238" spans="1:23" s="28" customFormat="1" ht="73.5" customHeight="1" x14ac:dyDescent="0.2">
      <c r="A238" s="30">
        <v>227</v>
      </c>
      <c r="B238" s="115" t="s">
        <v>414</v>
      </c>
      <c r="C238" s="116" t="s">
        <v>25</v>
      </c>
      <c r="D238" s="117">
        <v>40</v>
      </c>
      <c r="E238" s="118">
        <v>3.91</v>
      </c>
      <c r="F238" s="35"/>
      <c r="G238" s="32"/>
      <c r="H238" s="38"/>
      <c r="I238" s="57">
        <f t="shared" si="42"/>
        <v>0</v>
      </c>
      <c r="J238" s="57"/>
      <c r="K238" s="57"/>
      <c r="L238" s="57">
        <f t="shared" si="35"/>
        <v>0</v>
      </c>
      <c r="M238" s="32"/>
      <c r="N238" s="57"/>
      <c r="O238" s="57">
        <f t="shared" si="43"/>
        <v>0</v>
      </c>
      <c r="P238" s="39" t="e">
        <f t="shared" si="36"/>
        <v>#DIV/0!</v>
      </c>
      <c r="Q238" s="40" t="e">
        <f t="shared" si="37"/>
        <v>#DIV/0!</v>
      </c>
      <c r="R238" s="39">
        <f t="shared" si="38"/>
        <v>0</v>
      </c>
      <c r="S238" s="32"/>
      <c r="U238" s="42" t="e">
        <f t="shared" si="39"/>
        <v>#DIV/0!</v>
      </c>
      <c r="V238" s="42" t="e">
        <f t="shared" si="40"/>
        <v>#DIV/0!</v>
      </c>
      <c r="W238" s="42" t="e">
        <f t="shared" si="41"/>
        <v>#DIV/0!</v>
      </c>
    </row>
    <row r="239" spans="1:23" s="28" customFormat="1" ht="73.5" customHeight="1" x14ac:dyDescent="0.2">
      <c r="A239" s="30">
        <v>228</v>
      </c>
      <c r="B239" s="115" t="s">
        <v>415</v>
      </c>
      <c r="C239" s="116" t="s">
        <v>25</v>
      </c>
      <c r="D239" s="117">
        <v>960</v>
      </c>
      <c r="E239" s="118">
        <v>2.4</v>
      </c>
      <c r="F239" s="35"/>
      <c r="G239" s="32"/>
      <c r="H239" s="38"/>
      <c r="I239" s="57">
        <f t="shared" si="42"/>
        <v>0</v>
      </c>
      <c r="J239" s="57"/>
      <c r="K239" s="57"/>
      <c r="L239" s="57">
        <f t="shared" si="35"/>
        <v>0</v>
      </c>
      <c r="M239" s="32"/>
      <c r="N239" s="57"/>
      <c r="O239" s="57">
        <f t="shared" si="43"/>
        <v>0</v>
      </c>
      <c r="P239" s="39" t="e">
        <f t="shared" si="36"/>
        <v>#DIV/0!</v>
      </c>
      <c r="Q239" s="40" t="e">
        <f t="shared" si="37"/>
        <v>#DIV/0!</v>
      </c>
      <c r="R239" s="39">
        <f t="shared" si="38"/>
        <v>0</v>
      </c>
      <c r="S239" s="32"/>
      <c r="U239" s="42" t="e">
        <f t="shared" si="39"/>
        <v>#DIV/0!</v>
      </c>
      <c r="V239" s="42" t="e">
        <f t="shared" si="40"/>
        <v>#DIV/0!</v>
      </c>
      <c r="W239" s="42" t="e">
        <f t="shared" si="41"/>
        <v>#DIV/0!</v>
      </c>
    </row>
    <row r="240" spans="1:23" s="28" customFormat="1" ht="73.5" customHeight="1" x14ac:dyDescent="0.2">
      <c r="A240" s="30">
        <v>229</v>
      </c>
      <c r="B240" s="115" t="s">
        <v>417</v>
      </c>
      <c r="C240" s="116" t="s">
        <v>25</v>
      </c>
      <c r="D240" s="117">
        <v>80</v>
      </c>
      <c r="E240" s="118">
        <v>1.17</v>
      </c>
      <c r="F240" s="35"/>
      <c r="G240" s="32"/>
      <c r="H240" s="38"/>
      <c r="I240" s="57">
        <f t="shared" si="42"/>
        <v>0</v>
      </c>
      <c r="J240" s="57"/>
      <c r="K240" s="57"/>
      <c r="L240" s="57">
        <f t="shared" si="35"/>
        <v>0</v>
      </c>
      <c r="M240" s="57"/>
      <c r="N240" s="57"/>
      <c r="O240" s="57">
        <f t="shared" si="43"/>
        <v>0</v>
      </c>
      <c r="P240" s="39" t="e">
        <f t="shared" si="36"/>
        <v>#DIV/0!</v>
      </c>
      <c r="Q240" s="40" t="e">
        <f t="shared" si="37"/>
        <v>#DIV/0!</v>
      </c>
      <c r="R240" s="39">
        <f t="shared" si="38"/>
        <v>0</v>
      </c>
      <c r="S240" s="32"/>
      <c r="U240" s="42" t="e">
        <f t="shared" si="39"/>
        <v>#DIV/0!</v>
      </c>
      <c r="V240" s="42" t="e">
        <f t="shared" si="40"/>
        <v>#DIV/0!</v>
      </c>
      <c r="W240" s="42" t="e">
        <f t="shared" si="41"/>
        <v>#DIV/0!</v>
      </c>
    </row>
    <row r="241" spans="1:23" s="28" customFormat="1" ht="73.5" customHeight="1" x14ac:dyDescent="0.2">
      <c r="A241" s="30">
        <v>230</v>
      </c>
      <c r="B241" s="115" t="s">
        <v>418</v>
      </c>
      <c r="C241" s="116" t="s">
        <v>25</v>
      </c>
      <c r="D241" s="117">
        <v>60</v>
      </c>
      <c r="E241" s="118">
        <v>0.51</v>
      </c>
      <c r="F241" s="35"/>
      <c r="G241" s="32"/>
      <c r="H241" s="38"/>
      <c r="I241" s="57">
        <f t="shared" si="42"/>
        <v>0</v>
      </c>
      <c r="J241" s="57"/>
      <c r="K241" s="57"/>
      <c r="L241" s="57">
        <f t="shared" si="35"/>
        <v>0</v>
      </c>
      <c r="M241" s="57"/>
      <c r="N241" s="57"/>
      <c r="O241" s="57">
        <f t="shared" si="43"/>
        <v>0</v>
      </c>
      <c r="P241" s="39" t="e">
        <f t="shared" si="36"/>
        <v>#DIV/0!</v>
      </c>
      <c r="Q241" s="40" t="e">
        <f t="shared" si="37"/>
        <v>#DIV/0!</v>
      </c>
      <c r="R241" s="39">
        <f t="shared" si="38"/>
        <v>0</v>
      </c>
      <c r="S241" s="32"/>
      <c r="U241" s="42" t="e">
        <f t="shared" si="39"/>
        <v>#DIV/0!</v>
      </c>
      <c r="V241" s="42" t="e">
        <f t="shared" si="40"/>
        <v>#DIV/0!</v>
      </c>
      <c r="W241" s="42" t="e">
        <f t="shared" si="41"/>
        <v>#DIV/0!</v>
      </c>
    </row>
    <row r="242" spans="1:23" s="28" customFormat="1" ht="73.5" customHeight="1" x14ac:dyDescent="0.2">
      <c r="A242" s="30">
        <v>231</v>
      </c>
      <c r="B242" s="115" t="s">
        <v>419</v>
      </c>
      <c r="C242" s="116" t="s">
        <v>25</v>
      </c>
      <c r="D242" s="117">
        <v>40</v>
      </c>
      <c r="E242" s="118">
        <v>2.35</v>
      </c>
      <c r="F242" s="35"/>
      <c r="G242" s="32"/>
      <c r="H242" s="38"/>
      <c r="I242" s="57">
        <f t="shared" si="42"/>
        <v>0</v>
      </c>
      <c r="J242" s="57"/>
      <c r="K242" s="57"/>
      <c r="L242" s="57">
        <f t="shared" si="35"/>
        <v>0</v>
      </c>
      <c r="M242" s="57"/>
      <c r="N242" s="57"/>
      <c r="O242" s="57">
        <f t="shared" si="43"/>
        <v>0</v>
      </c>
      <c r="P242" s="39" t="e">
        <f t="shared" si="36"/>
        <v>#DIV/0!</v>
      </c>
      <c r="Q242" s="40" t="e">
        <f t="shared" si="37"/>
        <v>#DIV/0!</v>
      </c>
      <c r="R242" s="39">
        <f t="shared" si="38"/>
        <v>0</v>
      </c>
      <c r="S242" s="32"/>
      <c r="U242" s="42" t="e">
        <f t="shared" si="39"/>
        <v>#DIV/0!</v>
      </c>
      <c r="V242" s="42" t="e">
        <f t="shared" si="40"/>
        <v>#DIV/0!</v>
      </c>
      <c r="W242" s="42" t="e">
        <f t="shared" si="41"/>
        <v>#DIV/0!</v>
      </c>
    </row>
    <row r="243" spans="1:23" s="28" customFormat="1" ht="73.5" customHeight="1" x14ac:dyDescent="0.2">
      <c r="A243" s="30">
        <v>232</v>
      </c>
      <c r="B243" s="115" t="s">
        <v>577</v>
      </c>
      <c r="C243" s="116" t="s">
        <v>25</v>
      </c>
      <c r="D243" s="117">
        <v>1620</v>
      </c>
      <c r="E243" s="118">
        <v>2.71</v>
      </c>
      <c r="F243" s="35"/>
      <c r="G243" s="32"/>
      <c r="H243" s="38"/>
      <c r="I243" s="57">
        <f t="shared" si="42"/>
        <v>0</v>
      </c>
      <c r="J243" s="57"/>
      <c r="K243" s="57"/>
      <c r="L243" s="57">
        <f t="shared" si="35"/>
        <v>0</v>
      </c>
      <c r="M243" s="57"/>
      <c r="N243" s="57"/>
      <c r="O243" s="57">
        <f t="shared" si="43"/>
        <v>0</v>
      </c>
      <c r="P243" s="39" t="e">
        <f t="shared" si="36"/>
        <v>#DIV/0!</v>
      </c>
      <c r="Q243" s="40" t="e">
        <f t="shared" si="37"/>
        <v>#DIV/0!</v>
      </c>
      <c r="R243" s="39">
        <f t="shared" si="38"/>
        <v>0</v>
      </c>
      <c r="S243" s="32"/>
      <c r="U243" s="42" t="e">
        <f t="shared" si="39"/>
        <v>#DIV/0!</v>
      </c>
      <c r="V243" s="42" t="e">
        <f t="shared" si="40"/>
        <v>#DIV/0!</v>
      </c>
      <c r="W243" s="42" t="e">
        <f t="shared" si="41"/>
        <v>#DIV/0!</v>
      </c>
    </row>
    <row r="244" spans="1:23" s="28" customFormat="1" ht="73.5" customHeight="1" x14ac:dyDescent="0.2">
      <c r="A244" s="30">
        <v>233</v>
      </c>
      <c r="B244" s="115" t="s">
        <v>422</v>
      </c>
      <c r="C244" s="116" t="s">
        <v>25</v>
      </c>
      <c r="D244" s="117">
        <v>480</v>
      </c>
      <c r="E244" s="118">
        <v>5.82</v>
      </c>
      <c r="F244" s="35"/>
      <c r="G244" s="32"/>
      <c r="H244" s="38"/>
      <c r="I244" s="57">
        <f t="shared" si="42"/>
        <v>0</v>
      </c>
      <c r="J244" s="57"/>
      <c r="K244" s="57"/>
      <c r="L244" s="57">
        <f t="shared" si="35"/>
        <v>0</v>
      </c>
      <c r="M244" s="57"/>
      <c r="N244" s="57"/>
      <c r="O244" s="57">
        <f t="shared" si="43"/>
        <v>0</v>
      </c>
      <c r="P244" s="39" t="e">
        <f t="shared" si="36"/>
        <v>#DIV/0!</v>
      </c>
      <c r="Q244" s="40" t="e">
        <f t="shared" si="37"/>
        <v>#DIV/0!</v>
      </c>
      <c r="R244" s="39">
        <f t="shared" si="38"/>
        <v>0</v>
      </c>
      <c r="S244" s="32"/>
      <c r="U244" s="42" t="e">
        <f t="shared" si="39"/>
        <v>#DIV/0!</v>
      </c>
      <c r="V244" s="42" t="e">
        <f t="shared" si="40"/>
        <v>#DIV/0!</v>
      </c>
      <c r="W244" s="42" t="e">
        <f t="shared" si="41"/>
        <v>#DIV/0!</v>
      </c>
    </row>
    <row r="245" spans="1:23" s="28" customFormat="1" ht="73.5" customHeight="1" x14ac:dyDescent="0.2">
      <c r="A245" s="30">
        <v>234</v>
      </c>
      <c r="B245" s="115" t="s">
        <v>423</v>
      </c>
      <c r="C245" s="116" t="s">
        <v>25</v>
      </c>
      <c r="D245" s="117">
        <v>40</v>
      </c>
      <c r="E245" s="118">
        <v>0.39</v>
      </c>
      <c r="F245" s="35"/>
      <c r="G245" s="32"/>
      <c r="H245" s="38"/>
      <c r="I245" s="57">
        <f t="shared" ref="I245:I267" si="44">D245*H245</f>
        <v>0</v>
      </c>
      <c r="J245" s="57"/>
      <c r="K245" s="57"/>
      <c r="L245" s="57">
        <f t="shared" si="35"/>
        <v>0</v>
      </c>
      <c r="M245" s="57"/>
      <c r="N245" s="57"/>
      <c r="O245" s="57">
        <f t="shared" si="43"/>
        <v>0</v>
      </c>
      <c r="P245" s="39" t="e">
        <f t="shared" si="36"/>
        <v>#DIV/0!</v>
      </c>
      <c r="Q245" s="40" t="e">
        <f t="shared" si="37"/>
        <v>#DIV/0!</v>
      </c>
      <c r="R245" s="39">
        <f t="shared" si="38"/>
        <v>0</v>
      </c>
      <c r="S245" s="32"/>
      <c r="U245" s="42" t="e">
        <f t="shared" si="39"/>
        <v>#DIV/0!</v>
      </c>
      <c r="V245" s="42" t="e">
        <f t="shared" si="40"/>
        <v>#DIV/0!</v>
      </c>
      <c r="W245" s="42" t="e">
        <f t="shared" si="41"/>
        <v>#DIV/0!</v>
      </c>
    </row>
    <row r="246" spans="1:23" s="28" customFormat="1" ht="73.5" customHeight="1" x14ac:dyDescent="0.2">
      <c r="A246" s="30">
        <v>235</v>
      </c>
      <c r="B246" s="115" t="s">
        <v>424</v>
      </c>
      <c r="C246" s="116" t="s">
        <v>25</v>
      </c>
      <c r="D246" s="117">
        <v>30</v>
      </c>
      <c r="E246" s="118">
        <v>1.44</v>
      </c>
      <c r="F246" s="35"/>
      <c r="G246" s="32"/>
      <c r="H246" s="38"/>
      <c r="I246" s="57">
        <f t="shared" si="44"/>
        <v>0</v>
      </c>
      <c r="J246" s="57"/>
      <c r="K246" s="57"/>
      <c r="L246" s="57">
        <f t="shared" si="35"/>
        <v>0</v>
      </c>
      <c r="M246" s="57"/>
      <c r="N246" s="57"/>
      <c r="O246" s="57">
        <f t="shared" si="43"/>
        <v>0</v>
      </c>
      <c r="P246" s="39" t="e">
        <f t="shared" si="36"/>
        <v>#DIV/0!</v>
      </c>
      <c r="Q246" s="40" t="e">
        <f t="shared" si="37"/>
        <v>#DIV/0!</v>
      </c>
      <c r="R246" s="39">
        <f t="shared" si="38"/>
        <v>0</v>
      </c>
      <c r="S246" s="32"/>
      <c r="U246" s="42" t="e">
        <f t="shared" si="39"/>
        <v>#DIV/0!</v>
      </c>
      <c r="V246" s="42" t="e">
        <f t="shared" si="40"/>
        <v>#DIV/0!</v>
      </c>
      <c r="W246" s="42" t="e">
        <f t="shared" si="41"/>
        <v>#DIV/0!</v>
      </c>
    </row>
    <row r="247" spans="1:23" s="28" customFormat="1" ht="73.5" customHeight="1" x14ac:dyDescent="0.2">
      <c r="A247" s="30">
        <v>236</v>
      </c>
      <c r="B247" s="115" t="s">
        <v>578</v>
      </c>
      <c r="C247" s="116" t="s">
        <v>25</v>
      </c>
      <c r="D247" s="117">
        <v>138</v>
      </c>
      <c r="E247" s="118" t="s">
        <v>504</v>
      </c>
      <c r="F247" s="35"/>
      <c r="G247" s="32"/>
      <c r="H247" s="38"/>
      <c r="I247" s="57">
        <f t="shared" si="44"/>
        <v>0</v>
      </c>
      <c r="J247" s="57"/>
      <c r="K247" s="57"/>
      <c r="L247" s="57">
        <f t="shared" si="35"/>
        <v>0</v>
      </c>
      <c r="M247" s="57"/>
      <c r="N247" s="57"/>
      <c r="O247" s="57">
        <f t="shared" si="43"/>
        <v>0</v>
      </c>
      <c r="P247" s="39" t="e">
        <f t="shared" si="36"/>
        <v>#DIV/0!</v>
      </c>
      <c r="Q247" s="40" t="e">
        <f t="shared" si="37"/>
        <v>#DIV/0!</v>
      </c>
      <c r="R247" s="39">
        <f t="shared" si="38"/>
        <v>0</v>
      </c>
      <c r="S247" s="32"/>
      <c r="U247" s="42" t="e">
        <f t="shared" si="39"/>
        <v>#DIV/0!</v>
      </c>
      <c r="V247" s="42" t="e">
        <f t="shared" si="40"/>
        <v>#DIV/0!</v>
      </c>
      <c r="W247" s="42" t="e">
        <f t="shared" si="41"/>
        <v>#DIV/0!</v>
      </c>
    </row>
    <row r="248" spans="1:23" s="28" customFormat="1" ht="73.5" customHeight="1" x14ac:dyDescent="0.2">
      <c r="A248" s="30">
        <v>237</v>
      </c>
      <c r="B248" s="115" t="s">
        <v>579</v>
      </c>
      <c r="C248" s="116" t="s">
        <v>25</v>
      </c>
      <c r="D248" s="117">
        <v>300</v>
      </c>
      <c r="E248" s="118" t="s">
        <v>504</v>
      </c>
      <c r="F248" s="35"/>
      <c r="G248" s="32"/>
      <c r="H248" s="38"/>
      <c r="I248" s="57">
        <f t="shared" si="44"/>
        <v>0</v>
      </c>
      <c r="J248" s="57"/>
      <c r="K248" s="57"/>
      <c r="L248" s="57">
        <f t="shared" si="35"/>
        <v>0</v>
      </c>
      <c r="M248" s="57"/>
      <c r="N248" s="57"/>
      <c r="O248" s="57">
        <f t="shared" si="43"/>
        <v>0</v>
      </c>
      <c r="P248" s="39" t="e">
        <f t="shared" si="36"/>
        <v>#DIV/0!</v>
      </c>
      <c r="Q248" s="40" t="e">
        <f t="shared" si="37"/>
        <v>#DIV/0!</v>
      </c>
      <c r="R248" s="39">
        <f t="shared" si="38"/>
        <v>0</v>
      </c>
      <c r="S248" s="32"/>
      <c r="U248" s="42" t="e">
        <f t="shared" si="39"/>
        <v>#DIV/0!</v>
      </c>
      <c r="V248" s="42" t="e">
        <f t="shared" si="40"/>
        <v>#DIV/0!</v>
      </c>
      <c r="W248" s="42" t="e">
        <f t="shared" si="41"/>
        <v>#DIV/0!</v>
      </c>
    </row>
    <row r="249" spans="1:23" s="28" customFormat="1" ht="82.5" customHeight="1" x14ac:dyDescent="0.2">
      <c r="A249" s="30">
        <v>238</v>
      </c>
      <c r="B249" s="115" t="s">
        <v>580</v>
      </c>
      <c r="C249" s="116" t="s">
        <v>25</v>
      </c>
      <c r="D249" s="117">
        <v>250</v>
      </c>
      <c r="E249" s="118" t="s">
        <v>504</v>
      </c>
      <c r="F249" s="35"/>
      <c r="G249" s="32"/>
      <c r="H249" s="38"/>
      <c r="I249" s="57">
        <f t="shared" si="44"/>
        <v>0</v>
      </c>
      <c r="J249" s="57"/>
      <c r="K249" s="57"/>
      <c r="L249" s="57">
        <f t="shared" si="35"/>
        <v>0</v>
      </c>
      <c r="M249" s="57"/>
      <c r="N249" s="57"/>
      <c r="O249" s="57">
        <f t="shared" si="43"/>
        <v>0</v>
      </c>
      <c r="P249" s="39" t="e">
        <f t="shared" si="36"/>
        <v>#DIV/0!</v>
      </c>
      <c r="Q249" s="40" t="e">
        <f t="shared" si="37"/>
        <v>#DIV/0!</v>
      </c>
      <c r="R249" s="39">
        <f t="shared" si="38"/>
        <v>0</v>
      </c>
      <c r="S249" s="32"/>
      <c r="U249" s="42" t="e">
        <f t="shared" si="39"/>
        <v>#DIV/0!</v>
      </c>
      <c r="V249" s="42" t="e">
        <f t="shared" si="40"/>
        <v>#DIV/0!</v>
      </c>
      <c r="W249" s="42" t="e">
        <f t="shared" si="41"/>
        <v>#DIV/0!</v>
      </c>
    </row>
    <row r="250" spans="1:23" s="28" customFormat="1" ht="73.5" customHeight="1" x14ac:dyDescent="0.2">
      <c r="A250" s="30">
        <v>239</v>
      </c>
      <c r="B250" s="115" t="s">
        <v>581</v>
      </c>
      <c r="C250" s="116" t="s">
        <v>25</v>
      </c>
      <c r="D250" s="117">
        <v>550</v>
      </c>
      <c r="E250" s="118" t="s">
        <v>504</v>
      </c>
      <c r="F250" s="35"/>
      <c r="G250" s="32"/>
      <c r="H250" s="38"/>
      <c r="I250" s="57">
        <f t="shared" si="44"/>
        <v>0</v>
      </c>
      <c r="J250" s="57"/>
      <c r="K250" s="57"/>
      <c r="L250" s="57">
        <f t="shared" si="35"/>
        <v>0</v>
      </c>
      <c r="M250" s="57"/>
      <c r="N250" s="57"/>
      <c r="O250" s="57">
        <f t="shared" si="43"/>
        <v>0</v>
      </c>
      <c r="P250" s="39" t="e">
        <f t="shared" si="36"/>
        <v>#DIV/0!</v>
      </c>
      <c r="Q250" s="40" t="e">
        <f t="shared" si="37"/>
        <v>#DIV/0!</v>
      </c>
      <c r="R250" s="39">
        <f t="shared" si="38"/>
        <v>0</v>
      </c>
      <c r="S250" s="32"/>
      <c r="U250" s="42" t="e">
        <f t="shared" si="39"/>
        <v>#DIV/0!</v>
      </c>
      <c r="V250" s="42" t="e">
        <f t="shared" si="40"/>
        <v>#DIV/0!</v>
      </c>
      <c r="W250" s="42" t="e">
        <f t="shared" si="41"/>
        <v>#DIV/0!</v>
      </c>
    </row>
    <row r="251" spans="1:23" s="28" customFormat="1" ht="77.25" customHeight="1" x14ac:dyDescent="0.2">
      <c r="A251" s="30">
        <v>240</v>
      </c>
      <c r="B251" s="115" t="s">
        <v>582</v>
      </c>
      <c r="C251" s="116" t="s">
        <v>25</v>
      </c>
      <c r="D251" s="117">
        <v>7</v>
      </c>
      <c r="E251" s="118" t="s">
        <v>504</v>
      </c>
      <c r="F251" s="35"/>
      <c r="G251" s="32"/>
      <c r="H251" s="38"/>
      <c r="I251" s="57">
        <f t="shared" si="44"/>
        <v>0</v>
      </c>
      <c r="J251" s="57"/>
      <c r="K251" s="57"/>
      <c r="L251" s="57">
        <f t="shared" si="35"/>
        <v>0</v>
      </c>
      <c r="M251" s="57"/>
      <c r="N251" s="57"/>
      <c r="O251" s="57">
        <f t="shared" si="43"/>
        <v>0</v>
      </c>
      <c r="P251" s="39" t="e">
        <f t="shared" si="36"/>
        <v>#DIV/0!</v>
      </c>
      <c r="Q251" s="40" t="e">
        <f t="shared" si="37"/>
        <v>#DIV/0!</v>
      </c>
      <c r="R251" s="39">
        <f t="shared" si="38"/>
        <v>0</v>
      </c>
      <c r="S251" s="32"/>
      <c r="U251" s="42" t="e">
        <f t="shared" si="39"/>
        <v>#DIV/0!</v>
      </c>
      <c r="V251" s="42" t="e">
        <f t="shared" si="40"/>
        <v>#DIV/0!</v>
      </c>
      <c r="W251" s="42" t="e">
        <f t="shared" si="41"/>
        <v>#DIV/0!</v>
      </c>
    </row>
    <row r="252" spans="1:23" s="28" customFormat="1" ht="73.5" customHeight="1" x14ac:dyDescent="0.2">
      <c r="A252" s="30">
        <v>241</v>
      </c>
      <c r="B252" s="115" t="s">
        <v>426</v>
      </c>
      <c r="C252" s="116" t="s">
        <v>147</v>
      </c>
      <c r="D252" s="117">
        <v>18</v>
      </c>
      <c r="E252" s="118">
        <v>17801.5</v>
      </c>
      <c r="F252" s="35"/>
      <c r="G252" s="32"/>
      <c r="H252" s="38"/>
      <c r="I252" s="57">
        <f t="shared" si="44"/>
        <v>0</v>
      </c>
      <c r="J252" s="57"/>
      <c r="K252" s="57"/>
      <c r="L252" s="57">
        <f t="shared" si="35"/>
        <v>0</v>
      </c>
      <c r="M252" s="57"/>
      <c r="N252" s="57"/>
      <c r="O252" s="57">
        <f t="shared" si="43"/>
        <v>0</v>
      </c>
      <c r="P252" s="39" t="e">
        <f t="shared" si="36"/>
        <v>#DIV/0!</v>
      </c>
      <c r="Q252" s="40" t="e">
        <f t="shared" si="37"/>
        <v>#DIV/0!</v>
      </c>
      <c r="R252" s="39">
        <f t="shared" si="38"/>
        <v>0</v>
      </c>
      <c r="S252" s="32"/>
      <c r="U252" s="42" t="e">
        <f t="shared" si="39"/>
        <v>#DIV/0!</v>
      </c>
      <c r="V252" s="42" t="e">
        <f t="shared" si="40"/>
        <v>#DIV/0!</v>
      </c>
      <c r="W252" s="42" t="e">
        <f t="shared" si="41"/>
        <v>#DIV/0!</v>
      </c>
    </row>
    <row r="253" spans="1:23" s="28" customFormat="1" ht="73.5" customHeight="1" x14ac:dyDescent="0.2">
      <c r="A253" s="30">
        <v>242</v>
      </c>
      <c r="B253" s="115" t="s">
        <v>583</v>
      </c>
      <c r="C253" s="116" t="s">
        <v>25</v>
      </c>
      <c r="D253" s="117">
        <v>25</v>
      </c>
      <c r="E253" s="118" t="s">
        <v>504</v>
      </c>
      <c r="F253" s="35"/>
      <c r="G253" s="32"/>
      <c r="H253" s="38"/>
      <c r="I253" s="57">
        <f t="shared" si="44"/>
        <v>0</v>
      </c>
      <c r="J253" s="57"/>
      <c r="K253" s="57"/>
      <c r="L253" s="57">
        <f t="shared" si="35"/>
        <v>0</v>
      </c>
      <c r="M253" s="57"/>
      <c r="N253" s="57"/>
      <c r="O253" s="57">
        <f t="shared" si="43"/>
        <v>0</v>
      </c>
      <c r="P253" s="39" t="e">
        <f t="shared" si="36"/>
        <v>#DIV/0!</v>
      </c>
      <c r="Q253" s="40" t="e">
        <f t="shared" si="37"/>
        <v>#DIV/0!</v>
      </c>
      <c r="R253" s="39">
        <f t="shared" si="38"/>
        <v>0</v>
      </c>
      <c r="S253" s="32"/>
      <c r="U253" s="42" t="e">
        <f t="shared" si="39"/>
        <v>#DIV/0!</v>
      </c>
      <c r="V253" s="42" t="e">
        <f t="shared" si="40"/>
        <v>#DIV/0!</v>
      </c>
      <c r="W253" s="42" t="e">
        <f t="shared" si="41"/>
        <v>#DIV/0!</v>
      </c>
    </row>
    <row r="254" spans="1:23" s="28" customFormat="1" ht="73.5" customHeight="1" x14ac:dyDescent="0.2">
      <c r="A254" s="30">
        <v>243</v>
      </c>
      <c r="B254" s="115" t="s">
        <v>429</v>
      </c>
      <c r="C254" s="116" t="s">
        <v>25</v>
      </c>
      <c r="D254" s="117">
        <v>400</v>
      </c>
      <c r="E254" s="118">
        <v>37.4</v>
      </c>
      <c r="F254" s="35"/>
      <c r="G254" s="32"/>
      <c r="H254" s="38"/>
      <c r="I254" s="57">
        <f t="shared" si="44"/>
        <v>0</v>
      </c>
      <c r="J254" s="57"/>
      <c r="K254" s="57"/>
      <c r="L254" s="57">
        <f t="shared" si="35"/>
        <v>0</v>
      </c>
      <c r="M254" s="57"/>
      <c r="N254" s="57"/>
      <c r="O254" s="57">
        <f t="shared" si="43"/>
        <v>0</v>
      </c>
      <c r="P254" s="39" t="e">
        <f t="shared" si="36"/>
        <v>#DIV/0!</v>
      </c>
      <c r="Q254" s="40" t="e">
        <f t="shared" si="37"/>
        <v>#DIV/0!</v>
      </c>
      <c r="R254" s="39">
        <f t="shared" si="38"/>
        <v>0</v>
      </c>
      <c r="S254" s="32"/>
      <c r="U254" s="42" t="e">
        <f t="shared" si="39"/>
        <v>#DIV/0!</v>
      </c>
      <c r="V254" s="42" t="e">
        <f t="shared" si="40"/>
        <v>#DIV/0!</v>
      </c>
      <c r="W254" s="42" t="e">
        <f t="shared" si="41"/>
        <v>#DIV/0!</v>
      </c>
    </row>
    <row r="255" spans="1:23" s="28" customFormat="1" ht="73.5" customHeight="1" x14ac:dyDescent="0.2">
      <c r="A255" s="30">
        <v>244</v>
      </c>
      <c r="B255" s="115" t="s">
        <v>432</v>
      </c>
      <c r="C255" s="116" t="s">
        <v>147</v>
      </c>
      <c r="D255" s="117">
        <v>800</v>
      </c>
      <c r="E255" s="118">
        <v>11.03</v>
      </c>
      <c r="F255" s="35"/>
      <c r="G255" s="32"/>
      <c r="H255" s="38"/>
      <c r="I255" s="57">
        <f t="shared" si="44"/>
        <v>0</v>
      </c>
      <c r="J255" s="57"/>
      <c r="K255" s="57"/>
      <c r="L255" s="57">
        <f t="shared" si="35"/>
        <v>0</v>
      </c>
      <c r="M255" s="57"/>
      <c r="N255" s="57"/>
      <c r="O255" s="57">
        <f t="shared" si="43"/>
        <v>0</v>
      </c>
      <c r="P255" s="39" t="e">
        <f t="shared" si="36"/>
        <v>#DIV/0!</v>
      </c>
      <c r="Q255" s="40" t="e">
        <f t="shared" si="37"/>
        <v>#DIV/0!</v>
      </c>
      <c r="R255" s="39">
        <f t="shared" si="38"/>
        <v>0</v>
      </c>
      <c r="S255" s="32"/>
      <c r="U255" s="42" t="e">
        <f t="shared" si="39"/>
        <v>#DIV/0!</v>
      </c>
      <c r="V255" s="42" t="e">
        <f t="shared" si="40"/>
        <v>#DIV/0!</v>
      </c>
      <c r="W255" s="42" t="e">
        <f t="shared" si="41"/>
        <v>#DIV/0!</v>
      </c>
    </row>
    <row r="256" spans="1:23" s="28" customFormat="1" ht="73.5" customHeight="1" x14ac:dyDescent="0.2">
      <c r="A256" s="30">
        <v>245</v>
      </c>
      <c r="B256" s="115" t="s">
        <v>584</v>
      </c>
      <c r="C256" s="116" t="s">
        <v>25</v>
      </c>
      <c r="D256" s="117">
        <v>1833</v>
      </c>
      <c r="E256" s="118" t="s">
        <v>504</v>
      </c>
      <c r="F256" s="35"/>
      <c r="G256" s="32"/>
      <c r="H256" s="38"/>
      <c r="I256" s="57">
        <f t="shared" si="44"/>
        <v>0</v>
      </c>
      <c r="J256" s="57"/>
      <c r="K256" s="57"/>
      <c r="L256" s="57">
        <f t="shared" si="35"/>
        <v>0</v>
      </c>
      <c r="M256" s="57"/>
      <c r="N256" s="57"/>
      <c r="O256" s="57">
        <f t="shared" si="43"/>
        <v>0</v>
      </c>
      <c r="P256" s="39" t="e">
        <f t="shared" si="36"/>
        <v>#DIV/0!</v>
      </c>
      <c r="Q256" s="40" t="e">
        <f t="shared" si="37"/>
        <v>#DIV/0!</v>
      </c>
      <c r="R256" s="39">
        <f t="shared" si="38"/>
        <v>0</v>
      </c>
      <c r="S256" s="32"/>
      <c r="U256" s="42" t="e">
        <f t="shared" si="39"/>
        <v>#DIV/0!</v>
      </c>
      <c r="V256" s="42" t="e">
        <f t="shared" si="40"/>
        <v>#DIV/0!</v>
      </c>
      <c r="W256" s="42" t="e">
        <f t="shared" si="41"/>
        <v>#DIV/0!</v>
      </c>
    </row>
    <row r="257" spans="1:23" s="28" customFormat="1" ht="73.5" customHeight="1" x14ac:dyDescent="0.2">
      <c r="A257" s="30">
        <v>246</v>
      </c>
      <c r="B257" s="115" t="s">
        <v>434</v>
      </c>
      <c r="C257" s="116" t="s">
        <v>25</v>
      </c>
      <c r="D257" s="117">
        <v>30</v>
      </c>
      <c r="E257" s="118">
        <v>1285.6600000000001</v>
      </c>
      <c r="F257" s="35"/>
      <c r="G257" s="32"/>
      <c r="H257" s="38"/>
      <c r="I257" s="57">
        <f t="shared" si="44"/>
        <v>0</v>
      </c>
      <c r="J257" s="57"/>
      <c r="K257" s="57"/>
      <c r="L257" s="57">
        <f t="shared" si="35"/>
        <v>0</v>
      </c>
      <c r="M257" s="57"/>
      <c r="N257" s="57"/>
      <c r="O257" s="57">
        <f t="shared" si="43"/>
        <v>0</v>
      </c>
      <c r="P257" s="39" t="e">
        <f t="shared" si="36"/>
        <v>#DIV/0!</v>
      </c>
      <c r="Q257" s="40" t="e">
        <f t="shared" si="37"/>
        <v>#DIV/0!</v>
      </c>
      <c r="R257" s="39">
        <f t="shared" si="38"/>
        <v>0</v>
      </c>
      <c r="S257" s="32"/>
      <c r="U257" s="42" t="e">
        <f t="shared" si="39"/>
        <v>#DIV/0!</v>
      </c>
      <c r="V257" s="42" t="e">
        <f t="shared" si="40"/>
        <v>#DIV/0!</v>
      </c>
      <c r="W257" s="42" t="e">
        <f t="shared" si="41"/>
        <v>#DIV/0!</v>
      </c>
    </row>
    <row r="258" spans="1:23" s="28" customFormat="1" ht="73.5" customHeight="1" x14ac:dyDescent="0.2">
      <c r="A258" s="30">
        <v>247</v>
      </c>
      <c r="B258" s="115" t="s">
        <v>585</v>
      </c>
      <c r="C258" s="116" t="s">
        <v>25</v>
      </c>
      <c r="D258" s="117">
        <v>1</v>
      </c>
      <c r="E258" s="118" t="s">
        <v>504</v>
      </c>
      <c r="F258" s="35"/>
      <c r="G258" s="32"/>
      <c r="H258" s="38"/>
      <c r="I258" s="57">
        <f t="shared" si="44"/>
        <v>0</v>
      </c>
      <c r="J258" s="57"/>
      <c r="K258" s="57"/>
      <c r="L258" s="57">
        <f t="shared" si="35"/>
        <v>0</v>
      </c>
      <c r="M258" s="57"/>
      <c r="N258" s="57"/>
      <c r="O258" s="57">
        <f t="shared" si="43"/>
        <v>0</v>
      </c>
      <c r="P258" s="39" t="e">
        <f t="shared" si="36"/>
        <v>#DIV/0!</v>
      </c>
      <c r="Q258" s="40" t="e">
        <f t="shared" si="37"/>
        <v>#DIV/0!</v>
      </c>
      <c r="R258" s="39">
        <f t="shared" si="38"/>
        <v>0</v>
      </c>
      <c r="S258" s="32"/>
      <c r="U258" s="42" t="e">
        <f t="shared" si="39"/>
        <v>#DIV/0!</v>
      </c>
      <c r="V258" s="42" t="e">
        <f t="shared" si="40"/>
        <v>#DIV/0!</v>
      </c>
      <c r="W258" s="42" t="e">
        <f t="shared" si="41"/>
        <v>#DIV/0!</v>
      </c>
    </row>
    <row r="259" spans="1:23" s="28" customFormat="1" ht="73.5" customHeight="1" x14ac:dyDescent="0.2">
      <c r="A259" s="30">
        <v>248</v>
      </c>
      <c r="B259" s="115" t="s">
        <v>586</v>
      </c>
      <c r="C259" s="116" t="s">
        <v>25</v>
      </c>
      <c r="D259" s="117">
        <v>2</v>
      </c>
      <c r="E259" s="118" t="s">
        <v>504</v>
      </c>
      <c r="F259" s="35"/>
      <c r="G259" s="32"/>
      <c r="H259" s="38"/>
      <c r="I259" s="57">
        <f t="shared" si="44"/>
        <v>0</v>
      </c>
      <c r="J259" s="57"/>
      <c r="K259" s="57"/>
      <c r="L259" s="57">
        <f t="shared" si="35"/>
        <v>0</v>
      </c>
      <c r="M259" s="57"/>
      <c r="N259" s="57"/>
      <c r="O259" s="57">
        <f t="shared" si="43"/>
        <v>0</v>
      </c>
      <c r="P259" s="39" t="e">
        <f t="shared" si="36"/>
        <v>#DIV/0!</v>
      </c>
      <c r="Q259" s="40" t="e">
        <f t="shared" si="37"/>
        <v>#DIV/0!</v>
      </c>
      <c r="R259" s="39">
        <f t="shared" si="38"/>
        <v>0</v>
      </c>
      <c r="S259" s="32"/>
      <c r="U259" s="42" t="e">
        <f t="shared" si="39"/>
        <v>#DIV/0!</v>
      </c>
      <c r="V259" s="42" t="e">
        <f t="shared" si="40"/>
        <v>#DIV/0!</v>
      </c>
      <c r="W259" s="42" t="e">
        <f t="shared" si="41"/>
        <v>#DIV/0!</v>
      </c>
    </row>
    <row r="260" spans="1:23" s="28" customFormat="1" ht="73.5" customHeight="1" x14ac:dyDescent="0.2">
      <c r="A260" s="30">
        <v>249</v>
      </c>
      <c r="B260" s="115" t="s">
        <v>587</v>
      </c>
      <c r="C260" s="116" t="s">
        <v>45</v>
      </c>
      <c r="D260" s="117">
        <v>126.8</v>
      </c>
      <c r="E260" s="118" t="s">
        <v>504</v>
      </c>
      <c r="F260" s="35"/>
      <c r="G260" s="32"/>
      <c r="H260" s="38"/>
      <c r="I260" s="57">
        <f t="shared" si="44"/>
        <v>0</v>
      </c>
      <c r="J260" s="57"/>
      <c r="K260" s="57"/>
      <c r="L260" s="57">
        <f t="shared" si="35"/>
        <v>0</v>
      </c>
      <c r="M260" s="57"/>
      <c r="N260" s="57"/>
      <c r="O260" s="57">
        <f t="shared" si="43"/>
        <v>0</v>
      </c>
      <c r="P260" s="39" t="e">
        <f t="shared" si="36"/>
        <v>#DIV/0!</v>
      </c>
      <c r="Q260" s="40" t="e">
        <f t="shared" si="37"/>
        <v>#DIV/0!</v>
      </c>
      <c r="R260" s="39">
        <f t="shared" si="38"/>
        <v>0</v>
      </c>
      <c r="S260" s="32"/>
      <c r="U260" s="42" t="e">
        <f t="shared" si="39"/>
        <v>#DIV/0!</v>
      </c>
      <c r="V260" s="42" t="e">
        <f t="shared" si="40"/>
        <v>#DIV/0!</v>
      </c>
      <c r="W260" s="42" t="e">
        <f t="shared" si="41"/>
        <v>#DIV/0!</v>
      </c>
    </row>
    <row r="261" spans="1:23" s="28" customFormat="1" ht="73.5" customHeight="1" x14ac:dyDescent="0.2">
      <c r="A261" s="30">
        <v>250</v>
      </c>
      <c r="B261" s="115" t="s">
        <v>588</v>
      </c>
      <c r="C261" s="116" t="s">
        <v>45</v>
      </c>
      <c r="D261" s="117">
        <v>48</v>
      </c>
      <c r="E261" s="118" t="s">
        <v>504</v>
      </c>
      <c r="F261" s="35"/>
      <c r="G261" s="32"/>
      <c r="H261" s="38"/>
      <c r="I261" s="57">
        <f t="shared" si="44"/>
        <v>0</v>
      </c>
      <c r="J261" s="57"/>
      <c r="K261" s="57"/>
      <c r="L261" s="57">
        <f t="shared" si="35"/>
        <v>0</v>
      </c>
      <c r="M261" s="57"/>
      <c r="N261" s="57"/>
      <c r="O261" s="57">
        <f t="shared" si="43"/>
        <v>0</v>
      </c>
      <c r="P261" s="39" t="e">
        <f t="shared" si="36"/>
        <v>#DIV/0!</v>
      </c>
      <c r="Q261" s="40" t="e">
        <f t="shared" si="37"/>
        <v>#DIV/0!</v>
      </c>
      <c r="R261" s="39">
        <f t="shared" si="38"/>
        <v>0</v>
      </c>
      <c r="S261" s="32"/>
      <c r="U261" s="42" t="e">
        <f t="shared" si="39"/>
        <v>#DIV/0!</v>
      </c>
      <c r="V261" s="42" t="e">
        <f t="shared" si="40"/>
        <v>#DIV/0!</v>
      </c>
      <c r="W261" s="42" t="e">
        <f t="shared" si="41"/>
        <v>#DIV/0!</v>
      </c>
    </row>
    <row r="262" spans="1:23" s="28" customFormat="1" ht="73.5" customHeight="1" x14ac:dyDescent="0.2">
      <c r="A262" s="30">
        <v>251</v>
      </c>
      <c r="B262" s="115" t="s">
        <v>589</v>
      </c>
      <c r="C262" s="116" t="s">
        <v>45</v>
      </c>
      <c r="D262" s="117">
        <v>24</v>
      </c>
      <c r="E262" s="118" t="s">
        <v>504</v>
      </c>
      <c r="F262" s="35"/>
      <c r="G262" s="32"/>
      <c r="H262" s="38"/>
      <c r="I262" s="57">
        <f t="shared" si="44"/>
        <v>0</v>
      </c>
      <c r="J262" s="57"/>
      <c r="K262" s="57"/>
      <c r="L262" s="57">
        <f t="shared" si="35"/>
        <v>0</v>
      </c>
      <c r="M262" s="57"/>
      <c r="N262" s="57"/>
      <c r="O262" s="57">
        <f t="shared" si="43"/>
        <v>0</v>
      </c>
      <c r="P262" s="39" t="e">
        <f t="shared" si="36"/>
        <v>#DIV/0!</v>
      </c>
      <c r="Q262" s="40" t="e">
        <f t="shared" si="37"/>
        <v>#DIV/0!</v>
      </c>
      <c r="R262" s="39">
        <f t="shared" si="38"/>
        <v>0</v>
      </c>
      <c r="S262" s="32"/>
      <c r="U262" s="42" t="e">
        <f t="shared" si="39"/>
        <v>#DIV/0!</v>
      </c>
      <c r="V262" s="42" t="e">
        <f t="shared" si="40"/>
        <v>#DIV/0!</v>
      </c>
      <c r="W262" s="42" t="e">
        <f t="shared" si="41"/>
        <v>#DIV/0!</v>
      </c>
    </row>
    <row r="263" spans="1:23" s="28" customFormat="1" ht="73.5" customHeight="1" x14ac:dyDescent="0.2">
      <c r="A263" s="30">
        <v>252</v>
      </c>
      <c r="B263" s="115" t="s">
        <v>590</v>
      </c>
      <c r="C263" s="116" t="s">
        <v>25</v>
      </c>
      <c r="D263" s="117">
        <v>1200</v>
      </c>
      <c r="E263" s="118" t="s">
        <v>504</v>
      </c>
      <c r="F263" s="35"/>
      <c r="G263" s="32"/>
      <c r="H263" s="38"/>
      <c r="I263" s="57">
        <f t="shared" si="44"/>
        <v>0</v>
      </c>
      <c r="J263" s="57"/>
      <c r="K263" s="57"/>
      <c r="L263" s="57">
        <f t="shared" si="35"/>
        <v>0</v>
      </c>
      <c r="M263" s="57"/>
      <c r="N263" s="57"/>
      <c r="O263" s="57">
        <f t="shared" si="43"/>
        <v>0</v>
      </c>
      <c r="P263" s="39" t="e">
        <f t="shared" si="36"/>
        <v>#DIV/0!</v>
      </c>
      <c r="Q263" s="40" t="e">
        <f t="shared" si="37"/>
        <v>#DIV/0!</v>
      </c>
      <c r="R263" s="39">
        <f t="shared" si="38"/>
        <v>0</v>
      </c>
      <c r="S263" s="32"/>
      <c r="U263" s="42" t="e">
        <f t="shared" si="39"/>
        <v>#DIV/0!</v>
      </c>
      <c r="V263" s="42" t="e">
        <f t="shared" si="40"/>
        <v>#DIV/0!</v>
      </c>
      <c r="W263" s="42" t="e">
        <f t="shared" si="41"/>
        <v>#DIV/0!</v>
      </c>
    </row>
    <row r="264" spans="1:23" s="28" customFormat="1" ht="73.5" customHeight="1" x14ac:dyDescent="0.2">
      <c r="A264" s="30">
        <v>253</v>
      </c>
      <c r="B264" s="115" t="s">
        <v>448</v>
      </c>
      <c r="C264" s="116" t="s">
        <v>25</v>
      </c>
      <c r="D264" s="117">
        <v>28</v>
      </c>
      <c r="E264" s="118">
        <v>1974.45</v>
      </c>
      <c r="F264" s="35"/>
      <c r="G264" s="32"/>
      <c r="H264" s="38"/>
      <c r="I264" s="57">
        <f t="shared" si="44"/>
        <v>0</v>
      </c>
      <c r="J264" s="57"/>
      <c r="K264" s="57"/>
      <c r="L264" s="57">
        <f t="shared" si="35"/>
        <v>0</v>
      </c>
      <c r="M264" s="57"/>
      <c r="N264" s="57"/>
      <c r="O264" s="57">
        <f t="shared" si="43"/>
        <v>0</v>
      </c>
      <c r="P264" s="39" t="e">
        <f t="shared" si="36"/>
        <v>#DIV/0!</v>
      </c>
      <c r="Q264" s="40" t="e">
        <f t="shared" si="37"/>
        <v>#DIV/0!</v>
      </c>
      <c r="R264" s="39">
        <f t="shared" si="38"/>
        <v>0</v>
      </c>
      <c r="S264" s="32"/>
      <c r="U264" s="42" t="e">
        <f t="shared" si="39"/>
        <v>#DIV/0!</v>
      </c>
      <c r="V264" s="42" t="e">
        <f t="shared" si="40"/>
        <v>#DIV/0!</v>
      </c>
      <c r="W264" s="42" t="e">
        <f t="shared" si="41"/>
        <v>#DIV/0!</v>
      </c>
    </row>
    <row r="265" spans="1:23" s="28" customFormat="1" ht="73.5" customHeight="1" x14ac:dyDescent="0.2">
      <c r="A265" s="30">
        <v>254</v>
      </c>
      <c r="B265" s="115" t="s">
        <v>591</v>
      </c>
      <c r="C265" s="116" t="s">
        <v>25</v>
      </c>
      <c r="D265" s="117">
        <v>20</v>
      </c>
      <c r="E265" s="118" t="s">
        <v>504</v>
      </c>
      <c r="F265" s="35"/>
      <c r="G265" s="32"/>
      <c r="H265" s="38"/>
      <c r="I265" s="57">
        <f t="shared" si="44"/>
        <v>0</v>
      </c>
      <c r="J265" s="57"/>
      <c r="K265" s="57"/>
      <c r="L265" s="57">
        <f t="shared" si="35"/>
        <v>0</v>
      </c>
      <c r="M265" s="57"/>
      <c r="N265" s="57"/>
      <c r="O265" s="57">
        <f t="shared" ref="O265:O267" si="45">D265*N265</f>
        <v>0</v>
      </c>
      <c r="P265" s="39" t="e">
        <f t="shared" si="36"/>
        <v>#DIV/0!</v>
      </c>
      <c r="Q265" s="40" t="e">
        <f t="shared" si="37"/>
        <v>#DIV/0!</v>
      </c>
      <c r="R265" s="39">
        <f t="shared" si="38"/>
        <v>0</v>
      </c>
      <c r="S265" s="32"/>
      <c r="U265" s="42" t="e">
        <f t="shared" si="39"/>
        <v>#DIV/0!</v>
      </c>
      <c r="V265" s="42" t="e">
        <f t="shared" si="40"/>
        <v>#DIV/0!</v>
      </c>
      <c r="W265" s="42" t="e">
        <f t="shared" si="41"/>
        <v>#DIV/0!</v>
      </c>
    </row>
    <row r="266" spans="1:23" s="28" customFormat="1" ht="73.5" customHeight="1" x14ac:dyDescent="0.2">
      <c r="A266" s="30">
        <v>255</v>
      </c>
      <c r="B266" s="115" t="s">
        <v>592</v>
      </c>
      <c r="C266" s="116" t="s">
        <v>25</v>
      </c>
      <c r="D266" s="117">
        <v>266</v>
      </c>
      <c r="E266" s="118">
        <v>591.6</v>
      </c>
      <c r="F266" s="35"/>
      <c r="G266" s="32"/>
      <c r="H266" s="38"/>
      <c r="I266" s="57">
        <f t="shared" si="44"/>
        <v>0</v>
      </c>
      <c r="J266" s="57"/>
      <c r="K266" s="57"/>
      <c r="L266" s="57">
        <f t="shared" si="35"/>
        <v>0</v>
      </c>
      <c r="M266" s="57"/>
      <c r="N266" s="57"/>
      <c r="O266" s="57">
        <f t="shared" si="45"/>
        <v>0</v>
      </c>
      <c r="P266" s="39" t="e">
        <f t="shared" si="36"/>
        <v>#DIV/0!</v>
      </c>
      <c r="Q266" s="40" t="e">
        <f t="shared" si="37"/>
        <v>#DIV/0!</v>
      </c>
      <c r="R266" s="39">
        <f t="shared" si="38"/>
        <v>0</v>
      </c>
      <c r="S266" s="32"/>
      <c r="U266" s="42" t="e">
        <f t="shared" si="39"/>
        <v>#DIV/0!</v>
      </c>
      <c r="V266" s="42" t="e">
        <f t="shared" si="40"/>
        <v>#DIV/0!</v>
      </c>
      <c r="W266" s="42" t="e">
        <f t="shared" si="41"/>
        <v>#DIV/0!</v>
      </c>
    </row>
    <row r="267" spans="1:23" s="28" customFormat="1" ht="73.5" customHeight="1" x14ac:dyDescent="0.2">
      <c r="A267" s="30">
        <v>256</v>
      </c>
      <c r="B267" s="115" t="s">
        <v>593</v>
      </c>
      <c r="C267" s="116" t="s">
        <v>25</v>
      </c>
      <c r="D267" s="117">
        <v>714</v>
      </c>
      <c r="E267" s="118">
        <v>595.79999999999995</v>
      </c>
      <c r="F267" s="35"/>
      <c r="G267" s="32"/>
      <c r="H267" s="38"/>
      <c r="I267" s="57">
        <f t="shared" si="44"/>
        <v>0</v>
      </c>
      <c r="J267" s="57"/>
      <c r="K267" s="57"/>
      <c r="L267" s="57">
        <f t="shared" si="35"/>
        <v>0</v>
      </c>
      <c r="M267" s="57"/>
      <c r="N267" s="57"/>
      <c r="O267" s="57">
        <f t="shared" si="45"/>
        <v>0</v>
      </c>
      <c r="P267" s="39" t="e">
        <f t="shared" si="36"/>
        <v>#DIV/0!</v>
      </c>
      <c r="Q267" s="40" t="e">
        <f t="shared" si="37"/>
        <v>#DIV/0!</v>
      </c>
      <c r="R267" s="39">
        <f t="shared" si="38"/>
        <v>0</v>
      </c>
      <c r="S267" s="32"/>
      <c r="U267" s="42" t="e">
        <f t="shared" si="39"/>
        <v>#DIV/0!</v>
      </c>
      <c r="V267" s="42" t="e">
        <f t="shared" si="40"/>
        <v>#DIV/0!</v>
      </c>
      <c r="W267" s="42" t="e">
        <f t="shared" si="41"/>
        <v>#DIV/0!</v>
      </c>
    </row>
    <row r="268" spans="1:23" s="28" customFormat="1" ht="33" customHeight="1" x14ac:dyDescent="0.2">
      <c r="A268" s="209" t="s">
        <v>594</v>
      </c>
      <c r="B268" s="209"/>
      <c r="C268" s="209"/>
      <c r="D268" s="209"/>
      <c r="E268" s="209"/>
      <c r="F268" s="209"/>
      <c r="G268" s="209"/>
      <c r="H268" s="209"/>
      <c r="I268" s="209"/>
      <c r="J268" s="209"/>
      <c r="K268" s="209"/>
      <c r="L268" s="209"/>
      <c r="M268" s="209"/>
      <c r="N268" s="209"/>
      <c r="O268" s="209"/>
      <c r="P268" s="209"/>
      <c r="Q268" s="209"/>
      <c r="R268" s="209"/>
      <c r="S268" s="209"/>
      <c r="U268" s="42"/>
      <c r="V268" s="42"/>
      <c r="W268" s="42"/>
    </row>
    <row r="269" spans="1:23" s="28" customFormat="1" ht="45" customHeight="1" x14ac:dyDescent="0.2">
      <c r="A269" s="30"/>
      <c r="B269" s="31" t="s">
        <v>595</v>
      </c>
      <c r="C269" s="32" t="s">
        <v>25</v>
      </c>
      <c r="D269" s="33">
        <v>10</v>
      </c>
      <c r="E269" s="126">
        <v>2928.4</v>
      </c>
      <c r="F269" s="35"/>
      <c r="G269" s="32"/>
      <c r="H269" s="38"/>
      <c r="I269" s="38">
        <f t="shared" ref="I269:I295" si="46">D269*H269</f>
        <v>0</v>
      </c>
      <c r="J269" s="38"/>
      <c r="K269" s="38"/>
      <c r="L269" s="38">
        <f t="shared" ref="L269:L295" si="47">D269*K269</f>
        <v>0</v>
      </c>
      <c r="M269" s="32"/>
      <c r="N269" s="38"/>
      <c r="O269" s="38">
        <f t="shared" ref="O269:O295" si="48">D269*N269</f>
        <v>0</v>
      </c>
      <c r="P269" s="39" t="e">
        <f t="shared" ref="P269:P295" si="49">AVERAGE(H269,K269,N269)</f>
        <v>#DIV/0!</v>
      </c>
      <c r="Q269" s="40" t="e">
        <f t="shared" ref="Q269:Q295" si="50">F269*100/P269-100</f>
        <v>#DIV/0!</v>
      </c>
      <c r="R269" s="39">
        <f t="shared" ref="R269:R295" si="51">D269*F269</f>
        <v>0</v>
      </c>
      <c r="S269" s="32"/>
      <c r="U269" s="42" t="e">
        <f t="shared" ref="U269:U296" si="52">ROUND(H269*100/P269-100,0)</f>
        <v>#DIV/0!</v>
      </c>
      <c r="V269" s="42" t="e">
        <f t="shared" ref="V269:V296" si="53">ROUND(K269*100/P269-100,0)</f>
        <v>#DIV/0!</v>
      </c>
      <c r="W269" s="42" t="e">
        <f t="shared" ref="W269:W296" si="54">ROUND(N269*100/P269-100,0)</f>
        <v>#DIV/0!</v>
      </c>
    </row>
    <row r="270" spans="1:23" s="28" customFormat="1" ht="45" customHeight="1" x14ac:dyDescent="0.2">
      <c r="A270" s="30"/>
      <c r="B270" s="31" t="s">
        <v>596</v>
      </c>
      <c r="C270" s="32" t="s">
        <v>25</v>
      </c>
      <c r="D270" s="32">
        <v>31</v>
      </c>
      <c r="E270" s="126">
        <v>10103.6</v>
      </c>
      <c r="F270" s="35"/>
      <c r="G270" s="32"/>
      <c r="H270" s="38"/>
      <c r="I270" s="57">
        <f t="shared" si="46"/>
        <v>0</v>
      </c>
      <c r="J270" s="32"/>
      <c r="K270" s="57"/>
      <c r="L270" s="57">
        <f t="shared" si="47"/>
        <v>0</v>
      </c>
      <c r="M270" s="57"/>
      <c r="N270" s="57"/>
      <c r="O270" s="57">
        <f t="shared" si="48"/>
        <v>0</v>
      </c>
      <c r="P270" s="39" t="e">
        <f t="shared" si="49"/>
        <v>#DIV/0!</v>
      </c>
      <c r="Q270" s="40" t="e">
        <f t="shared" si="50"/>
        <v>#DIV/0!</v>
      </c>
      <c r="R270" s="39">
        <f t="shared" si="51"/>
        <v>0</v>
      </c>
      <c r="S270" s="32"/>
      <c r="U270" s="42" t="e">
        <f t="shared" si="52"/>
        <v>#DIV/0!</v>
      </c>
      <c r="V270" s="42" t="e">
        <f t="shared" si="53"/>
        <v>#DIV/0!</v>
      </c>
      <c r="W270" s="42" t="e">
        <f t="shared" si="54"/>
        <v>#DIV/0!</v>
      </c>
    </row>
    <row r="271" spans="1:23" s="28" customFormat="1" ht="45" customHeight="1" x14ac:dyDescent="0.2">
      <c r="A271" s="30"/>
      <c r="B271" s="31" t="s">
        <v>137</v>
      </c>
      <c r="C271" s="32" t="s">
        <v>25</v>
      </c>
      <c r="D271" s="32">
        <v>48</v>
      </c>
      <c r="E271" s="126">
        <v>1361.15</v>
      </c>
      <c r="F271" s="35"/>
      <c r="G271" s="32"/>
      <c r="H271" s="38"/>
      <c r="I271" s="57">
        <f t="shared" si="46"/>
        <v>0</v>
      </c>
      <c r="J271" s="32"/>
      <c r="K271" s="57"/>
      <c r="L271" s="57">
        <f t="shared" si="47"/>
        <v>0</v>
      </c>
      <c r="M271" s="57"/>
      <c r="N271" s="57"/>
      <c r="O271" s="57">
        <f t="shared" si="48"/>
        <v>0</v>
      </c>
      <c r="P271" s="39" t="e">
        <f t="shared" si="49"/>
        <v>#DIV/0!</v>
      </c>
      <c r="Q271" s="40" t="e">
        <f t="shared" si="50"/>
        <v>#DIV/0!</v>
      </c>
      <c r="R271" s="39">
        <f t="shared" si="51"/>
        <v>0</v>
      </c>
      <c r="S271" s="32"/>
      <c r="U271" s="42" t="e">
        <f t="shared" si="52"/>
        <v>#DIV/0!</v>
      </c>
      <c r="V271" s="42" t="e">
        <f t="shared" si="53"/>
        <v>#DIV/0!</v>
      </c>
      <c r="W271" s="42" t="e">
        <f t="shared" si="54"/>
        <v>#DIV/0!</v>
      </c>
    </row>
    <row r="272" spans="1:23" s="28" customFormat="1" ht="45" customHeight="1" x14ac:dyDescent="0.2">
      <c r="A272" s="30"/>
      <c r="B272" s="31" t="s">
        <v>597</v>
      </c>
      <c r="C272" s="32" t="s">
        <v>25</v>
      </c>
      <c r="D272" s="32">
        <v>75</v>
      </c>
      <c r="E272" s="126">
        <v>15087.84</v>
      </c>
      <c r="F272" s="35"/>
      <c r="G272" s="32"/>
      <c r="H272" s="38"/>
      <c r="I272" s="57">
        <f t="shared" si="46"/>
        <v>0</v>
      </c>
      <c r="J272" s="32"/>
      <c r="K272" s="57"/>
      <c r="L272" s="57">
        <f t="shared" si="47"/>
        <v>0</v>
      </c>
      <c r="M272" s="57"/>
      <c r="N272" s="57"/>
      <c r="O272" s="57">
        <f t="shared" si="48"/>
        <v>0</v>
      </c>
      <c r="P272" s="39" t="e">
        <f t="shared" si="49"/>
        <v>#DIV/0!</v>
      </c>
      <c r="Q272" s="40" t="e">
        <f t="shared" si="50"/>
        <v>#DIV/0!</v>
      </c>
      <c r="R272" s="39">
        <f t="shared" si="51"/>
        <v>0</v>
      </c>
      <c r="S272" s="32"/>
      <c r="U272" s="42" t="e">
        <f t="shared" si="52"/>
        <v>#DIV/0!</v>
      </c>
      <c r="V272" s="42" t="e">
        <f t="shared" si="53"/>
        <v>#DIV/0!</v>
      </c>
      <c r="W272" s="42" t="e">
        <f t="shared" si="54"/>
        <v>#DIV/0!</v>
      </c>
    </row>
    <row r="273" spans="1:23" s="28" customFormat="1" ht="45" customHeight="1" x14ac:dyDescent="0.2">
      <c r="A273" s="30"/>
      <c r="B273" s="31" t="s">
        <v>598</v>
      </c>
      <c r="C273" s="32" t="s">
        <v>25</v>
      </c>
      <c r="D273" s="32">
        <v>21</v>
      </c>
      <c r="E273" s="126">
        <v>1361.34</v>
      </c>
      <c r="F273" s="35"/>
      <c r="G273" s="32"/>
      <c r="H273" s="38"/>
      <c r="I273" s="57">
        <f t="shared" si="46"/>
        <v>0</v>
      </c>
      <c r="J273" s="32"/>
      <c r="K273" s="57"/>
      <c r="L273" s="57">
        <f t="shared" si="47"/>
        <v>0</v>
      </c>
      <c r="M273" s="57"/>
      <c r="N273" s="57"/>
      <c r="O273" s="57">
        <f t="shared" si="48"/>
        <v>0</v>
      </c>
      <c r="P273" s="39" t="e">
        <f t="shared" si="49"/>
        <v>#DIV/0!</v>
      </c>
      <c r="Q273" s="40" t="e">
        <f t="shared" si="50"/>
        <v>#DIV/0!</v>
      </c>
      <c r="R273" s="39">
        <f t="shared" si="51"/>
        <v>0</v>
      </c>
      <c r="S273" s="32"/>
      <c r="U273" s="42" t="e">
        <f t="shared" si="52"/>
        <v>#DIV/0!</v>
      </c>
      <c r="V273" s="42" t="e">
        <f t="shared" si="53"/>
        <v>#DIV/0!</v>
      </c>
      <c r="W273" s="42" t="e">
        <f t="shared" si="54"/>
        <v>#DIV/0!</v>
      </c>
    </row>
    <row r="274" spans="1:23" s="28" customFormat="1" ht="45" customHeight="1" x14ac:dyDescent="0.2">
      <c r="A274" s="30"/>
      <c r="B274" s="31" t="s">
        <v>599</v>
      </c>
      <c r="C274" s="32" t="s">
        <v>25</v>
      </c>
      <c r="D274" s="32">
        <v>300</v>
      </c>
      <c r="E274" s="126" t="s">
        <v>504</v>
      </c>
      <c r="F274" s="35"/>
      <c r="G274" s="32"/>
      <c r="H274" s="38"/>
      <c r="I274" s="57">
        <f t="shared" si="46"/>
        <v>0</v>
      </c>
      <c r="J274" s="32"/>
      <c r="K274" s="57"/>
      <c r="L274" s="57">
        <f t="shared" si="47"/>
        <v>0</v>
      </c>
      <c r="M274" s="57"/>
      <c r="N274" s="57"/>
      <c r="O274" s="57">
        <f t="shared" si="48"/>
        <v>0</v>
      </c>
      <c r="P274" s="39" t="e">
        <f t="shared" si="49"/>
        <v>#DIV/0!</v>
      </c>
      <c r="Q274" s="40" t="e">
        <f t="shared" si="50"/>
        <v>#DIV/0!</v>
      </c>
      <c r="R274" s="39">
        <f t="shared" si="51"/>
        <v>0</v>
      </c>
      <c r="S274" s="32"/>
      <c r="U274" s="42" t="e">
        <f t="shared" si="52"/>
        <v>#DIV/0!</v>
      </c>
      <c r="V274" s="42" t="e">
        <f t="shared" si="53"/>
        <v>#DIV/0!</v>
      </c>
      <c r="W274" s="42" t="e">
        <f t="shared" si="54"/>
        <v>#DIV/0!</v>
      </c>
    </row>
    <row r="275" spans="1:23" s="28" customFormat="1" ht="73.5" customHeight="1" x14ac:dyDescent="0.2">
      <c r="A275" s="30"/>
      <c r="B275" s="31" t="s">
        <v>153</v>
      </c>
      <c r="C275" s="32" t="s">
        <v>535</v>
      </c>
      <c r="D275" s="32">
        <v>1.35</v>
      </c>
      <c r="E275" s="126">
        <v>253560</v>
      </c>
      <c r="F275" s="35"/>
      <c r="G275" s="32"/>
      <c r="H275" s="38"/>
      <c r="I275" s="57">
        <f t="shared" si="46"/>
        <v>0</v>
      </c>
      <c r="J275" s="32"/>
      <c r="K275" s="57"/>
      <c r="L275" s="57">
        <f t="shared" si="47"/>
        <v>0</v>
      </c>
      <c r="M275" s="57"/>
      <c r="N275" s="57"/>
      <c r="O275" s="57">
        <f t="shared" si="48"/>
        <v>0</v>
      </c>
      <c r="P275" s="39" t="e">
        <f t="shared" si="49"/>
        <v>#DIV/0!</v>
      </c>
      <c r="Q275" s="40" t="e">
        <f t="shared" si="50"/>
        <v>#DIV/0!</v>
      </c>
      <c r="R275" s="39">
        <f t="shared" si="51"/>
        <v>0</v>
      </c>
      <c r="S275" s="32"/>
      <c r="U275" s="42" t="e">
        <f t="shared" si="52"/>
        <v>#DIV/0!</v>
      </c>
      <c r="V275" s="42" t="e">
        <f t="shared" si="53"/>
        <v>#DIV/0!</v>
      </c>
      <c r="W275" s="42" t="e">
        <f t="shared" si="54"/>
        <v>#DIV/0!</v>
      </c>
    </row>
    <row r="276" spans="1:23" s="28" customFormat="1" ht="84" customHeight="1" x14ac:dyDescent="0.2">
      <c r="A276" s="30"/>
      <c r="B276" s="31" t="s">
        <v>600</v>
      </c>
      <c r="C276" s="32" t="s">
        <v>392</v>
      </c>
      <c r="D276" s="32">
        <v>360</v>
      </c>
      <c r="E276" s="126" t="s">
        <v>504</v>
      </c>
      <c r="F276" s="35"/>
      <c r="G276" s="32"/>
      <c r="H276" s="38"/>
      <c r="I276" s="57">
        <f t="shared" si="46"/>
        <v>0</v>
      </c>
      <c r="J276" s="32"/>
      <c r="K276" s="57"/>
      <c r="L276" s="57">
        <f t="shared" si="47"/>
        <v>0</v>
      </c>
      <c r="M276" s="57"/>
      <c r="N276" s="57"/>
      <c r="O276" s="57">
        <f t="shared" si="48"/>
        <v>0</v>
      </c>
      <c r="P276" s="39" t="e">
        <f t="shared" si="49"/>
        <v>#DIV/0!</v>
      </c>
      <c r="Q276" s="40" t="e">
        <f t="shared" si="50"/>
        <v>#DIV/0!</v>
      </c>
      <c r="R276" s="39">
        <f t="shared" si="51"/>
        <v>0</v>
      </c>
      <c r="S276" s="32"/>
      <c r="U276" s="42" t="e">
        <f t="shared" si="52"/>
        <v>#DIV/0!</v>
      </c>
      <c r="V276" s="42" t="e">
        <f t="shared" si="53"/>
        <v>#DIV/0!</v>
      </c>
      <c r="W276" s="42" t="e">
        <f t="shared" si="54"/>
        <v>#DIV/0!</v>
      </c>
    </row>
    <row r="277" spans="1:23" s="28" customFormat="1" ht="50.25" customHeight="1" x14ac:dyDescent="0.2">
      <c r="A277" s="30"/>
      <c r="B277" s="31" t="s">
        <v>601</v>
      </c>
      <c r="C277" s="32" t="s">
        <v>602</v>
      </c>
      <c r="D277" s="32">
        <v>81</v>
      </c>
      <c r="E277" s="126" t="s">
        <v>504</v>
      </c>
      <c r="F277" s="35"/>
      <c r="G277" s="32"/>
      <c r="H277" s="38"/>
      <c r="I277" s="57">
        <f t="shared" si="46"/>
        <v>0</v>
      </c>
      <c r="J277" s="32"/>
      <c r="K277" s="57"/>
      <c r="L277" s="57">
        <f t="shared" si="47"/>
        <v>0</v>
      </c>
      <c r="M277" s="57"/>
      <c r="N277" s="57"/>
      <c r="O277" s="57">
        <f t="shared" si="48"/>
        <v>0</v>
      </c>
      <c r="P277" s="39" t="e">
        <f t="shared" si="49"/>
        <v>#DIV/0!</v>
      </c>
      <c r="Q277" s="40" t="e">
        <f t="shared" si="50"/>
        <v>#DIV/0!</v>
      </c>
      <c r="R277" s="39">
        <f t="shared" si="51"/>
        <v>0</v>
      </c>
      <c r="S277" s="32"/>
      <c r="U277" s="42" t="e">
        <f t="shared" si="52"/>
        <v>#DIV/0!</v>
      </c>
      <c r="V277" s="42" t="e">
        <f t="shared" si="53"/>
        <v>#DIV/0!</v>
      </c>
      <c r="W277" s="42" t="e">
        <f t="shared" si="54"/>
        <v>#DIV/0!</v>
      </c>
    </row>
    <row r="278" spans="1:23" s="28" customFormat="1" ht="50.25" customHeight="1" x14ac:dyDescent="0.2">
      <c r="A278" s="30"/>
      <c r="B278" s="31" t="s">
        <v>296</v>
      </c>
      <c r="C278" s="32" t="s">
        <v>25</v>
      </c>
      <c r="D278" s="32">
        <v>40</v>
      </c>
      <c r="E278" s="126">
        <v>402.64</v>
      </c>
      <c r="F278" s="35"/>
      <c r="G278" s="32"/>
      <c r="H278" s="38"/>
      <c r="I278" s="57">
        <f t="shared" si="46"/>
        <v>0</v>
      </c>
      <c r="J278" s="32"/>
      <c r="K278" s="57"/>
      <c r="L278" s="57">
        <f t="shared" si="47"/>
        <v>0</v>
      </c>
      <c r="M278" s="57"/>
      <c r="N278" s="57"/>
      <c r="O278" s="57">
        <f t="shared" si="48"/>
        <v>0</v>
      </c>
      <c r="P278" s="39" t="e">
        <f t="shared" si="49"/>
        <v>#DIV/0!</v>
      </c>
      <c r="Q278" s="40" t="e">
        <f t="shared" si="50"/>
        <v>#DIV/0!</v>
      </c>
      <c r="R278" s="39">
        <f t="shared" si="51"/>
        <v>0</v>
      </c>
      <c r="S278" s="32"/>
      <c r="U278" s="42" t="e">
        <f t="shared" si="52"/>
        <v>#DIV/0!</v>
      </c>
      <c r="V278" s="42" t="e">
        <f t="shared" si="53"/>
        <v>#DIV/0!</v>
      </c>
      <c r="W278" s="42" t="e">
        <f t="shared" si="54"/>
        <v>#DIV/0!</v>
      </c>
    </row>
    <row r="279" spans="1:23" s="28" customFormat="1" ht="50.25" customHeight="1" x14ac:dyDescent="0.2">
      <c r="A279" s="30"/>
      <c r="B279" s="31" t="s">
        <v>301</v>
      </c>
      <c r="C279" s="32" t="s">
        <v>25</v>
      </c>
      <c r="D279" s="32">
        <v>30</v>
      </c>
      <c r="E279" s="126">
        <v>1017.48</v>
      </c>
      <c r="F279" s="35"/>
      <c r="G279" s="32"/>
      <c r="H279" s="38"/>
      <c r="I279" s="57">
        <f t="shared" si="46"/>
        <v>0</v>
      </c>
      <c r="J279" s="32"/>
      <c r="K279" s="57"/>
      <c r="L279" s="57">
        <f t="shared" si="47"/>
        <v>0</v>
      </c>
      <c r="M279" s="57"/>
      <c r="N279" s="57"/>
      <c r="O279" s="57">
        <f t="shared" si="48"/>
        <v>0</v>
      </c>
      <c r="P279" s="39" t="e">
        <f t="shared" si="49"/>
        <v>#DIV/0!</v>
      </c>
      <c r="Q279" s="40" t="e">
        <f t="shared" si="50"/>
        <v>#DIV/0!</v>
      </c>
      <c r="R279" s="39">
        <f t="shared" si="51"/>
        <v>0</v>
      </c>
      <c r="S279" s="32"/>
      <c r="U279" s="42" t="e">
        <f t="shared" si="52"/>
        <v>#DIV/0!</v>
      </c>
      <c r="V279" s="42" t="e">
        <f t="shared" si="53"/>
        <v>#DIV/0!</v>
      </c>
      <c r="W279" s="42" t="e">
        <f t="shared" si="54"/>
        <v>#DIV/0!</v>
      </c>
    </row>
    <row r="280" spans="1:23" s="28" customFormat="1" ht="50.25" customHeight="1" x14ac:dyDescent="0.2">
      <c r="A280" s="30"/>
      <c r="B280" s="31" t="s">
        <v>306</v>
      </c>
      <c r="C280" s="32" t="s">
        <v>25</v>
      </c>
      <c r="D280" s="32">
        <v>36</v>
      </c>
      <c r="E280" s="126">
        <v>19950.740000000002</v>
      </c>
      <c r="F280" s="35"/>
      <c r="G280" s="32"/>
      <c r="H280" s="38"/>
      <c r="I280" s="57">
        <f t="shared" si="46"/>
        <v>0</v>
      </c>
      <c r="J280" s="32"/>
      <c r="K280" s="57"/>
      <c r="L280" s="57">
        <f t="shared" si="47"/>
        <v>0</v>
      </c>
      <c r="M280" s="57"/>
      <c r="N280" s="57"/>
      <c r="O280" s="57">
        <f t="shared" si="48"/>
        <v>0</v>
      </c>
      <c r="P280" s="39" t="e">
        <f t="shared" si="49"/>
        <v>#DIV/0!</v>
      </c>
      <c r="Q280" s="40" t="e">
        <f t="shared" si="50"/>
        <v>#DIV/0!</v>
      </c>
      <c r="R280" s="39">
        <f t="shared" si="51"/>
        <v>0</v>
      </c>
      <c r="S280" s="32"/>
      <c r="U280" s="42" t="e">
        <f t="shared" si="52"/>
        <v>#DIV/0!</v>
      </c>
      <c r="V280" s="42" t="e">
        <f t="shared" si="53"/>
        <v>#DIV/0!</v>
      </c>
      <c r="W280" s="42" t="e">
        <f t="shared" si="54"/>
        <v>#DIV/0!</v>
      </c>
    </row>
    <row r="281" spans="1:23" s="28" customFormat="1" ht="50.25" customHeight="1" x14ac:dyDescent="0.2">
      <c r="A281" s="30"/>
      <c r="B281" s="31" t="s">
        <v>309</v>
      </c>
      <c r="C281" s="32" t="s">
        <v>25</v>
      </c>
      <c r="D281" s="32">
        <v>2</v>
      </c>
      <c r="E281" s="126">
        <v>21351</v>
      </c>
      <c r="F281" s="35"/>
      <c r="G281" s="32"/>
      <c r="H281" s="38"/>
      <c r="I281" s="57">
        <f t="shared" si="46"/>
        <v>0</v>
      </c>
      <c r="J281" s="32"/>
      <c r="K281" s="57"/>
      <c r="L281" s="57">
        <f t="shared" si="47"/>
        <v>0</v>
      </c>
      <c r="M281" s="57"/>
      <c r="N281" s="57"/>
      <c r="O281" s="57">
        <f t="shared" si="48"/>
        <v>0</v>
      </c>
      <c r="P281" s="39" t="e">
        <f t="shared" si="49"/>
        <v>#DIV/0!</v>
      </c>
      <c r="Q281" s="40" t="e">
        <f t="shared" si="50"/>
        <v>#DIV/0!</v>
      </c>
      <c r="R281" s="39">
        <f t="shared" si="51"/>
        <v>0</v>
      </c>
      <c r="S281" s="32"/>
      <c r="U281" s="42" t="e">
        <f t="shared" si="52"/>
        <v>#DIV/0!</v>
      </c>
      <c r="V281" s="42" t="e">
        <f t="shared" si="53"/>
        <v>#DIV/0!</v>
      </c>
      <c r="W281" s="42" t="e">
        <f t="shared" si="54"/>
        <v>#DIV/0!</v>
      </c>
    </row>
    <row r="282" spans="1:23" s="28" customFormat="1" ht="50.25" customHeight="1" x14ac:dyDescent="0.2">
      <c r="A282" s="30"/>
      <c r="B282" s="31" t="s">
        <v>312</v>
      </c>
      <c r="C282" s="32" t="s">
        <v>25</v>
      </c>
      <c r="D282" s="32">
        <v>6</v>
      </c>
      <c r="E282" s="126">
        <v>144835.70000000001</v>
      </c>
      <c r="F282" s="35"/>
      <c r="G282" s="32"/>
      <c r="H282" s="38"/>
      <c r="I282" s="57">
        <f t="shared" si="46"/>
        <v>0</v>
      </c>
      <c r="J282" s="32"/>
      <c r="K282" s="57"/>
      <c r="L282" s="57">
        <f t="shared" si="47"/>
        <v>0</v>
      </c>
      <c r="M282" s="57"/>
      <c r="N282" s="57"/>
      <c r="O282" s="57">
        <f t="shared" si="48"/>
        <v>0</v>
      </c>
      <c r="P282" s="39" t="e">
        <f t="shared" si="49"/>
        <v>#DIV/0!</v>
      </c>
      <c r="Q282" s="40" t="e">
        <f t="shared" si="50"/>
        <v>#DIV/0!</v>
      </c>
      <c r="R282" s="39">
        <f t="shared" si="51"/>
        <v>0</v>
      </c>
      <c r="S282" s="32"/>
      <c r="U282" s="42" t="e">
        <f t="shared" si="52"/>
        <v>#DIV/0!</v>
      </c>
      <c r="V282" s="42" t="e">
        <f t="shared" si="53"/>
        <v>#DIV/0!</v>
      </c>
      <c r="W282" s="42" t="e">
        <f t="shared" si="54"/>
        <v>#DIV/0!</v>
      </c>
    </row>
    <row r="283" spans="1:23" s="28" customFormat="1" ht="50.25" customHeight="1" x14ac:dyDescent="0.2">
      <c r="A283" s="30"/>
      <c r="B283" s="31" t="s">
        <v>603</v>
      </c>
      <c r="C283" s="32" t="s">
        <v>45</v>
      </c>
      <c r="D283" s="32">
        <v>6</v>
      </c>
      <c r="E283" s="126" t="s">
        <v>504</v>
      </c>
      <c r="F283" s="35"/>
      <c r="G283" s="32"/>
      <c r="H283" s="38"/>
      <c r="I283" s="57">
        <f t="shared" si="46"/>
        <v>0</v>
      </c>
      <c r="J283" s="32"/>
      <c r="K283" s="57"/>
      <c r="L283" s="57">
        <f t="shared" si="47"/>
        <v>0</v>
      </c>
      <c r="M283" s="57"/>
      <c r="N283" s="57"/>
      <c r="O283" s="57">
        <f t="shared" si="48"/>
        <v>0</v>
      </c>
      <c r="P283" s="39" t="e">
        <f t="shared" si="49"/>
        <v>#DIV/0!</v>
      </c>
      <c r="Q283" s="40" t="e">
        <f t="shared" si="50"/>
        <v>#DIV/0!</v>
      </c>
      <c r="R283" s="39">
        <f t="shared" si="51"/>
        <v>0</v>
      </c>
      <c r="S283" s="32"/>
      <c r="U283" s="42" t="e">
        <f t="shared" si="52"/>
        <v>#DIV/0!</v>
      </c>
      <c r="V283" s="42" t="e">
        <f t="shared" si="53"/>
        <v>#DIV/0!</v>
      </c>
      <c r="W283" s="42" t="e">
        <f t="shared" si="54"/>
        <v>#DIV/0!</v>
      </c>
    </row>
    <row r="284" spans="1:23" s="28" customFormat="1" ht="49.5" customHeight="1" x14ac:dyDescent="0.2">
      <c r="A284" s="30"/>
      <c r="B284" s="31" t="s">
        <v>604</v>
      </c>
      <c r="C284" s="32" t="s">
        <v>25</v>
      </c>
      <c r="D284" s="32">
        <v>20</v>
      </c>
      <c r="E284" s="126" t="s">
        <v>504</v>
      </c>
      <c r="F284" s="35"/>
      <c r="G284" s="32"/>
      <c r="H284" s="38"/>
      <c r="I284" s="57">
        <f t="shared" si="46"/>
        <v>0</v>
      </c>
      <c r="J284" s="32"/>
      <c r="K284" s="57"/>
      <c r="L284" s="57">
        <f t="shared" si="47"/>
        <v>0</v>
      </c>
      <c r="M284" s="57"/>
      <c r="N284" s="57"/>
      <c r="O284" s="57">
        <f t="shared" si="48"/>
        <v>0</v>
      </c>
      <c r="P284" s="39" t="e">
        <f t="shared" si="49"/>
        <v>#DIV/0!</v>
      </c>
      <c r="Q284" s="40" t="e">
        <f t="shared" si="50"/>
        <v>#DIV/0!</v>
      </c>
      <c r="R284" s="39">
        <f t="shared" si="51"/>
        <v>0</v>
      </c>
      <c r="S284" s="32"/>
      <c r="U284" s="42" t="e">
        <f t="shared" si="52"/>
        <v>#DIV/0!</v>
      </c>
      <c r="V284" s="42" t="e">
        <f t="shared" si="53"/>
        <v>#DIV/0!</v>
      </c>
      <c r="W284" s="42" t="e">
        <f t="shared" si="54"/>
        <v>#DIV/0!</v>
      </c>
    </row>
    <row r="285" spans="1:23" s="28" customFormat="1" ht="49.5" customHeight="1" x14ac:dyDescent="0.2">
      <c r="A285" s="30"/>
      <c r="B285" s="31" t="s">
        <v>605</v>
      </c>
      <c r="C285" s="32" t="s">
        <v>25</v>
      </c>
      <c r="D285" s="32">
        <v>16</v>
      </c>
      <c r="E285" s="126" t="s">
        <v>504</v>
      </c>
      <c r="F285" s="35"/>
      <c r="G285" s="32"/>
      <c r="H285" s="38"/>
      <c r="I285" s="57">
        <f t="shared" si="46"/>
        <v>0</v>
      </c>
      <c r="J285" s="32"/>
      <c r="K285" s="57"/>
      <c r="L285" s="57">
        <f t="shared" si="47"/>
        <v>0</v>
      </c>
      <c r="M285" s="57"/>
      <c r="N285" s="57"/>
      <c r="O285" s="57">
        <f t="shared" si="48"/>
        <v>0</v>
      </c>
      <c r="P285" s="39" t="e">
        <f t="shared" si="49"/>
        <v>#DIV/0!</v>
      </c>
      <c r="Q285" s="40" t="e">
        <f t="shared" si="50"/>
        <v>#DIV/0!</v>
      </c>
      <c r="R285" s="39">
        <f t="shared" si="51"/>
        <v>0</v>
      </c>
      <c r="S285" s="32"/>
      <c r="U285" s="42" t="e">
        <f t="shared" si="52"/>
        <v>#DIV/0!</v>
      </c>
      <c r="V285" s="42" t="e">
        <f t="shared" si="53"/>
        <v>#DIV/0!</v>
      </c>
      <c r="W285" s="42" t="e">
        <f t="shared" si="54"/>
        <v>#DIV/0!</v>
      </c>
    </row>
    <row r="286" spans="1:23" s="28" customFormat="1" ht="92.25" customHeight="1" x14ac:dyDescent="0.2">
      <c r="A286" s="30"/>
      <c r="B286" s="31" t="s">
        <v>355</v>
      </c>
      <c r="C286" s="32" t="s">
        <v>25</v>
      </c>
      <c r="D286" s="32">
        <v>76</v>
      </c>
      <c r="E286" s="126">
        <v>17795.68</v>
      </c>
      <c r="F286" s="35"/>
      <c r="G286" s="32"/>
      <c r="H286" s="38"/>
      <c r="I286" s="57">
        <f t="shared" si="46"/>
        <v>0</v>
      </c>
      <c r="J286" s="32"/>
      <c r="K286" s="57"/>
      <c r="L286" s="57">
        <f t="shared" si="47"/>
        <v>0</v>
      </c>
      <c r="M286" s="57"/>
      <c r="N286" s="57"/>
      <c r="O286" s="57">
        <f t="shared" si="48"/>
        <v>0</v>
      </c>
      <c r="P286" s="39" t="e">
        <f t="shared" si="49"/>
        <v>#DIV/0!</v>
      </c>
      <c r="Q286" s="40" t="e">
        <f t="shared" si="50"/>
        <v>#DIV/0!</v>
      </c>
      <c r="R286" s="39">
        <f t="shared" si="51"/>
        <v>0</v>
      </c>
      <c r="S286" s="32"/>
      <c r="U286" s="42" t="e">
        <f t="shared" si="52"/>
        <v>#DIV/0!</v>
      </c>
      <c r="V286" s="42" t="e">
        <f t="shared" si="53"/>
        <v>#DIV/0!</v>
      </c>
      <c r="W286" s="42" t="e">
        <f t="shared" si="54"/>
        <v>#DIV/0!</v>
      </c>
    </row>
    <row r="287" spans="1:23" s="28" customFormat="1" ht="48" customHeight="1" x14ac:dyDescent="0.2">
      <c r="A287" s="30"/>
      <c r="B287" s="31" t="s">
        <v>357</v>
      </c>
      <c r="C287" s="32" t="s">
        <v>25</v>
      </c>
      <c r="D287" s="32">
        <v>71</v>
      </c>
      <c r="E287" s="126">
        <v>6160.34</v>
      </c>
      <c r="F287" s="35"/>
      <c r="G287" s="32"/>
      <c r="H287" s="38"/>
      <c r="I287" s="57">
        <f t="shared" si="46"/>
        <v>0</v>
      </c>
      <c r="J287" s="32"/>
      <c r="K287" s="57"/>
      <c r="L287" s="57">
        <f t="shared" si="47"/>
        <v>0</v>
      </c>
      <c r="M287" s="57"/>
      <c r="N287" s="57"/>
      <c r="O287" s="57">
        <f t="shared" si="48"/>
        <v>0</v>
      </c>
      <c r="P287" s="39" t="e">
        <f t="shared" si="49"/>
        <v>#DIV/0!</v>
      </c>
      <c r="Q287" s="40" t="e">
        <f t="shared" si="50"/>
        <v>#DIV/0!</v>
      </c>
      <c r="R287" s="39">
        <f t="shared" si="51"/>
        <v>0</v>
      </c>
      <c r="S287" s="32"/>
      <c r="U287" s="42" t="e">
        <f t="shared" si="52"/>
        <v>#DIV/0!</v>
      </c>
      <c r="V287" s="42" t="e">
        <f t="shared" si="53"/>
        <v>#DIV/0!</v>
      </c>
      <c r="W287" s="42" t="e">
        <f t="shared" si="54"/>
        <v>#DIV/0!</v>
      </c>
    </row>
    <row r="288" spans="1:23" s="28" customFormat="1" ht="48" customHeight="1" x14ac:dyDescent="0.2">
      <c r="A288" s="30"/>
      <c r="B288" s="31" t="s">
        <v>360</v>
      </c>
      <c r="C288" s="32" t="s">
        <v>25</v>
      </c>
      <c r="D288" s="32">
        <v>10</v>
      </c>
      <c r="E288" s="126">
        <v>11227.31</v>
      </c>
      <c r="F288" s="35"/>
      <c r="G288" s="32"/>
      <c r="H288" s="38"/>
      <c r="I288" s="57">
        <f t="shared" si="46"/>
        <v>0</v>
      </c>
      <c r="J288" s="32"/>
      <c r="K288" s="57"/>
      <c r="L288" s="57">
        <f t="shared" si="47"/>
        <v>0</v>
      </c>
      <c r="M288" s="57"/>
      <c r="N288" s="57"/>
      <c r="O288" s="57">
        <f t="shared" si="48"/>
        <v>0</v>
      </c>
      <c r="P288" s="39" t="e">
        <f t="shared" si="49"/>
        <v>#DIV/0!</v>
      </c>
      <c r="Q288" s="40" t="e">
        <f t="shared" si="50"/>
        <v>#DIV/0!</v>
      </c>
      <c r="R288" s="39">
        <f t="shared" si="51"/>
        <v>0</v>
      </c>
      <c r="S288" s="32"/>
      <c r="U288" s="42" t="e">
        <f t="shared" si="52"/>
        <v>#DIV/0!</v>
      </c>
      <c r="V288" s="42" t="e">
        <f t="shared" si="53"/>
        <v>#DIV/0!</v>
      </c>
      <c r="W288" s="42" t="e">
        <f t="shared" si="54"/>
        <v>#DIV/0!</v>
      </c>
    </row>
    <row r="289" spans="1:23" s="28" customFormat="1" ht="48" customHeight="1" x14ac:dyDescent="0.2">
      <c r="A289" s="30"/>
      <c r="B289" s="31" t="s">
        <v>363</v>
      </c>
      <c r="C289" s="32" t="s">
        <v>25</v>
      </c>
      <c r="D289" s="32">
        <v>14</v>
      </c>
      <c r="E289" s="126">
        <v>37685.879999999997</v>
      </c>
      <c r="F289" s="35"/>
      <c r="G289" s="32"/>
      <c r="H289" s="38"/>
      <c r="I289" s="57">
        <f t="shared" si="46"/>
        <v>0</v>
      </c>
      <c r="J289" s="32"/>
      <c r="K289" s="57"/>
      <c r="L289" s="57">
        <f t="shared" si="47"/>
        <v>0</v>
      </c>
      <c r="M289" s="57"/>
      <c r="N289" s="57"/>
      <c r="O289" s="57">
        <f t="shared" si="48"/>
        <v>0</v>
      </c>
      <c r="P289" s="39" t="e">
        <f t="shared" si="49"/>
        <v>#DIV/0!</v>
      </c>
      <c r="Q289" s="40" t="e">
        <f t="shared" si="50"/>
        <v>#DIV/0!</v>
      </c>
      <c r="R289" s="39">
        <f t="shared" si="51"/>
        <v>0</v>
      </c>
      <c r="S289" s="32"/>
      <c r="U289" s="42" t="e">
        <f t="shared" si="52"/>
        <v>#DIV/0!</v>
      </c>
      <c r="V289" s="42" t="e">
        <f t="shared" si="53"/>
        <v>#DIV/0!</v>
      </c>
      <c r="W289" s="42" t="e">
        <f t="shared" si="54"/>
        <v>#DIV/0!</v>
      </c>
    </row>
    <row r="290" spans="1:23" s="28" customFormat="1" ht="48" customHeight="1" x14ac:dyDescent="0.2">
      <c r="A290" s="30"/>
      <c r="B290" s="31" t="s">
        <v>364</v>
      </c>
      <c r="C290" s="32" t="s">
        <v>25</v>
      </c>
      <c r="D290" s="32">
        <v>180</v>
      </c>
      <c r="E290" s="126">
        <v>14297.31</v>
      </c>
      <c r="F290" s="35"/>
      <c r="G290" s="32"/>
      <c r="H290" s="38"/>
      <c r="I290" s="57">
        <f t="shared" si="46"/>
        <v>0</v>
      </c>
      <c r="J290" s="32"/>
      <c r="K290" s="57"/>
      <c r="L290" s="57">
        <f t="shared" si="47"/>
        <v>0</v>
      </c>
      <c r="M290" s="57"/>
      <c r="N290" s="57"/>
      <c r="O290" s="57">
        <f t="shared" si="48"/>
        <v>0</v>
      </c>
      <c r="P290" s="39" t="e">
        <f t="shared" si="49"/>
        <v>#DIV/0!</v>
      </c>
      <c r="Q290" s="40" t="e">
        <f t="shared" si="50"/>
        <v>#DIV/0!</v>
      </c>
      <c r="R290" s="39">
        <f t="shared" si="51"/>
        <v>0</v>
      </c>
      <c r="S290" s="32"/>
      <c r="U290" s="42" t="e">
        <f t="shared" si="52"/>
        <v>#DIV/0!</v>
      </c>
      <c r="V290" s="42" t="e">
        <f t="shared" si="53"/>
        <v>#DIV/0!</v>
      </c>
      <c r="W290" s="42" t="e">
        <f t="shared" si="54"/>
        <v>#DIV/0!</v>
      </c>
    </row>
    <row r="291" spans="1:23" s="28" customFormat="1" ht="51.75" customHeight="1" x14ac:dyDescent="0.2">
      <c r="A291" s="30"/>
      <c r="B291" s="31" t="s">
        <v>606</v>
      </c>
      <c r="C291" s="32" t="s">
        <v>25</v>
      </c>
      <c r="D291" s="32">
        <v>10</v>
      </c>
      <c r="E291" s="126">
        <v>10989.9</v>
      </c>
      <c r="F291" s="35"/>
      <c r="G291" s="32"/>
      <c r="H291" s="38"/>
      <c r="I291" s="57">
        <f t="shared" si="46"/>
        <v>0</v>
      </c>
      <c r="J291" s="32"/>
      <c r="K291" s="57"/>
      <c r="L291" s="57">
        <f t="shared" si="47"/>
        <v>0</v>
      </c>
      <c r="M291" s="57"/>
      <c r="N291" s="57"/>
      <c r="O291" s="57">
        <f t="shared" si="48"/>
        <v>0</v>
      </c>
      <c r="P291" s="39" t="e">
        <f t="shared" si="49"/>
        <v>#DIV/0!</v>
      </c>
      <c r="Q291" s="40" t="e">
        <f t="shared" si="50"/>
        <v>#DIV/0!</v>
      </c>
      <c r="R291" s="39">
        <f t="shared" si="51"/>
        <v>0</v>
      </c>
      <c r="S291" s="32"/>
      <c r="U291" s="42" t="e">
        <f t="shared" si="52"/>
        <v>#DIV/0!</v>
      </c>
      <c r="V291" s="42" t="e">
        <f t="shared" si="53"/>
        <v>#DIV/0!</v>
      </c>
      <c r="W291" s="42" t="e">
        <f t="shared" si="54"/>
        <v>#DIV/0!</v>
      </c>
    </row>
    <row r="292" spans="1:23" s="28" customFormat="1" ht="51.75" customHeight="1" x14ac:dyDescent="0.2">
      <c r="A292" s="30"/>
      <c r="B292" s="31" t="s">
        <v>369</v>
      </c>
      <c r="C292" s="32" t="s">
        <v>25</v>
      </c>
      <c r="D292" s="32">
        <v>6</v>
      </c>
      <c r="E292" s="126">
        <v>16354.78</v>
      </c>
      <c r="F292" s="35"/>
      <c r="G292" s="32"/>
      <c r="H292" s="38"/>
      <c r="I292" s="57">
        <f t="shared" si="46"/>
        <v>0</v>
      </c>
      <c r="J292" s="32"/>
      <c r="K292" s="57"/>
      <c r="L292" s="57">
        <f t="shared" si="47"/>
        <v>0</v>
      </c>
      <c r="M292" s="57"/>
      <c r="N292" s="57"/>
      <c r="O292" s="57">
        <f t="shared" si="48"/>
        <v>0</v>
      </c>
      <c r="P292" s="39" t="e">
        <f t="shared" si="49"/>
        <v>#DIV/0!</v>
      </c>
      <c r="Q292" s="40" t="e">
        <f t="shared" si="50"/>
        <v>#DIV/0!</v>
      </c>
      <c r="R292" s="39">
        <f t="shared" si="51"/>
        <v>0</v>
      </c>
      <c r="S292" s="32"/>
      <c r="U292" s="42" t="e">
        <f t="shared" si="52"/>
        <v>#DIV/0!</v>
      </c>
      <c r="V292" s="42" t="e">
        <f t="shared" si="53"/>
        <v>#DIV/0!</v>
      </c>
      <c r="W292" s="42" t="e">
        <f t="shared" si="54"/>
        <v>#DIV/0!</v>
      </c>
    </row>
    <row r="293" spans="1:23" s="28" customFormat="1" ht="51.75" customHeight="1" x14ac:dyDescent="0.2">
      <c r="A293" s="30"/>
      <c r="B293" s="31" t="s">
        <v>567</v>
      </c>
      <c r="C293" s="32" t="s">
        <v>25</v>
      </c>
      <c r="D293" s="32">
        <v>95</v>
      </c>
      <c r="E293" s="126">
        <v>10970.42</v>
      </c>
      <c r="F293" s="35"/>
      <c r="G293" s="32"/>
      <c r="H293" s="38"/>
      <c r="I293" s="57">
        <f t="shared" si="46"/>
        <v>0</v>
      </c>
      <c r="J293" s="32"/>
      <c r="K293" s="57"/>
      <c r="L293" s="57">
        <f t="shared" si="47"/>
        <v>0</v>
      </c>
      <c r="M293" s="57"/>
      <c r="N293" s="57"/>
      <c r="O293" s="57">
        <f t="shared" si="48"/>
        <v>0</v>
      </c>
      <c r="P293" s="39" t="e">
        <f t="shared" si="49"/>
        <v>#DIV/0!</v>
      </c>
      <c r="Q293" s="40" t="e">
        <f t="shared" si="50"/>
        <v>#DIV/0!</v>
      </c>
      <c r="R293" s="39">
        <f t="shared" si="51"/>
        <v>0</v>
      </c>
      <c r="S293" s="32"/>
      <c r="U293" s="42" t="e">
        <f t="shared" si="52"/>
        <v>#DIV/0!</v>
      </c>
      <c r="V293" s="42" t="e">
        <f t="shared" si="53"/>
        <v>#DIV/0!</v>
      </c>
      <c r="W293" s="42" t="e">
        <f t="shared" si="54"/>
        <v>#DIV/0!</v>
      </c>
    </row>
    <row r="294" spans="1:23" s="28" customFormat="1" ht="51.75" customHeight="1" x14ac:dyDescent="0.2">
      <c r="A294" s="30"/>
      <c r="B294" s="31" t="s">
        <v>607</v>
      </c>
      <c r="C294" s="32" t="s">
        <v>25</v>
      </c>
      <c r="D294" s="32">
        <v>26</v>
      </c>
      <c r="E294" s="126">
        <v>85001.4</v>
      </c>
      <c r="F294" s="35"/>
      <c r="G294" s="32"/>
      <c r="H294" s="38"/>
      <c r="I294" s="57">
        <f t="shared" si="46"/>
        <v>0</v>
      </c>
      <c r="J294" s="32"/>
      <c r="K294" s="57"/>
      <c r="L294" s="57">
        <f t="shared" si="47"/>
        <v>0</v>
      </c>
      <c r="M294" s="57"/>
      <c r="N294" s="57"/>
      <c r="O294" s="57">
        <f t="shared" si="48"/>
        <v>0</v>
      </c>
      <c r="P294" s="39" t="e">
        <f t="shared" si="49"/>
        <v>#DIV/0!</v>
      </c>
      <c r="Q294" s="40" t="e">
        <f t="shared" si="50"/>
        <v>#DIV/0!</v>
      </c>
      <c r="R294" s="39">
        <f t="shared" si="51"/>
        <v>0</v>
      </c>
      <c r="S294" s="32"/>
      <c r="U294" s="42" t="e">
        <f t="shared" si="52"/>
        <v>#DIV/0!</v>
      </c>
      <c r="V294" s="42" t="e">
        <f t="shared" si="53"/>
        <v>#DIV/0!</v>
      </c>
      <c r="W294" s="42" t="e">
        <f t="shared" si="54"/>
        <v>#DIV/0!</v>
      </c>
    </row>
    <row r="295" spans="1:23" s="28" customFormat="1" ht="51.75" customHeight="1" x14ac:dyDescent="0.2">
      <c r="A295" s="30"/>
      <c r="B295" s="31" t="s">
        <v>456</v>
      </c>
      <c r="C295" s="32" t="s">
        <v>25</v>
      </c>
      <c r="D295" s="32">
        <v>6</v>
      </c>
      <c r="E295" s="126" t="s">
        <v>504</v>
      </c>
      <c r="F295" s="35"/>
      <c r="G295" s="32"/>
      <c r="H295" s="38"/>
      <c r="I295" s="57">
        <f t="shared" si="46"/>
        <v>0</v>
      </c>
      <c r="J295" s="32"/>
      <c r="K295" s="57"/>
      <c r="L295" s="57">
        <f t="shared" si="47"/>
        <v>0</v>
      </c>
      <c r="M295" s="57"/>
      <c r="N295" s="57"/>
      <c r="O295" s="57">
        <f t="shared" si="48"/>
        <v>0</v>
      </c>
      <c r="P295" s="39" t="e">
        <f t="shared" si="49"/>
        <v>#DIV/0!</v>
      </c>
      <c r="Q295" s="40" t="e">
        <f t="shared" si="50"/>
        <v>#DIV/0!</v>
      </c>
      <c r="R295" s="39">
        <f t="shared" si="51"/>
        <v>0</v>
      </c>
      <c r="S295" s="32"/>
      <c r="U295" s="42" t="e">
        <f t="shared" si="52"/>
        <v>#DIV/0!</v>
      </c>
      <c r="V295" s="42" t="e">
        <f t="shared" si="53"/>
        <v>#DIV/0!</v>
      </c>
      <c r="W295" s="42" t="e">
        <f t="shared" si="54"/>
        <v>#DIV/0!</v>
      </c>
    </row>
    <row r="296" spans="1:23" s="28" customFormat="1" ht="36.75" customHeight="1" x14ac:dyDescent="0.2">
      <c r="A296" s="127"/>
      <c r="B296" s="128"/>
      <c r="C296" s="128"/>
      <c r="D296" s="128"/>
      <c r="E296" s="129"/>
      <c r="F296" s="128"/>
      <c r="G296" s="130">
        <v>1.0309999999999999</v>
      </c>
      <c r="H296" s="130">
        <v>8.98</v>
      </c>
      <c r="I296" s="205" t="s">
        <v>608</v>
      </c>
      <c r="J296" s="205"/>
      <c r="K296" s="205"/>
      <c r="L296" s="205"/>
      <c r="M296" s="128"/>
      <c r="N296" s="128"/>
      <c r="O296" s="128"/>
      <c r="P296" s="128"/>
      <c r="Q296" s="128"/>
      <c r="R296" s="128"/>
      <c r="S296" s="131"/>
      <c r="U296" s="42" t="e">
        <f t="shared" si="52"/>
        <v>#DIV/0!</v>
      </c>
      <c r="V296" s="42" t="e">
        <f t="shared" si="53"/>
        <v>#DIV/0!</v>
      </c>
      <c r="W296" s="42" t="e">
        <f t="shared" si="54"/>
        <v>#DIV/0!</v>
      </c>
    </row>
    <row r="297" spans="1:23" s="28" customFormat="1" ht="51.75" customHeight="1" x14ac:dyDescent="0.2">
      <c r="A297" s="132"/>
      <c r="B297" s="133" t="s">
        <v>609</v>
      </c>
      <c r="C297" s="133" t="s">
        <v>610</v>
      </c>
      <c r="D297" s="133" t="s">
        <v>611</v>
      </c>
      <c r="E297" s="134"/>
      <c r="F297" s="133" t="s">
        <v>612</v>
      </c>
      <c r="G297" s="135" t="s">
        <v>613</v>
      </c>
      <c r="H297" s="135" t="s">
        <v>614</v>
      </c>
      <c r="I297" s="133"/>
      <c r="J297" s="132"/>
      <c r="K297" s="132"/>
      <c r="L297" s="132"/>
      <c r="M297" s="132"/>
      <c r="N297" s="132"/>
      <c r="O297" s="132"/>
      <c r="P297" s="132"/>
      <c r="Q297" s="132"/>
      <c r="R297" s="132"/>
      <c r="S297" s="132"/>
      <c r="U297" s="42"/>
      <c r="V297" s="42"/>
      <c r="W297" s="42"/>
    </row>
    <row r="298" spans="1:23" s="28" customFormat="1" ht="28.5" x14ac:dyDescent="0.2">
      <c r="A298" s="30"/>
      <c r="B298" s="136" t="s">
        <v>615</v>
      </c>
      <c r="C298" s="137" t="s">
        <v>616</v>
      </c>
      <c r="D298" s="138">
        <v>120</v>
      </c>
      <c r="E298" s="139"/>
      <c r="F298" s="140">
        <v>58.59</v>
      </c>
      <c r="G298" s="141">
        <f t="shared" ref="G298:G329" si="55">F298*$G$296*$H$296</f>
        <v>542.44848420000005</v>
      </c>
      <c r="H298" s="141">
        <f t="shared" ref="H298:H329" si="56">G298*D298</f>
        <v>65093.818104000005</v>
      </c>
      <c r="I298" s="57"/>
      <c r="J298" s="32"/>
      <c r="K298" s="57"/>
      <c r="L298" s="57"/>
      <c r="M298" s="57"/>
      <c r="N298" s="57"/>
      <c r="O298" s="57"/>
      <c r="P298" s="142"/>
      <c r="Q298" s="40"/>
      <c r="R298" s="142"/>
      <c r="S298" s="32"/>
      <c r="U298" s="42"/>
      <c r="V298" s="42"/>
      <c r="W298" s="42"/>
    </row>
    <row r="299" spans="1:23" s="28" customFormat="1" ht="28.5" x14ac:dyDescent="0.2">
      <c r="A299" s="30"/>
      <c r="B299" s="136" t="s">
        <v>617</v>
      </c>
      <c r="C299" s="137" t="s">
        <v>618</v>
      </c>
      <c r="D299" s="138">
        <v>12</v>
      </c>
      <c r="E299" s="139"/>
      <c r="F299" s="140">
        <v>51.66</v>
      </c>
      <c r="G299" s="141">
        <f t="shared" si="55"/>
        <v>478.28791079999996</v>
      </c>
      <c r="H299" s="141">
        <f t="shared" si="56"/>
        <v>5739.4549295999996</v>
      </c>
      <c r="I299" s="57"/>
      <c r="J299" s="32"/>
      <c r="K299" s="57"/>
      <c r="L299" s="57"/>
      <c r="M299" s="57"/>
      <c r="N299" s="57"/>
      <c r="O299" s="57"/>
      <c r="P299" s="142"/>
      <c r="Q299" s="40"/>
      <c r="R299" s="142"/>
      <c r="S299" s="32"/>
      <c r="U299" s="42"/>
      <c r="V299" s="42"/>
      <c r="W299" s="42"/>
    </row>
    <row r="300" spans="1:23" s="28" customFormat="1" ht="15" x14ac:dyDescent="0.2">
      <c r="A300" s="30"/>
      <c r="B300" s="136" t="s">
        <v>619</v>
      </c>
      <c r="C300" s="137" t="s">
        <v>620</v>
      </c>
      <c r="D300" s="143">
        <v>0.79132999999999998</v>
      </c>
      <c r="E300" s="139"/>
      <c r="F300" s="144">
        <v>5816.5</v>
      </c>
      <c r="G300" s="141">
        <f t="shared" si="55"/>
        <v>53851.367270000002</v>
      </c>
      <c r="H300" s="141">
        <f t="shared" si="56"/>
        <v>42614.202461769099</v>
      </c>
      <c r="I300" s="57"/>
      <c r="J300" s="32"/>
      <c r="K300" s="57"/>
      <c r="L300" s="57"/>
      <c r="M300" s="57"/>
      <c r="N300" s="57"/>
      <c r="O300" s="57"/>
      <c r="P300" s="142"/>
      <c r="Q300" s="40"/>
      <c r="R300" s="142"/>
      <c r="S300" s="32"/>
      <c r="U300" s="42"/>
      <c r="V300" s="42"/>
      <c r="W300" s="42"/>
    </row>
    <row r="301" spans="1:23" s="28" customFormat="1" ht="15" x14ac:dyDescent="0.2">
      <c r="A301" s="30"/>
      <c r="B301" s="136" t="s">
        <v>621</v>
      </c>
      <c r="C301" s="137" t="s">
        <v>616</v>
      </c>
      <c r="D301" s="145">
        <v>11.2</v>
      </c>
      <c r="E301" s="139"/>
      <c r="F301" s="140">
        <v>15.6</v>
      </c>
      <c r="G301" s="141">
        <f t="shared" si="55"/>
        <v>144.43072799999999</v>
      </c>
      <c r="H301" s="141">
        <f t="shared" si="56"/>
        <v>1617.6241535999998</v>
      </c>
      <c r="I301" s="57"/>
      <c r="J301" s="32"/>
      <c r="K301" s="57"/>
      <c r="L301" s="57"/>
      <c r="M301" s="57"/>
      <c r="N301" s="57"/>
      <c r="O301" s="57"/>
      <c r="P301" s="142"/>
      <c r="Q301" s="40"/>
      <c r="R301" s="142"/>
      <c r="S301" s="32"/>
      <c r="U301" s="42"/>
      <c r="V301" s="42"/>
      <c r="W301" s="42"/>
    </row>
    <row r="302" spans="1:23" s="28" customFormat="1" ht="15" x14ac:dyDescent="0.2">
      <c r="A302" s="30"/>
      <c r="B302" s="136" t="s">
        <v>622</v>
      </c>
      <c r="C302" s="137" t="s">
        <v>616</v>
      </c>
      <c r="D302" s="138">
        <v>17</v>
      </c>
      <c r="E302" s="139"/>
      <c r="F302" s="140">
        <v>159.93</v>
      </c>
      <c r="G302" s="141">
        <f t="shared" si="55"/>
        <v>1480.6927133999998</v>
      </c>
      <c r="H302" s="141">
        <f t="shared" si="56"/>
        <v>25171.776127799996</v>
      </c>
      <c r="I302" s="57"/>
      <c r="J302" s="32"/>
      <c r="K302" s="57"/>
      <c r="L302" s="57"/>
      <c r="M302" s="57"/>
      <c r="N302" s="57"/>
      <c r="O302" s="57"/>
      <c r="P302" s="142"/>
      <c r="Q302" s="40"/>
      <c r="R302" s="142"/>
      <c r="S302" s="32"/>
      <c r="U302" s="42"/>
      <c r="V302" s="42"/>
      <c r="W302" s="42"/>
    </row>
    <row r="303" spans="1:23" s="28" customFormat="1" ht="28.5" x14ac:dyDescent="0.2">
      <c r="A303" s="30"/>
      <c r="B303" s="136" t="s">
        <v>623</v>
      </c>
      <c r="C303" s="137" t="s">
        <v>616</v>
      </c>
      <c r="D303" s="145">
        <v>101.9</v>
      </c>
      <c r="E303" s="139"/>
      <c r="F303" s="140">
        <v>38.89</v>
      </c>
      <c r="G303" s="141">
        <f t="shared" si="55"/>
        <v>360.05839819999994</v>
      </c>
      <c r="H303" s="141">
        <f t="shared" si="56"/>
        <v>36689.950776579994</v>
      </c>
      <c r="I303" s="57"/>
      <c r="J303" s="32"/>
      <c r="K303" s="57"/>
      <c r="L303" s="57"/>
      <c r="M303" s="57"/>
      <c r="N303" s="57"/>
      <c r="O303" s="57"/>
      <c r="P303" s="142"/>
      <c r="Q303" s="40"/>
      <c r="R303" s="142"/>
      <c r="S303" s="32"/>
      <c r="U303" s="42"/>
      <c r="V303" s="42"/>
      <c r="W303" s="42"/>
    </row>
    <row r="304" spans="1:23" s="28" customFormat="1" ht="15" x14ac:dyDescent="0.2">
      <c r="A304" s="30"/>
      <c r="B304" s="136" t="s">
        <v>624</v>
      </c>
      <c r="C304" s="137" t="s">
        <v>620</v>
      </c>
      <c r="D304" s="146">
        <v>0.54</v>
      </c>
      <c r="E304" s="139"/>
      <c r="F304" s="144">
        <v>6250</v>
      </c>
      <c r="G304" s="141">
        <f t="shared" si="55"/>
        <v>57864.874999999993</v>
      </c>
      <c r="H304" s="141">
        <f t="shared" si="56"/>
        <v>31247.032499999998</v>
      </c>
      <c r="I304" s="57"/>
      <c r="J304" s="32"/>
      <c r="K304" s="57"/>
      <c r="L304" s="57"/>
      <c r="M304" s="57"/>
      <c r="N304" s="57"/>
      <c r="O304" s="57"/>
      <c r="P304" s="142"/>
      <c r="Q304" s="40"/>
      <c r="R304" s="142"/>
      <c r="S304" s="32"/>
      <c r="U304" s="42"/>
      <c r="V304" s="42"/>
      <c r="W304" s="42"/>
    </row>
    <row r="305" spans="1:23" s="28" customFormat="1" ht="15" x14ac:dyDescent="0.2">
      <c r="A305" s="30"/>
      <c r="B305" s="136" t="s">
        <v>625</v>
      </c>
      <c r="C305" s="137" t="s">
        <v>626</v>
      </c>
      <c r="D305" s="145">
        <v>75.599999999999994</v>
      </c>
      <c r="E305" s="139"/>
      <c r="F305" s="140">
        <v>6.22</v>
      </c>
      <c r="G305" s="141">
        <f t="shared" si="55"/>
        <v>57.587123599999991</v>
      </c>
      <c r="H305" s="141">
        <f t="shared" si="56"/>
        <v>4353.586544159999</v>
      </c>
      <c r="I305" s="57"/>
      <c r="J305" s="32"/>
      <c r="K305" s="57"/>
      <c r="L305" s="57"/>
      <c r="M305" s="57"/>
      <c r="N305" s="57"/>
      <c r="O305" s="57"/>
      <c r="P305" s="142"/>
      <c r="Q305" s="40"/>
      <c r="R305" s="142"/>
      <c r="S305" s="32"/>
      <c r="U305" s="42"/>
      <c r="V305" s="42"/>
      <c r="W305" s="42"/>
    </row>
    <row r="306" spans="1:23" s="28" customFormat="1" ht="15" x14ac:dyDescent="0.2">
      <c r="A306" s="30"/>
      <c r="B306" s="136" t="s">
        <v>627</v>
      </c>
      <c r="C306" s="137" t="s">
        <v>616</v>
      </c>
      <c r="D306" s="145">
        <v>84.8</v>
      </c>
      <c r="E306" s="139"/>
      <c r="F306" s="140">
        <v>6.09</v>
      </c>
      <c r="G306" s="141">
        <f t="shared" si="55"/>
        <v>56.383534199999993</v>
      </c>
      <c r="H306" s="141">
        <f t="shared" si="56"/>
        <v>4781.3237001599991</v>
      </c>
      <c r="I306" s="57"/>
      <c r="J306" s="32"/>
      <c r="K306" s="57"/>
      <c r="L306" s="57"/>
      <c r="M306" s="57"/>
      <c r="N306" s="57"/>
      <c r="O306" s="57"/>
      <c r="P306" s="142"/>
      <c r="Q306" s="40"/>
      <c r="R306" s="142"/>
      <c r="S306" s="32"/>
      <c r="U306" s="42"/>
      <c r="V306" s="42"/>
      <c r="W306" s="42"/>
    </row>
    <row r="307" spans="1:23" s="28" customFormat="1" ht="15" x14ac:dyDescent="0.2">
      <c r="A307" s="30"/>
      <c r="B307" s="136" t="s">
        <v>628</v>
      </c>
      <c r="C307" s="137" t="s">
        <v>616</v>
      </c>
      <c r="D307" s="138">
        <v>4</v>
      </c>
      <c r="E307" s="139"/>
      <c r="F307" s="140">
        <v>11.12</v>
      </c>
      <c r="G307" s="141">
        <f t="shared" si="55"/>
        <v>102.95318559999998</v>
      </c>
      <c r="H307" s="141">
        <f t="shared" si="56"/>
        <v>411.81274239999993</v>
      </c>
      <c r="I307" s="57"/>
      <c r="J307" s="32"/>
      <c r="K307" s="57"/>
      <c r="L307" s="57"/>
      <c r="M307" s="57"/>
      <c r="N307" s="57"/>
      <c r="O307" s="57"/>
      <c r="P307" s="142"/>
      <c r="Q307" s="40"/>
      <c r="R307" s="142"/>
      <c r="S307" s="32"/>
      <c r="U307" s="42"/>
      <c r="V307" s="42"/>
      <c r="W307" s="42"/>
    </row>
    <row r="308" spans="1:23" s="28" customFormat="1" ht="15" x14ac:dyDescent="0.2">
      <c r="A308" s="30"/>
      <c r="B308" s="136" t="s">
        <v>629</v>
      </c>
      <c r="C308" s="137" t="s">
        <v>616</v>
      </c>
      <c r="D308" s="138">
        <v>21</v>
      </c>
      <c r="E308" s="139"/>
      <c r="F308" s="140">
        <v>76.16</v>
      </c>
      <c r="G308" s="141">
        <f t="shared" si="55"/>
        <v>705.1182207999999</v>
      </c>
      <c r="H308" s="141">
        <f t="shared" si="56"/>
        <v>14807.482636799998</v>
      </c>
      <c r="I308" s="57"/>
      <c r="J308" s="32"/>
      <c r="K308" s="57"/>
      <c r="L308" s="57"/>
      <c r="M308" s="57"/>
      <c r="N308" s="57"/>
      <c r="O308" s="57"/>
      <c r="P308" s="142"/>
      <c r="Q308" s="40"/>
      <c r="R308" s="142"/>
      <c r="S308" s="32"/>
      <c r="U308" s="42"/>
      <c r="V308" s="42"/>
      <c r="W308" s="42"/>
    </row>
    <row r="309" spans="1:23" s="28" customFormat="1" ht="28.5" x14ac:dyDescent="0.2">
      <c r="A309" s="30"/>
      <c r="B309" s="136" t="s">
        <v>630</v>
      </c>
      <c r="C309" s="137" t="s">
        <v>620</v>
      </c>
      <c r="D309" s="147">
        <v>4.8000000000000001E-2</v>
      </c>
      <c r="E309" s="139"/>
      <c r="F309" s="144">
        <v>1865</v>
      </c>
      <c r="G309" s="141">
        <f t="shared" si="55"/>
        <v>17266.878699999997</v>
      </c>
      <c r="H309" s="141">
        <f t="shared" si="56"/>
        <v>828.81017759999986</v>
      </c>
      <c r="I309" s="57"/>
      <c r="J309" s="32"/>
      <c r="K309" s="57"/>
      <c r="L309" s="57"/>
      <c r="M309" s="57"/>
      <c r="N309" s="57"/>
      <c r="O309" s="57"/>
      <c r="P309" s="142"/>
      <c r="Q309" s="40"/>
      <c r="R309" s="142"/>
      <c r="S309" s="32"/>
      <c r="U309" s="42"/>
      <c r="V309" s="42"/>
      <c r="W309" s="42"/>
    </row>
    <row r="310" spans="1:23" s="28" customFormat="1" ht="28.5" x14ac:dyDescent="0.2">
      <c r="A310" s="30"/>
      <c r="B310" s="136" t="s">
        <v>631</v>
      </c>
      <c r="C310" s="137" t="s">
        <v>620</v>
      </c>
      <c r="D310" s="148">
        <v>6.4000000000000003E-3</v>
      </c>
      <c r="E310" s="139"/>
      <c r="F310" s="144">
        <v>19610</v>
      </c>
      <c r="G310" s="141">
        <f t="shared" si="55"/>
        <v>181556.83180000001</v>
      </c>
      <c r="H310" s="141">
        <f t="shared" si="56"/>
        <v>1161.9637235200003</v>
      </c>
      <c r="I310" s="57"/>
      <c r="J310" s="32"/>
      <c r="K310" s="57"/>
      <c r="L310" s="57"/>
      <c r="M310" s="57"/>
      <c r="N310" s="57"/>
      <c r="O310" s="57"/>
      <c r="P310" s="142"/>
      <c r="Q310" s="40"/>
      <c r="R310" s="142"/>
      <c r="S310" s="32"/>
      <c r="U310" s="42"/>
      <c r="V310" s="42"/>
      <c r="W310" s="42"/>
    </row>
    <row r="311" spans="1:23" s="28" customFormat="1" ht="15" x14ac:dyDescent="0.2">
      <c r="A311" s="30"/>
      <c r="B311" s="136" t="s">
        <v>632</v>
      </c>
      <c r="C311" s="137" t="s">
        <v>620</v>
      </c>
      <c r="D311" s="146">
        <v>0.02</v>
      </c>
      <c r="E311" s="139"/>
      <c r="F311" s="144">
        <v>1943</v>
      </c>
      <c r="G311" s="141">
        <f t="shared" si="55"/>
        <v>17989.032340000002</v>
      </c>
      <c r="H311" s="141">
        <f t="shared" si="56"/>
        <v>359.78064680000006</v>
      </c>
      <c r="I311" s="57"/>
      <c r="J311" s="32"/>
      <c r="K311" s="57"/>
      <c r="L311" s="57"/>
      <c r="M311" s="57"/>
      <c r="N311" s="57"/>
      <c r="O311" s="57"/>
      <c r="P311" s="142"/>
      <c r="Q311" s="40"/>
      <c r="R311" s="142"/>
      <c r="S311" s="32"/>
      <c r="U311" s="42"/>
      <c r="V311" s="42"/>
      <c r="W311" s="42"/>
    </row>
    <row r="312" spans="1:23" s="28" customFormat="1" ht="71.25" x14ac:dyDescent="0.2">
      <c r="A312" s="30"/>
      <c r="B312" s="136" t="s">
        <v>633</v>
      </c>
      <c r="C312" s="137" t="s">
        <v>634</v>
      </c>
      <c r="D312" s="138">
        <v>4</v>
      </c>
      <c r="E312" s="139"/>
      <c r="F312" s="140">
        <v>392.42</v>
      </c>
      <c r="G312" s="141">
        <f t="shared" si="55"/>
        <v>3633.1734796000001</v>
      </c>
      <c r="H312" s="141">
        <f t="shared" si="56"/>
        <v>14532.6939184</v>
      </c>
      <c r="I312" s="57"/>
      <c r="J312" s="32"/>
      <c r="K312" s="57"/>
      <c r="L312" s="57"/>
      <c r="M312" s="57"/>
      <c r="N312" s="57"/>
      <c r="O312" s="57"/>
      <c r="P312" s="142"/>
      <c r="Q312" s="40"/>
      <c r="R312" s="142"/>
      <c r="S312" s="32"/>
      <c r="U312" s="42"/>
      <c r="V312" s="42"/>
      <c r="W312" s="42"/>
    </row>
    <row r="313" spans="1:23" s="28" customFormat="1" ht="42.75" x14ac:dyDescent="0.2">
      <c r="A313" s="30"/>
      <c r="B313" s="136" t="s">
        <v>635</v>
      </c>
      <c r="C313" s="137" t="s">
        <v>616</v>
      </c>
      <c r="D313" s="145">
        <v>2.5</v>
      </c>
      <c r="E313" s="139"/>
      <c r="F313" s="140">
        <v>90.21</v>
      </c>
      <c r="G313" s="141">
        <f t="shared" si="55"/>
        <v>835.19845979999991</v>
      </c>
      <c r="H313" s="141">
        <f t="shared" si="56"/>
        <v>2087.9961494999998</v>
      </c>
      <c r="I313" s="57"/>
      <c r="J313" s="32"/>
      <c r="K313" s="57"/>
      <c r="L313" s="57"/>
      <c r="M313" s="57"/>
      <c r="N313" s="57"/>
      <c r="O313" s="57"/>
      <c r="P313" s="142"/>
      <c r="Q313" s="40"/>
      <c r="R313" s="142"/>
      <c r="S313" s="32"/>
      <c r="U313" s="42"/>
      <c r="V313" s="42"/>
      <c r="W313" s="42"/>
    </row>
    <row r="314" spans="1:23" s="28" customFormat="1" ht="15" x14ac:dyDescent="0.2">
      <c r="A314" s="30"/>
      <c r="B314" s="136" t="s">
        <v>636</v>
      </c>
      <c r="C314" s="137" t="s">
        <v>618</v>
      </c>
      <c r="D314" s="138">
        <v>300</v>
      </c>
      <c r="E314" s="139"/>
      <c r="F314" s="140">
        <v>12.19</v>
      </c>
      <c r="G314" s="141">
        <f t="shared" si="55"/>
        <v>112.85965219999999</v>
      </c>
      <c r="H314" s="141">
        <f t="shared" si="56"/>
        <v>33857.895659999995</v>
      </c>
      <c r="I314" s="57"/>
      <c r="J314" s="32"/>
      <c r="K314" s="57"/>
      <c r="L314" s="57"/>
      <c r="M314" s="57"/>
      <c r="N314" s="57"/>
      <c r="O314" s="57"/>
      <c r="P314" s="142"/>
      <c r="Q314" s="40"/>
      <c r="R314" s="142"/>
      <c r="S314" s="32"/>
      <c r="U314" s="42"/>
      <c r="V314" s="42"/>
      <c r="W314" s="42"/>
    </row>
    <row r="315" spans="1:23" s="28" customFormat="1" ht="42.75" x14ac:dyDescent="0.2">
      <c r="A315" s="30"/>
      <c r="B315" s="136" t="s">
        <v>637</v>
      </c>
      <c r="C315" s="137" t="s">
        <v>616</v>
      </c>
      <c r="D315" s="145">
        <v>0.6</v>
      </c>
      <c r="E315" s="139"/>
      <c r="F315" s="140">
        <v>1.37</v>
      </c>
      <c r="G315" s="141">
        <f t="shared" si="55"/>
        <v>12.6839806</v>
      </c>
      <c r="H315" s="141">
        <f t="shared" si="56"/>
        <v>7.61038836</v>
      </c>
      <c r="I315" s="57"/>
      <c r="J315" s="32"/>
      <c r="K315" s="57"/>
      <c r="L315" s="57"/>
      <c r="M315" s="57"/>
      <c r="N315" s="57"/>
      <c r="O315" s="57"/>
      <c r="P315" s="142"/>
      <c r="Q315" s="40"/>
      <c r="R315" s="142"/>
      <c r="S315" s="32"/>
      <c r="U315" s="42"/>
      <c r="V315" s="42"/>
      <c r="W315" s="42"/>
    </row>
    <row r="316" spans="1:23" s="28" customFormat="1" ht="15" x14ac:dyDescent="0.2">
      <c r="A316" s="30"/>
      <c r="B316" s="136" t="s">
        <v>638</v>
      </c>
      <c r="C316" s="137" t="s">
        <v>616</v>
      </c>
      <c r="D316" s="145">
        <v>3.2</v>
      </c>
      <c r="E316" s="139"/>
      <c r="F316" s="140">
        <v>322.7</v>
      </c>
      <c r="G316" s="141">
        <f t="shared" si="55"/>
        <v>2987.6792259999997</v>
      </c>
      <c r="H316" s="141">
        <f t="shared" si="56"/>
        <v>9560.5735231999988</v>
      </c>
      <c r="I316" s="57"/>
      <c r="J316" s="32"/>
      <c r="K316" s="57"/>
      <c r="L316" s="57"/>
      <c r="M316" s="57"/>
      <c r="N316" s="57"/>
      <c r="O316" s="57"/>
      <c r="P316" s="142"/>
      <c r="Q316" s="40"/>
      <c r="R316" s="142"/>
      <c r="S316" s="32"/>
      <c r="U316" s="42"/>
      <c r="V316" s="42"/>
      <c r="W316" s="42"/>
    </row>
    <row r="317" spans="1:23" s="28" customFormat="1" ht="28.5" x14ac:dyDescent="0.2">
      <c r="A317" s="30"/>
      <c r="B317" s="136" t="s">
        <v>639</v>
      </c>
      <c r="C317" s="137" t="s">
        <v>620</v>
      </c>
      <c r="D317" s="146">
        <v>0.48</v>
      </c>
      <c r="E317" s="139"/>
      <c r="F317" s="144">
        <v>7262.93</v>
      </c>
      <c r="G317" s="141">
        <f t="shared" si="55"/>
        <v>67242.965853400005</v>
      </c>
      <c r="H317" s="141">
        <f t="shared" si="56"/>
        <v>32276.623609632003</v>
      </c>
      <c r="I317" s="57"/>
      <c r="J317" s="32"/>
      <c r="K317" s="57"/>
      <c r="L317" s="57"/>
      <c r="M317" s="57"/>
      <c r="N317" s="57"/>
      <c r="O317" s="57"/>
      <c r="P317" s="142"/>
      <c r="Q317" s="40"/>
      <c r="R317" s="142"/>
      <c r="S317" s="32"/>
      <c r="U317" s="42"/>
      <c r="V317" s="42"/>
      <c r="W317" s="42"/>
    </row>
    <row r="318" spans="1:23" s="28" customFormat="1" ht="28.5" x14ac:dyDescent="0.2">
      <c r="A318" s="30"/>
      <c r="B318" s="136" t="s">
        <v>640</v>
      </c>
      <c r="C318" s="137" t="s">
        <v>641</v>
      </c>
      <c r="D318" s="146">
        <v>0.37</v>
      </c>
      <c r="E318" s="139"/>
      <c r="F318" s="140">
        <v>70</v>
      </c>
      <c r="G318" s="141">
        <f t="shared" si="55"/>
        <v>648.08659999999986</v>
      </c>
      <c r="H318" s="141">
        <f t="shared" si="56"/>
        <v>239.79204199999995</v>
      </c>
      <c r="I318" s="57"/>
      <c r="J318" s="32"/>
      <c r="K318" s="57"/>
      <c r="L318" s="57"/>
      <c r="M318" s="57"/>
      <c r="N318" s="57"/>
      <c r="O318" s="57"/>
      <c r="P318" s="142"/>
      <c r="Q318" s="40"/>
      <c r="R318" s="142"/>
      <c r="S318" s="32"/>
      <c r="U318" s="42"/>
      <c r="V318" s="42"/>
      <c r="W318" s="42"/>
    </row>
    <row r="319" spans="1:23" s="28" customFormat="1" ht="57.75" x14ac:dyDescent="0.2">
      <c r="A319" s="30"/>
      <c r="B319" s="149" t="s">
        <v>642</v>
      </c>
      <c r="C319" s="137" t="s">
        <v>618</v>
      </c>
      <c r="D319" s="147">
        <v>63.648000000000003</v>
      </c>
      <c r="E319" s="139"/>
      <c r="F319" s="140">
        <v>115.69</v>
      </c>
      <c r="G319" s="141">
        <f t="shared" si="55"/>
        <v>1071.1019822000001</v>
      </c>
      <c r="H319" s="141">
        <f t="shared" si="56"/>
        <v>68173.498963065605</v>
      </c>
      <c r="I319" s="57"/>
      <c r="J319" s="32"/>
      <c r="K319" s="57"/>
      <c r="L319" s="57"/>
      <c r="M319" s="57"/>
      <c r="N319" s="57"/>
      <c r="O319" s="57"/>
      <c r="P319" s="142"/>
      <c r="Q319" s="40"/>
      <c r="R319" s="142"/>
      <c r="S319" s="32"/>
      <c r="U319" s="42"/>
      <c r="V319" s="42"/>
      <c r="W319" s="42"/>
    </row>
    <row r="320" spans="1:23" s="28" customFormat="1" ht="57.75" x14ac:dyDescent="0.2">
      <c r="A320" s="30"/>
      <c r="B320" s="149" t="s">
        <v>643</v>
      </c>
      <c r="C320" s="137" t="s">
        <v>618</v>
      </c>
      <c r="D320" s="146">
        <v>98.21</v>
      </c>
      <c r="E320" s="139"/>
      <c r="F320" s="140">
        <v>115.69</v>
      </c>
      <c r="G320" s="141">
        <f t="shared" si="55"/>
        <v>1071.1019822000001</v>
      </c>
      <c r="H320" s="141">
        <f t="shared" si="56"/>
        <v>105192.925671862</v>
      </c>
      <c r="I320" s="57"/>
      <c r="J320" s="32"/>
      <c r="K320" s="57"/>
      <c r="L320" s="57"/>
      <c r="M320" s="57"/>
      <c r="N320" s="57"/>
      <c r="O320" s="57"/>
      <c r="P320" s="142"/>
      <c r="Q320" s="40"/>
      <c r="R320" s="142"/>
      <c r="S320" s="32"/>
      <c r="U320" s="42"/>
      <c r="V320" s="42"/>
      <c r="W320" s="42"/>
    </row>
    <row r="321" spans="1:23" s="28" customFormat="1" ht="28.5" x14ac:dyDescent="0.2">
      <c r="A321" s="30"/>
      <c r="B321" s="136" t="s">
        <v>644</v>
      </c>
      <c r="C321" s="137" t="s">
        <v>620</v>
      </c>
      <c r="D321" s="147">
        <v>0.124</v>
      </c>
      <c r="E321" s="139"/>
      <c r="F321" s="144">
        <v>41918.199999999997</v>
      </c>
      <c r="G321" s="141">
        <f t="shared" si="55"/>
        <v>388094.62451599992</v>
      </c>
      <c r="H321" s="141">
        <f t="shared" si="56"/>
        <v>48123.733439983989</v>
      </c>
      <c r="I321" s="57"/>
      <c r="J321" s="32"/>
      <c r="K321" s="57"/>
      <c r="L321" s="57"/>
      <c r="M321" s="57"/>
      <c r="N321" s="57"/>
      <c r="O321" s="57"/>
      <c r="P321" s="142"/>
      <c r="Q321" s="40"/>
      <c r="R321" s="142"/>
      <c r="S321" s="32"/>
      <c r="U321" s="42"/>
      <c r="V321" s="42"/>
      <c r="W321" s="42"/>
    </row>
    <row r="322" spans="1:23" s="28" customFormat="1" ht="28.5" x14ac:dyDescent="0.2">
      <c r="A322" s="30"/>
      <c r="B322" s="136" t="s">
        <v>645</v>
      </c>
      <c r="C322" s="137" t="s">
        <v>620</v>
      </c>
      <c r="D322" s="147">
        <v>0.36399999999999999</v>
      </c>
      <c r="E322" s="139"/>
      <c r="F322" s="144">
        <v>41918.199999999997</v>
      </c>
      <c r="G322" s="141">
        <f t="shared" si="55"/>
        <v>388094.62451599992</v>
      </c>
      <c r="H322" s="141">
        <f t="shared" si="56"/>
        <v>141266.44332382397</v>
      </c>
      <c r="I322" s="57"/>
      <c r="J322" s="32"/>
      <c r="K322" s="57"/>
      <c r="L322" s="57"/>
      <c r="M322" s="57"/>
      <c r="N322" s="57"/>
      <c r="O322" s="57"/>
      <c r="P322" s="142"/>
      <c r="Q322" s="40"/>
      <c r="R322" s="142"/>
      <c r="S322" s="32"/>
      <c r="U322" s="42"/>
      <c r="V322" s="42"/>
      <c r="W322" s="42"/>
    </row>
    <row r="323" spans="1:23" s="28" customFormat="1" ht="28.5" x14ac:dyDescent="0.2">
      <c r="A323" s="30"/>
      <c r="B323" s="136" t="s">
        <v>646</v>
      </c>
      <c r="C323" s="137" t="s">
        <v>620</v>
      </c>
      <c r="D323" s="146">
        <v>0.24</v>
      </c>
      <c r="E323" s="139"/>
      <c r="F323" s="144">
        <v>41918.199999999997</v>
      </c>
      <c r="G323" s="141">
        <f t="shared" si="55"/>
        <v>388094.62451599992</v>
      </c>
      <c r="H323" s="141">
        <f t="shared" si="56"/>
        <v>93142.709883839983</v>
      </c>
      <c r="I323" s="57"/>
      <c r="J323" s="32"/>
      <c r="K323" s="57"/>
      <c r="L323" s="57"/>
      <c r="M323" s="57"/>
      <c r="N323" s="57"/>
      <c r="O323" s="57"/>
      <c r="P323" s="142"/>
      <c r="Q323" s="40"/>
      <c r="R323" s="142"/>
      <c r="S323" s="32"/>
      <c r="U323" s="42"/>
      <c r="V323" s="42"/>
      <c r="W323" s="42"/>
    </row>
    <row r="324" spans="1:23" s="28" customFormat="1" ht="15" x14ac:dyDescent="0.2">
      <c r="A324" s="30"/>
      <c r="B324" s="136" t="s">
        <v>647</v>
      </c>
      <c r="C324" s="137" t="s">
        <v>618</v>
      </c>
      <c r="D324" s="138">
        <v>1353</v>
      </c>
      <c r="E324" s="139"/>
      <c r="F324" s="140">
        <v>5.95</v>
      </c>
      <c r="G324" s="141">
        <f t="shared" si="55"/>
        <v>55.087360999999994</v>
      </c>
      <c r="H324" s="141">
        <f t="shared" si="56"/>
        <v>74533.199432999987</v>
      </c>
      <c r="I324" s="57"/>
      <c r="J324" s="32"/>
      <c r="K324" s="57"/>
      <c r="L324" s="57"/>
      <c r="M324" s="57"/>
      <c r="N324" s="57"/>
      <c r="O324" s="57"/>
      <c r="P324" s="142"/>
      <c r="Q324" s="40"/>
      <c r="R324" s="142"/>
      <c r="S324" s="32"/>
      <c r="U324" s="42"/>
      <c r="V324" s="42"/>
      <c r="W324" s="42"/>
    </row>
    <row r="325" spans="1:23" s="28" customFormat="1" ht="28.5" x14ac:dyDescent="0.2">
      <c r="A325" s="30"/>
      <c r="B325" s="136" t="s">
        <v>648</v>
      </c>
      <c r="C325" s="137" t="s">
        <v>620</v>
      </c>
      <c r="D325" s="145">
        <v>0.1</v>
      </c>
      <c r="E325" s="139"/>
      <c r="F325" s="144">
        <v>6862.34</v>
      </c>
      <c r="G325" s="141">
        <f t="shared" si="55"/>
        <v>63534.151409199992</v>
      </c>
      <c r="H325" s="141">
        <f t="shared" si="56"/>
        <v>6353.4151409199994</v>
      </c>
      <c r="I325" s="57"/>
      <c r="J325" s="32"/>
      <c r="K325" s="57"/>
      <c r="L325" s="57"/>
      <c r="M325" s="57"/>
      <c r="N325" s="57"/>
      <c r="O325" s="57"/>
      <c r="P325" s="142"/>
      <c r="Q325" s="40"/>
      <c r="R325" s="142"/>
      <c r="S325" s="32"/>
      <c r="U325" s="42"/>
      <c r="V325" s="42"/>
      <c r="W325" s="42"/>
    </row>
    <row r="326" spans="1:23" s="28" customFormat="1" ht="28.5" x14ac:dyDescent="0.2">
      <c r="A326" s="30"/>
      <c r="B326" s="136" t="s">
        <v>649</v>
      </c>
      <c r="C326" s="137" t="s">
        <v>620</v>
      </c>
      <c r="D326" s="146">
        <v>0.15</v>
      </c>
      <c r="E326" s="139"/>
      <c r="F326" s="144">
        <v>6782.85</v>
      </c>
      <c r="G326" s="141">
        <f t="shared" si="55"/>
        <v>62798.202783000001</v>
      </c>
      <c r="H326" s="141">
        <f t="shared" si="56"/>
        <v>9419.7304174500005</v>
      </c>
      <c r="I326" s="57"/>
      <c r="J326" s="32"/>
      <c r="K326" s="57"/>
      <c r="L326" s="57"/>
      <c r="M326" s="57"/>
      <c r="N326" s="57"/>
      <c r="O326" s="57"/>
      <c r="P326" s="142"/>
      <c r="Q326" s="40"/>
      <c r="R326" s="142"/>
      <c r="S326" s="32"/>
      <c r="U326" s="42"/>
      <c r="V326" s="42"/>
      <c r="W326" s="42"/>
    </row>
    <row r="327" spans="1:23" s="28" customFormat="1" ht="28.5" x14ac:dyDescent="0.2">
      <c r="A327" s="30"/>
      <c r="B327" s="136" t="s">
        <v>650</v>
      </c>
      <c r="C327" s="137" t="s">
        <v>620</v>
      </c>
      <c r="D327" s="145">
        <v>0.2</v>
      </c>
      <c r="E327" s="139"/>
      <c r="F327" s="144">
        <v>6778.67</v>
      </c>
      <c r="G327" s="141">
        <f t="shared" si="55"/>
        <v>62759.502754599998</v>
      </c>
      <c r="H327" s="141">
        <f t="shared" si="56"/>
        <v>12551.90055092</v>
      </c>
      <c r="I327" s="57"/>
      <c r="J327" s="32"/>
      <c r="K327" s="57"/>
      <c r="L327" s="57"/>
      <c r="M327" s="57"/>
      <c r="N327" s="57"/>
      <c r="O327" s="57"/>
      <c r="P327" s="142"/>
      <c r="Q327" s="40"/>
      <c r="R327" s="142"/>
      <c r="S327" s="32"/>
      <c r="U327" s="42"/>
      <c r="V327" s="42"/>
      <c r="W327" s="42"/>
    </row>
    <row r="328" spans="1:23" s="28" customFormat="1" ht="28.5" x14ac:dyDescent="0.2">
      <c r="A328" s="30"/>
      <c r="B328" s="136" t="s">
        <v>651</v>
      </c>
      <c r="C328" s="137" t="s">
        <v>620</v>
      </c>
      <c r="D328" s="146">
        <v>0.25</v>
      </c>
      <c r="E328" s="139"/>
      <c r="F328" s="144">
        <v>6712.55</v>
      </c>
      <c r="G328" s="141">
        <f t="shared" si="55"/>
        <v>62147.338669000004</v>
      </c>
      <c r="H328" s="141">
        <f t="shared" si="56"/>
        <v>15536.834667250001</v>
      </c>
      <c r="I328" s="57"/>
      <c r="J328" s="32"/>
      <c r="K328" s="57"/>
      <c r="L328" s="57"/>
      <c r="M328" s="57"/>
      <c r="N328" s="57"/>
      <c r="O328" s="57"/>
      <c r="P328" s="142"/>
      <c r="Q328" s="40"/>
      <c r="R328" s="142"/>
      <c r="S328" s="32"/>
      <c r="U328" s="42"/>
      <c r="V328" s="42"/>
      <c r="W328" s="42"/>
    </row>
    <row r="329" spans="1:23" s="28" customFormat="1" ht="28.5" x14ac:dyDescent="0.2">
      <c r="A329" s="30"/>
      <c r="B329" s="136" t="s">
        <v>652</v>
      </c>
      <c r="C329" s="137" t="s">
        <v>620</v>
      </c>
      <c r="D329" s="145">
        <v>0.4</v>
      </c>
      <c r="E329" s="139"/>
      <c r="F329" s="144">
        <v>6690.38</v>
      </c>
      <c r="G329" s="141">
        <f t="shared" si="55"/>
        <v>61942.080384399997</v>
      </c>
      <c r="H329" s="141">
        <f t="shared" si="56"/>
        <v>24776.832153759999</v>
      </c>
      <c r="I329" s="57"/>
      <c r="J329" s="32"/>
      <c r="K329" s="57"/>
      <c r="L329" s="57"/>
      <c r="M329" s="57"/>
      <c r="N329" s="57"/>
      <c r="O329" s="57"/>
      <c r="P329" s="142"/>
      <c r="Q329" s="40"/>
      <c r="R329" s="142"/>
      <c r="S329" s="32"/>
      <c r="U329" s="42"/>
      <c r="V329" s="42"/>
      <c r="W329" s="42"/>
    </row>
    <row r="330" spans="1:23" s="28" customFormat="1" ht="28.5" x14ac:dyDescent="0.2">
      <c r="A330" s="30"/>
      <c r="B330" s="136" t="s">
        <v>653</v>
      </c>
      <c r="C330" s="137" t="s">
        <v>620</v>
      </c>
      <c r="D330" s="145">
        <v>0.3</v>
      </c>
      <c r="E330" s="139"/>
      <c r="F330" s="144">
        <v>6691.21</v>
      </c>
      <c r="G330" s="141">
        <f t="shared" ref="G330:G361" si="57">F330*$G$296*$H$296</f>
        <v>61949.764839800002</v>
      </c>
      <c r="H330" s="141">
        <f t="shared" ref="H330:H361" si="58">G330*D330</f>
        <v>18584.929451939999</v>
      </c>
      <c r="I330" s="57"/>
      <c r="J330" s="32"/>
      <c r="K330" s="57"/>
      <c r="L330" s="57"/>
      <c r="M330" s="57"/>
      <c r="N330" s="57"/>
      <c r="O330" s="57"/>
      <c r="P330" s="142"/>
      <c r="Q330" s="40"/>
      <c r="R330" s="142"/>
      <c r="S330" s="32"/>
      <c r="U330" s="42"/>
      <c r="V330" s="42"/>
      <c r="W330" s="42"/>
    </row>
    <row r="331" spans="1:23" s="28" customFormat="1" ht="42.75" x14ac:dyDescent="0.2">
      <c r="A331" s="30"/>
      <c r="B331" s="136" t="s">
        <v>654</v>
      </c>
      <c r="C331" s="137" t="s">
        <v>620</v>
      </c>
      <c r="D331" s="146">
        <v>0.59</v>
      </c>
      <c r="E331" s="139"/>
      <c r="F331" s="144">
        <v>6671.97</v>
      </c>
      <c r="G331" s="141">
        <f t="shared" si="57"/>
        <v>61771.633608600001</v>
      </c>
      <c r="H331" s="141">
        <f t="shared" si="58"/>
        <v>36445.263829074</v>
      </c>
      <c r="I331" s="57"/>
      <c r="J331" s="32"/>
      <c r="K331" s="57"/>
      <c r="L331" s="57"/>
      <c r="M331" s="57"/>
      <c r="N331" s="57"/>
      <c r="O331" s="57"/>
      <c r="P331" s="142"/>
      <c r="Q331" s="40"/>
      <c r="R331" s="142"/>
      <c r="S331" s="32"/>
      <c r="U331" s="42"/>
      <c r="V331" s="42"/>
      <c r="W331" s="42"/>
    </row>
    <row r="332" spans="1:23" s="28" customFormat="1" ht="42.75" x14ac:dyDescent="0.2">
      <c r="A332" s="30"/>
      <c r="B332" s="136" t="s">
        <v>655</v>
      </c>
      <c r="C332" s="137" t="s">
        <v>620</v>
      </c>
      <c r="D332" s="146">
        <v>0.49</v>
      </c>
      <c r="E332" s="139"/>
      <c r="F332" s="144">
        <v>6671.97</v>
      </c>
      <c r="G332" s="141">
        <f t="shared" si="57"/>
        <v>61771.633608600001</v>
      </c>
      <c r="H332" s="141">
        <f t="shared" si="58"/>
        <v>30268.100468214001</v>
      </c>
      <c r="I332" s="57"/>
      <c r="J332" s="32"/>
      <c r="K332" s="57"/>
      <c r="L332" s="57"/>
      <c r="M332" s="57"/>
      <c r="N332" s="57"/>
      <c r="O332" s="57"/>
      <c r="P332" s="142"/>
      <c r="Q332" s="40"/>
      <c r="R332" s="142"/>
      <c r="S332" s="32"/>
      <c r="U332" s="42"/>
      <c r="V332" s="42"/>
      <c r="W332" s="42"/>
    </row>
    <row r="333" spans="1:23" s="28" customFormat="1" ht="28.5" x14ac:dyDescent="0.2">
      <c r="A333" s="30"/>
      <c r="B333" s="136" t="s">
        <v>656</v>
      </c>
      <c r="C333" s="137" t="s">
        <v>620</v>
      </c>
      <c r="D333" s="146">
        <v>0.05</v>
      </c>
      <c r="E333" s="139"/>
      <c r="F333" s="144">
        <v>7513.81</v>
      </c>
      <c r="G333" s="141">
        <f t="shared" si="57"/>
        <v>69565.708227800002</v>
      </c>
      <c r="H333" s="141">
        <f t="shared" si="58"/>
        <v>3478.2854113900003</v>
      </c>
      <c r="I333" s="57"/>
      <c r="J333" s="32"/>
      <c r="K333" s="57"/>
      <c r="L333" s="57"/>
      <c r="M333" s="57"/>
      <c r="N333" s="57"/>
      <c r="O333" s="57"/>
      <c r="P333" s="142"/>
      <c r="Q333" s="40"/>
      <c r="R333" s="142"/>
      <c r="S333" s="32"/>
      <c r="U333" s="42"/>
      <c r="V333" s="42"/>
      <c r="W333" s="42"/>
    </row>
    <row r="334" spans="1:23" s="28" customFormat="1" ht="42.75" x14ac:dyDescent="0.2">
      <c r="A334" s="30"/>
      <c r="B334" s="136" t="s">
        <v>657</v>
      </c>
      <c r="C334" s="137" t="s">
        <v>620</v>
      </c>
      <c r="D334" s="147">
        <v>1.3859999999999999</v>
      </c>
      <c r="E334" s="139"/>
      <c r="F334" s="144">
        <v>6100</v>
      </c>
      <c r="G334" s="141">
        <f t="shared" si="57"/>
        <v>56476.117999999995</v>
      </c>
      <c r="H334" s="141">
        <f t="shared" si="58"/>
        <v>78275.899547999987</v>
      </c>
      <c r="I334" s="57"/>
      <c r="J334" s="32"/>
      <c r="K334" s="57"/>
      <c r="L334" s="57"/>
      <c r="M334" s="57"/>
      <c r="N334" s="57"/>
      <c r="O334" s="57"/>
      <c r="P334" s="142"/>
      <c r="Q334" s="40"/>
      <c r="R334" s="142"/>
      <c r="S334" s="32"/>
      <c r="U334" s="42"/>
      <c r="V334" s="42"/>
      <c r="W334" s="42"/>
    </row>
    <row r="335" spans="1:23" s="28" customFormat="1" ht="57" x14ac:dyDescent="0.2">
      <c r="A335" s="30"/>
      <c r="B335" s="136" t="s">
        <v>658</v>
      </c>
      <c r="C335" s="137" t="s">
        <v>620</v>
      </c>
      <c r="D335" s="143">
        <v>1.0919999999999999E-2</v>
      </c>
      <c r="E335" s="139"/>
      <c r="F335" s="144">
        <v>6743.51</v>
      </c>
      <c r="G335" s="141">
        <f t="shared" si="57"/>
        <v>62433.978113799996</v>
      </c>
      <c r="H335" s="141">
        <f t="shared" si="58"/>
        <v>681.77904100269586</v>
      </c>
      <c r="I335" s="57"/>
      <c r="J335" s="32"/>
      <c r="K335" s="57"/>
      <c r="L335" s="57"/>
      <c r="M335" s="57"/>
      <c r="N335" s="57"/>
      <c r="O335" s="57"/>
      <c r="P335" s="142"/>
      <c r="Q335" s="40"/>
      <c r="R335" s="142"/>
      <c r="S335" s="32"/>
      <c r="U335" s="42"/>
      <c r="V335" s="42"/>
      <c r="W335" s="42"/>
    </row>
    <row r="336" spans="1:23" s="28" customFormat="1" ht="15" x14ac:dyDescent="0.2">
      <c r="A336" s="30"/>
      <c r="B336" s="136" t="s">
        <v>659</v>
      </c>
      <c r="C336" s="137" t="s">
        <v>616</v>
      </c>
      <c r="D336" s="145">
        <v>30.4</v>
      </c>
      <c r="E336" s="139"/>
      <c r="F336" s="140">
        <v>45</v>
      </c>
      <c r="G336" s="141">
        <f t="shared" si="57"/>
        <v>416.62709999999998</v>
      </c>
      <c r="H336" s="141">
        <f t="shared" si="58"/>
        <v>12665.463839999999</v>
      </c>
      <c r="I336" s="57"/>
      <c r="J336" s="32"/>
      <c r="K336" s="57"/>
      <c r="L336" s="57"/>
      <c r="M336" s="57"/>
      <c r="N336" s="57"/>
      <c r="O336" s="57"/>
      <c r="P336" s="142"/>
      <c r="Q336" s="40"/>
      <c r="R336" s="142"/>
      <c r="S336" s="32"/>
      <c r="U336" s="42"/>
      <c r="V336" s="42"/>
      <c r="W336" s="42"/>
    </row>
    <row r="337" spans="1:23" s="28" customFormat="1" ht="15" x14ac:dyDescent="0.2">
      <c r="A337" s="30"/>
      <c r="B337" s="136" t="s">
        <v>660</v>
      </c>
      <c r="C337" s="137" t="s">
        <v>620</v>
      </c>
      <c r="D337" s="146">
        <v>0.04</v>
      </c>
      <c r="E337" s="139"/>
      <c r="F337" s="144">
        <v>40193.129999999997</v>
      </c>
      <c r="G337" s="141">
        <f t="shared" si="57"/>
        <v>372123.27092939994</v>
      </c>
      <c r="H337" s="141">
        <f t="shared" si="58"/>
        <v>14884.930837175998</v>
      </c>
      <c r="I337" s="57"/>
      <c r="J337" s="32"/>
      <c r="K337" s="57"/>
      <c r="L337" s="57"/>
      <c r="M337" s="57"/>
      <c r="N337" s="57"/>
      <c r="O337" s="57"/>
      <c r="P337" s="142"/>
      <c r="Q337" s="40"/>
      <c r="R337" s="142"/>
      <c r="S337" s="32"/>
      <c r="U337" s="42"/>
      <c r="V337" s="42"/>
      <c r="W337" s="42"/>
    </row>
    <row r="338" spans="1:23" s="28" customFormat="1" ht="28.5" x14ac:dyDescent="0.2">
      <c r="A338" s="30"/>
      <c r="B338" s="136" t="s">
        <v>661</v>
      </c>
      <c r="C338" s="137" t="s">
        <v>616</v>
      </c>
      <c r="D338" s="138">
        <v>277</v>
      </c>
      <c r="E338" s="139"/>
      <c r="F338" s="140">
        <v>21.48</v>
      </c>
      <c r="G338" s="141">
        <f t="shared" si="57"/>
        <v>198.8700024</v>
      </c>
      <c r="H338" s="141">
        <f t="shared" si="58"/>
        <v>55086.990664800003</v>
      </c>
      <c r="I338" s="57"/>
      <c r="J338" s="32"/>
      <c r="K338" s="57"/>
      <c r="L338" s="57"/>
      <c r="M338" s="57"/>
      <c r="N338" s="57"/>
      <c r="O338" s="57"/>
      <c r="P338" s="142"/>
      <c r="Q338" s="40"/>
      <c r="R338" s="142"/>
      <c r="S338" s="32"/>
      <c r="U338" s="42"/>
      <c r="V338" s="42"/>
      <c r="W338" s="42"/>
    </row>
    <row r="339" spans="1:23" s="28" customFormat="1" ht="28.5" x14ac:dyDescent="0.2">
      <c r="A339" s="30"/>
      <c r="B339" s="136" t="s">
        <v>662</v>
      </c>
      <c r="C339" s="137" t="s">
        <v>620</v>
      </c>
      <c r="D339" s="148">
        <v>1.4999999999999999E-2</v>
      </c>
      <c r="E339" s="139"/>
      <c r="F339" s="144">
        <v>14312.87</v>
      </c>
      <c r="G339" s="141">
        <f t="shared" si="57"/>
        <v>132513.98935060002</v>
      </c>
      <c r="H339" s="141">
        <f t="shared" si="58"/>
        <v>1987.7098402590002</v>
      </c>
      <c r="I339" s="57"/>
      <c r="J339" s="32"/>
      <c r="K339" s="57"/>
      <c r="L339" s="57"/>
      <c r="M339" s="57"/>
      <c r="N339" s="57"/>
      <c r="O339" s="57"/>
      <c r="P339" s="142"/>
      <c r="Q339" s="40"/>
      <c r="R339" s="142"/>
      <c r="S339" s="32"/>
      <c r="U339" s="42"/>
      <c r="V339" s="42"/>
      <c r="W339" s="42"/>
    </row>
    <row r="340" spans="1:23" s="28" customFormat="1" ht="28.5" x14ac:dyDescent="0.2">
      <c r="A340" s="30"/>
      <c r="B340" s="136" t="s">
        <v>663</v>
      </c>
      <c r="C340" s="137" t="s">
        <v>616</v>
      </c>
      <c r="D340" s="145">
        <v>1.5</v>
      </c>
      <c r="E340" s="139"/>
      <c r="F340" s="140">
        <v>16.66</v>
      </c>
      <c r="G340" s="141">
        <f t="shared" si="57"/>
        <v>154.2446108</v>
      </c>
      <c r="H340" s="141">
        <f t="shared" si="58"/>
        <v>231.36691619999999</v>
      </c>
      <c r="I340" s="57"/>
      <c r="J340" s="32"/>
      <c r="K340" s="57"/>
      <c r="L340" s="57"/>
      <c r="M340" s="57"/>
      <c r="N340" s="57"/>
      <c r="O340" s="57"/>
      <c r="P340" s="142"/>
      <c r="Q340" s="40"/>
      <c r="R340" s="142"/>
      <c r="S340" s="32"/>
      <c r="U340" s="42"/>
      <c r="V340" s="42"/>
      <c r="W340" s="42"/>
    </row>
    <row r="341" spans="1:23" s="28" customFormat="1" ht="28.5" x14ac:dyDescent="0.2">
      <c r="A341" s="30"/>
      <c r="B341" s="136" t="s">
        <v>664</v>
      </c>
      <c r="C341" s="137" t="s">
        <v>616</v>
      </c>
      <c r="D341" s="145">
        <v>1.5</v>
      </c>
      <c r="E341" s="139"/>
      <c r="F341" s="140">
        <v>16.66</v>
      </c>
      <c r="G341" s="141">
        <f t="shared" si="57"/>
        <v>154.2446108</v>
      </c>
      <c r="H341" s="141">
        <f t="shared" si="58"/>
        <v>231.36691619999999</v>
      </c>
      <c r="I341" s="57"/>
      <c r="J341" s="32"/>
      <c r="K341" s="57"/>
      <c r="L341" s="57"/>
      <c r="M341" s="57"/>
      <c r="N341" s="57"/>
      <c r="O341" s="57"/>
      <c r="P341" s="142"/>
      <c r="Q341" s="40"/>
      <c r="R341" s="142"/>
      <c r="S341" s="32"/>
      <c r="U341" s="42"/>
      <c r="V341" s="42"/>
      <c r="W341" s="42"/>
    </row>
    <row r="342" spans="1:23" s="28" customFormat="1" ht="28.5" x14ac:dyDescent="0.2">
      <c r="A342" s="30"/>
      <c r="B342" s="136" t="s">
        <v>665</v>
      </c>
      <c r="C342" s="137" t="s">
        <v>616</v>
      </c>
      <c r="D342" s="138">
        <v>392</v>
      </c>
      <c r="E342" s="139"/>
      <c r="F342" s="140">
        <v>37.57</v>
      </c>
      <c r="G342" s="141">
        <f t="shared" si="57"/>
        <v>347.83733659999996</v>
      </c>
      <c r="H342" s="141">
        <f t="shared" si="58"/>
        <v>136352.23594719998</v>
      </c>
      <c r="I342" s="57"/>
      <c r="J342" s="32"/>
      <c r="K342" s="57"/>
      <c r="L342" s="57"/>
      <c r="M342" s="57"/>
      <c r="N342" s="57"/>
      <c r="O342" s="57"/>
      <c r="P342" s="142"/>
      <c r="Q342" s="40"/>
      <c r="R342" s="142"/>
      <c r="S342" s="32"/>
      <c r="U342" s="42"/>
      <c r="V342" s="42"/>
      <c r="W342" s="42"/>
    </row>
    <row r="343" spans="1:23" s="28" customFormat="1" ht="15" x14ac:dyDescent="0.2">
      <c r="A343" s="30"/>
      <c r="B343" s="136" t="s">
        <v>666</v>
      </c>
      <c r="C343" s="137" t="s">
        <v>620</v>
      </c>
      <c r="D343" s="147">
        <v>0.11899999999999999</v>
      </c>
      <c r="E343" s="139"/>
      <c r="F343" s="144">
        <v>7716.7</v>
      </c>
      <c r="G343" s="141">
        <f t="shared" si="57"/>
        <v>71444.140946</v>
      </c>
      <c r="H343" s="141">
        <f t="shared" si="58"/>
        <v>8501.8527725739987</v>
      </c>
      <c r="I343" s="57"/>
      <c r="J343" s="32"/>
      <c r="K343" s="57"/>
      <c r="L343" s="57"/>
      <c r="M343" s="57"/>
      <c r="N343" s="57"/>
      <c r="O343" s="57"/>
      <c r="P343" s="142"/>
      <c r="Q343" s="40"/>
      <c r="R343" s="142"/>
      <c r="S343" s="32"/>
      <c r="U343" s="42"/>
      <c r="V343" s="42"/>
      <c r="W343" s="42"/>
    </row>
    <row r="344" spans="1:23" s="28" customFormat="1" ht="15" x14ac:dyDescent="0.2">
      <c r="A344" s="30"/>
      <c r="B344" s="136" t="s">
        <v>667</v>
      </c>
      <c r="C344" s="137" t="s">
        <v>620</v>
      </c>
      <c r="D344" s="146">
        <v>0.06</v>
      </c>
      <c r="E344" s="139"/>
      <c r="F344" s="144">
        <v>9360</v>
      </c>
      <c r="G344" s="141">
        <f t="shared" si="57"/>
        <v>86658.436799999996</v>
      </c>
      <c r="H344" s="141">
        <f t="shared" si="58"/>
        <v>5199.5062079999998</v>
      </c>
      <c r="I344" s="57"/>
      <c r="J344" s="32"/>
      <c r="K344" s="57"/>
      <c r="L344" s="57"/>
      <c r="M344" s="57"/>
      <c r="N344" s="57"/>
      <c r="O344" s="57"/>
      <c r="P344" s="142"/>
      <c r="Q344" s="40"/>
      <c r="R344" s="142"/>
      <c r="S344" s="32"/>
      <c r="U344" s="42"/>
      <c r="V344" s="42"/>
      <c r="W344" s="42"/>
    </row>
    <row r="345" spans="1:23" s="28" customFormat="1" ht="15" x14ac:dyDescent="0.2">
      <c r="A345" s="30"/>
      <c r="B345" s="136" t="s">
        <v>668</v>
      </c>
      <c r="C345" s="137" t="s">
        <v>616</v>
      </c>
      <c r="D345" s="138">
        <v>55</v>
      </c>
      <c r="E345" s="139"/>
      <c r="F345" s="140">
        <v>10.47</v>
      </c>
      <c r="G345" s="141">
        <f t="shared" si="57"/>
        <v>96.935238600000005</v>
      </c>
      <c r="H345" s="141">
        <f t="shared" si="58"/>
        <v>5331.4381229999999</v>
      </c>
      <c r="I345" s="57"/>
      <c r="J345" s="32"/>
      <c r="K345" s="57"/>
      <c r="L345" s="57"/>
      <c r="M345" s="57"/>
      <c r="N345" s="57"/>
      <c r="O345" s="57"/>
      <c r="P345" s="142"/>
      <c r="Q345" s="40"/>
      <c r="R345" s="142"/>
      <c r="S345" s="32"/>
      <c r="U345" s="42"/>
      <c r="V345" s="42"/>
      <c r="W345" s="42"/>
    </row>
    <row r="346" spans="1:23" s="28" customFormat="1" ht="15" x14ac:dyDescent="0.2">
      <c r="A346" s="30"/>
      <c r="B346" s="136" t="s">
        <v>669</v>
      </c>
      <c r="C346" s="137" t="s">
        <v>620</v>
      </c>
      <c r="D346" s="143">
        <v>0.16652</v>
      </c>
      <c r="E346" s="139"/>
      <c r="F346" s="144">
        <v>14690</v>
      </c>
      <c r="G346" s="141">
        <f t="shared" si="57"/>
        <v>136005.60219999999</v>
      </c>
      <c r="H346" s="141">
        <f t="shared" si="58"/>
        <v>22647.652878344001</v>
      </c>
      <c r="I346" s="57"/>
      <c r="J346" s="32"/>
      <c r="K346" s="57"/>
      <c r="L346" s="57"/>
      <c r="M346" s="57"/>
      <c r="N346" s="57"/>
      <c r="O346" s="57"/>
      <c r="P346" s="142"/>
      <c r="Q346" s="40"/>
      <c r="R346" s="142"/>
      <c r="S346" s="32"/>
      <c r="U346" s="42"/>
      <c r="V346" s="42"/>
      <c r="W346" s="42"/>
    </row>
    <row r="347" spans="1:23" s="28" customFormat="1" ht="28.5" x14ac:dyDescent="0.2">
      <c r="A347" s="30"/>
      <c r="B347" s="136" t="s">
        <v>670</v>
      </c>
      <c r="C347" s="137" t="s">
        <v>620</v>
      </c>
      <c r="D347" s="147">
        <v>4.0000000000000001E-3</v>
      </c>
      <c r="E347" s="139"/>
      <c r="F347" s="144">
        <v>53913.8</v>
      </c>
      <c r="G347" s="141">
        <f t="shared" si="57"/>
        <v>499154.44764400006</v>
      </c>
      <c r="H347" s="141">
        <f t="shared" si="58"/>
        <v>1996.6177905760003</v>
      </c>
      <c r="I347" s="57"/>
      <c r="J347" s="32"/>
      <c r="K347" s="57"/>
      <c r="L347" s="57"/>
      <c r="M347" s="57"/>
      <c r="N347" s="57"/>
      <c r="O347" s="57"/>
      <c r="P347" s="142"/>
      <c r="Q347" s="40"/>
      <c r="R347" s="142"/>
      <c r="S347" s="32"/>
      <c r="U347" s="42"/>
      <c r="V347" s="42"/>
      <c r="W347" s="42"/>
    </row>
    <row r="348" spans="1:23" s="28" customFormat="1" ht="28.5" x14ac:dyDescent="0.2">
      <c r="A348" s="30"/>
      <c r="B348" s="136" t="s">
        <v>671</v>
      </c>
      <c r="C348" s="137" t="s">
        <v>641</v>
      </c>
      <c r="D348" s="145">
        <v>1.6</v>
      </c>
      <c r="E348" s="139"/>
      <c r="F348" s="140">
        <v>69.89</v>
      </c>
      <c r="G348" s="141">
        <f t="shared" si="57"/>
        <v>647.06817820000003</v>
      </c>
      <c r="H348" s="141">
        <f t="shared" si="58"/>
        <v>1035.3090851200002</v>
      </c>
      <c r="I348" s="57"/>
      <c r="J348" s="32"/>
      <c r="K348" s="57"/>
      <c r="L348" s="57"/>
      <c r="M348" s="57"/>
      <c r="N348" s="57"/>
      <c r="O348" s="57"/>
      <c r="P348" s="142"/>
      <c r="Q348" s="40"/>
      <c r="R348" s="142"/>
      <c r="S348" s="32"/>
      <c r="U348" s="42"/>
      <c r="V348" s="42"/>
      <c r="W348" s="42"/>
    </row>
    <row r="349" spans="1:23" s="28" customFormat="1" ht="28.5" x14ac:dyDescent="0.2">
      <c r="A349" s="30"/>
      <c r="B349" s="136" t="s">
        <v>672</v>
      </c>
      <c r="C349" s="137" t="s">
        <v>641</v>
      </c>
      <c r="D349" s="145">
        <v>3.7</v>
      </c>
      <c r="E349" s="139"/>
      <c r="F349" s="140">
        <v>80</v>
      </c>
      <c r="G349" s="141">
        <f t="shared" si="57"/>
        <v>740.67039999999997</v>
      </c>
      <c r="H349" s="141">
        <f t="shared" si="58"/>
        <v>2740.4804800000002</v>
      </c>
      <c r="I349" s="57"/>
      <c r="J349" s="32"/>
      <c r="K349" s="57"/>
      <c r="L349" s="57"/>
      <c r="M349" s="57"/>
      <c r="N349" s="57"/>
      <c r="O349" s="57"/>
      <c r="P349" s="142"/>
      <c r="Q349" s="40"/>
      <c r="R349" s="142"/>
      <c r="S349" s="32"/>
      <c r="U349" s="42"/>
      <c r="V349" s="42"/>
      <c r="W349" s="42"/>
    </row>
    <row r="350" spans="1:23" s="28" customFormat="1" ht="28.5" x14ac:dyDescent="0.2">
      <c r="A350" s="30"/>
      <c r="B350" s="136" t="s">
        <v>673</v>
      </c>
      <c r="C350" s="137" t="s">
        <v>641</v>
      </c>
      <c r="D350" s="145">
        <v>0.6</v>
      </c>
      <c r="E350" s="139"/>
      <c r="F350" s="140">
        <v>91.52</v>
      </c>
      <c r="G350" s="141">
        <f t="shared" si="57"/>
        <v>847.32693759999995</v>
      </c>
      <c r="H350" s="141">
        <f t="shared" si="58"/>
        <v>508.39616255999994</v>
      </c>
      <c r="I350" s="57"/>
      <c r="J350" s="32"/>
      <c r="K350" s="57"/>
      <c r="L350" s="57"/>
      <c r="M350" s="57"/>
      <c r="N350" s="57"/>
      <c r="O350" s="57"/>
      <c r="P350" s="142"/>
      <c r="Q350" s="40"/>
      <c r="R350" s="142"/>
      <c r="S350" s="32"/>
      <c r="U350" s="42"/>
      <c r="V350" s="42"/>
      <c r="W350" s="42"/>
    </row>
    <row r="351" spans="1:23" s="28" customFormat="1" ht="28.5" x14ac:dyDescent="0.2">
      <c r="A351" s="30"/>
      <c r="B351" s="136" t="s">
        <v>674</v>
      </c>
      <c r="C351" s="137" t="s">
        <v>641</v>
      </c>
      <c r="D351" s="146">
        <v>0.14000000000000001</v>
      </c>
      <c r="E351" s="139"/>
      <c r="F351" s="140">
        <v>118</v>
      </c>
      <c r="G351" s="141">
        <f t="shared" si="57"/>
        <v>1092.48884</v>
      </c>
      <c r="H351" s="141">
        <f t="shared" si="58"/>
        <v>152.94843760000001</v>
      </c>
      <c r="I351" s="57"/>
      <c r="J351" s="32"/>
      <c r="K351" s="57"/>
      <c r="L351" s="57"/>
      <c r="M351" s="57"/>
      <c r="N351" s="57"/>
      <c r="O351" s="57"/>
      <c r="P351" s="142"/>
      <c r="Q351" s="40"/>
      <c r="R351" s="142"/>
      <c r="S351" s="32"/>
      <c r="U351" s="42"/>
      <c r="V351" s="42"/>
      <c r="W351" s="42"/>
    </row>
    <row r="352" spans="1:23" s="28" customFormat="1" ht="28.5" x14ac:dyDescent="0.2">
      <c r="A352" s="30"/>
      <c r="B352" s="136" t="s">
        <v>675</v>
      </c>
      <c r="C352" s="137" t="s">
        <v>641</v>
      </c>
      <c r="D352" s="146">
        <v>0.88</v>
      </c>
      <c r="E352" s="139"/>
      <c r="F352" s="140">
        <v>231</v>
      </c>
      <c r="G352" s="141">
        <f t="shared" si="57"/>
        <v>2138.6857799999998</v>
      </c>
      <c r="H352" s="141">
        <f t="shared" si="58"/>
        <v>1882.0434863999999</v>
      </c>
      <c r="I352" s="57"/>
      <c r="J352" s="32"/>
      <c r="K352" s="57"/>
      <c r="L352" s="57"/>
      <c r="M352" s="57"/>
      <c r="N352" s="57"/>
      <c r="O352" s="57"/>
      <c r="P352" s="142"/>
      <c r="Q352" s="40"/>
      <c r="R352" s="142"/>
      <c r="S352" s="32"/>
      <c r="U352" s="42"/>
      <c r="V352" s="42"/>
      <c r="W352" s="42"/>
    </row>
    <row r="353" spans="1:23" s="28" customFormat="1" ht="28.5" x14ac:dyDescent="0.2">
      <c r="A353" s="30"/>
      <c r="B353" s="136" t="s">
        <v>676</v>
      </c>
      <c r="C353" s="137" t="s">
        <v>641</v>
      </c>
      <c r="D353" s="145">
        <v>0.1</v>
      </c>
      <c r="E353" s="139"/>
      <c r="F353" s="140">
        <v>231</v>
      </c>
      <c r="G353" s="141">
        <f t="shared" si="57"/>
        <v>2138.6857799999998</v>
      </c>
      <c r="H353" s="141">
        <f t="shared" si="58"/>
        <v>213.86857799999999</v>
      </c>
      <c r="I353" s="57"/>
      <c r="J353" s="32"/>
      <c r="K353" s="57"/>
      <c r="L353" s="57"/>
      <c r="M353" s="57"/>
      <c r="N353" s="57"/>
      <c r="O353" s="57"/>
      <c r="P353" s="142"/>
      <c r="Q353" s="40"/>
      <c r="R353" s="142"/>
      <c r="S353" s="32"/>
      <c r="U353" s="42"/>
      <c r="V353" s="42"/>
      <c r="W353" s="42"/>
    </row>
    <row r="354" spans="1:23" s="28" customFormat="1" ht="42.75" x14ac:dyDescent="0.2">
      <c r="A354" s="30"/>
      <c r="B354" s="136" t="s">
        <v>677</v>
      </c>
      <c r="C354" s="137" t="s">
        <v>641</v>
      </c>
      <c r="D354" s="146">
        <v>0.01</v>
      </c>
      <c r="E354" s="139"/>
      <c r="F354" s="144">
        <v>3279</v>
      </c>
      <c r="G354" s="141">
        <f t="shared" si="57"/>
        <v>30358.228019999999</v>
      </c>
      <c r="H354" s="141">
        <f t="shared" si="58"/>
        <v>303.58228020000001</v>
      </c>
      <c r="I354" s="57"/>
      <c r="J354" s="32"/>
      <c r="K354" s="57"/>
      <c r="L354" s="57"/>
      <c r="M354" s="57"/>
      <c r="N354" s="57"/>
      <c r="O354" s="57"/>
      <c r="P354" s="142"/>
      <c r="Q354" s="40"/>
      <c r="R354" s="142"/>
      <c r="S354" s="32"/>
      <c r="U354" s="42"/>
      <c r="V354" s="42"/>
      <c r="W354" s="42"/>
    </row>
    <row r="355" spans="1:23" s="28" customFormat="1" ht="28.5" x14ac:dyDescent="0.2">
      <c r="A355" s="30"/>
      <c r="B355" s="136" t="s">
        <v>678</v>
      </c>
      <c r="C355" s="137" t="s">
        <v>679</v>
      </c>
      <c r="D355" s="138">
        <v>3</v>
      </c>
      <c r="E355" s="139"/>
      <c r="F355" s="140">
        <v>578.33000000000004</v>
      </c>
      <c r="G355" s="141">
        <f t="shared" si="57"/>
        <v>5354.3989054000003</v>
      </c>
      <c r="H355" s="141">
        <f t="shared" si="58"/>
        <v>16063.1967162</v>
      </c>
      <c r="I355" s="57"/>
      <c r="J355" s="32"/>
      <c r="K355" s="57"/>
      <c r="L355" s="57"/>
      <c r="M355" s="57"/>
      <c r="N355" s="57"/>
      <c r="O355" s="57"/>
      <c r="P355" s="142"/>
      <c r="Q355" s="40"/>
      <c r="R355" s="142"/>
      <c r="S355" s="32"/>
      <c r="U355" s="42"/>
      <c r="V355" s="42"/>
      <c r="W355" s="42"/>
    </row>
    <row r="356" spans="1:23" s="28" customFormat="1" ht="71.25" x14ac:dyDescent="0.2">
      <c r="A356" s="30"/>
      <c r="B356" s="136" t="s">
        <v>680</v>
      </c>
      <c r="C356" s="137" t="s">
        <v>681</v>
      </c>
      <c r="D356" s="145">
        <v>4.5</v>
      </c>
      <c r="E356" s="139"/>
      <c r="F356" s="140">
        <v>65.400000000000006</v>
      </c>
      <c r="G356" s="141">
        <f t="shared" si="57"/>
        <v>605.49805200000003</v>
      </c>
      <c r="H356" s="141">
        <f t="shared" si="58"/>
        <v>2724.7412340000001</v>
      </c>
      <c r="I356" s="57"/>
      <c r="J356" s="32"/>
      <c r="K356" s="57"/>
      <c r="L356" s="57"/>
      <c r="M356" s="57"/>
      <c r="N356" s="57"/>
      <c r="O356" s="57"/>
      <c r="P356" s="142"/>
      <c r="Q356" s="40"/>
      <c r="R356" s="142"/>
      <c r="S356" s="32"/>
      <c r="U356" s="42"/>
      <c r="V356" s="42"/>
      <c r="W356" s="42"/>
    </row>
    <row r="357" spans="1:23" s="28" customFormat="1" ht="42.75" x14ac:dyDescent="0.2">
      <c r="A357" s="30"/>
      <c r="B357" s="136" t="s">
        <v>682</v>
      </c>
      <c r="C357" s="137" t="s">
        <v>681</v>
      </c>
      <c r="D357" s="145">
        <v>0.5</v>
      </c>
      <c r="E357" s="139"/>
      <c r="F357" s="140">
        <v>130.1</v>
      </c>
      <c r="G357" s="141">
        <f t="shared" si="57"/>
        <v>1204.515238</v>
      </c>
      <c r="H357" s="141">
        <f t="shared" si="58"/>
        <v>602.25761899999998</v>
      </c>
      <c r="I357" s="57"/>
      <c r="J357" s="32"/>
      <c r="K357" s="57"/>
      <c r="L357" s="57"/>
      <c r="M357" s="57"/>
      <c r="N357" s="57"/>
      <c r="O357" s="57"/>
      <c r="P357" s="142"/>
      <c r="Q357" s="40"/>
      <c r="R357" s="142"/>
      <c r="S357" s="32"/>
      <c r="U357" s="42"/>
      <c r="V357" s="42"/>
      <c r="W357" s="42"/>
    </row>
    <row r="358" spans="1:23" s="28" customFormat="1" ht="85.5" x14ac:dyDescent="0.2">
      <c r="A358" s="30"/>
      <c r="B358" s="136" t="s">
        <v>683</v>
      </c>
      <c r="C358" s="137" t="s">
        <v>535</v>
      </c>
      <c r="D358" s="146">
        <v>0.39</v>
      </c>
      <c r="E358" s="139"/>
      <c r="F358" s="144">
        <v>10960.87</v>
      </c>
      <c r="G358" s="141">
        <f t="shared" si="57"/>
        <v>101479.89959060001</v>
      </c>
      <c r="H358" s="141">
        <f t="shared" si="58"/>
        <v>39577.160840334007</v>
      </c>
      <c r="I358" s="57"/>
      <c r="J358" s="32"/>
      <c r="K358" s="57"/>
      <c r="L358" s="57"/>
      <c r="M358" s="57"/>
      <c r="N358" s="57"/>
      <c r="O358" s="57"/>
      <c r="P358" s="142"/>
      <c r="Q358" s="40"/>
      <c r="R358" s="142"/>
      <c r="S358" s="32"/>
      <c r="U358" s="42"/>
      <c r="V358" s="42"/>
      <c r="W358" s="42"/>
    </row>
    <row r="359" spans="1:23" s="28" customFormat="1" ht="85.5" x14ac:dyDescent="0.2">
      <c r="A359" s="30"/>
      <c r="B359" s="136" t="s">
        <v>684</v>
      </c>
      <c r="C359" s="137" t="s">
        <v>535</v>
      </c>
      <c r="D359" s="147">
        <v>7.4999999999999997E-2</v>
      </c>
      <c r="E359" s="139"/>
      <c r="F359" s="144">
        <v>14498.24</v>
      </c>
      <c r="G359" s="141">
        <f t="shared" si="57"/>
        <v>134230.21525119999</v>
      </c>
      <c r="H359" s="141">
        <f t="shared" si="58"/>
        <v>10067.266143839999</v>
      </c>
      <c r="I359" s="57"/>
      <c r="J359" s="32"/>
      <c r="K359" s="57"/>
      <c r="L359" s="57"/>
      <c r="M359" s="57"/>
      <c r="N359" s="57"/>
      <c r="O359" s="57"/>
      <c r="P359" s="142"/>
      <c r="Q359" s="40"/>
      <c r="R359" s="142"/>
      <c r="S359" s="32"/>
      <c r="U359" s="42"/>
      <c r="V359" s="42"/>
      <c r="W359" s="42"/>
    </row>
    <row r="360" spans="1:23" s="28" customFormat="1" ht="85.5" x14ac:dyDescent="0.2">
      <c r="A360" s="30"/>
      <c r="B360" s="136" t="s">
        <v>685</v>
      </c>
      <c r="C360" s="137" t="s">
        <v>535</v>
      </c>
      <c r="D360" s="147">
        <v>7.4999999999999997E-2</v>
      </c>
      <c r="E360" s="139"/>
      <c r="F360" s="144">
        <v>14498.24</v>
      </c>
      <c r="G360" s="141">
        <f t="shared" si="57"/>
        <v>134230.21525119999</v>
      </c>
      <c r="H360" s="141">
        <f t="shared" si="58"/>
        <v>10067.266143839999</v>
      </c>
      <c r="I360" s="57"/>
      <c r="J360" s="32"/>
      <c r="K360" s="57"/>
      <c r="L360" s="57"/>
      <c r="M360" s="57"/>
      <c r="N360" s="57"/>
      <c r="O360" s="57"/>
      <c r="P360" s="142"/>
      <c r="Q360" s="40"/>
      <c r="R360" s="142"/>
      <c r="S360" s="32"/>
      <c r="U360" s="42"/>
      <c r="V360" s="42"/>
      <c r="W360" s="42"/>
    </row>
    <row r="361" spans="1:23" s="28" customFormat="1" ht="99.75" x14ac:dyDescent="0.2">
      <c r="A361" s="30"/>
      <c r="B361" s="136" t="s">
        <v>686</v>
      </c>
      <c r="C361" s="137" t="s">
        <v>535</v>
      </c>
      <c r="D361" s="146">
        <v>0.05</v>
      </c>
      <c r="E361" s="139"/>
      <c r="F361" s="144">
        <v>13169.99</v>
      </c>
      <c r="G361" s="141">
        <f t="shared" si="57"/>
        <v>121932.77201619999</v>
      </c>
      <c r="H361" s="141">
        <f t="shared" si="58"/>
        <v>6096.6386008099998</v>
      </c>
      <c r="I361" s="57"/>
      <c r="J361" s="32"/>
      <c r="K361" s="57"/>
      <c r="L361" s="57"/>
      <c r="M361" s="57"/>
      <c r="N361" s="57"/>
      <c r="O361" s="57"/>
      <c r="P361" s="142"/>
      <c r="Q361" s="40"/>
      <c r="R361" s="142"/>
      <c r="S361" s="32"/>
      <c r="U361" s="42"/>
      <c r="V361" s="42"/>
      <c r="W361" s="42"/>
    </row>
    <row r="362" spans="1:23" s="28" customFormat="1" ht="99.75" x14ac:dyDescent="0.2">
      <c r="A362" s="30"/>
      <c r="B362" s="136" t="s">
        <v>687</v>
      </c>
      <c r="C362" s="137" t="s">
        <v>535</v>
      </c>
      <c r="D362" s="145">
        <v>0.1</v>
      </c>
      <c r="E362" s="139"/>
      <c r="F362" s="144">
        <v>17706.439999999999</v>
      </c>
      <c r="G362" s="141">
        <f t="shared" ref="G362:G370" si="59">F362*$G$296*$H$296</f>
        <v>163932.94996719999</v>
      </c>
      <c r="H362" s="141">
        <f t="shared" ref="H362:H370" si="60">G362*D362</f>
        <v>16393.29499672</v>
      </c>
      <c r="I362" s="57"/>
      <c r="J362" s="32"/>
      <c r="K362" s="57"/>
      <c r="L362" s="57"/>
      <c r="M362" s="57"/>
      <c r="N362" s="57"/>
      <c r="O362" s="57"/>
      <c r="P362" s="142"/>
      <c r="Q362" s="40"/>
      <c r="R362" s="142"/>
      <c r="S362" s="32"/>
      <c r="U362" s="42"/>
      <c r="V362" s="42"/>
      <c r="W362" s="42"/>
    </row>
    <row r="363" spans="1:23" s="28" customFormat="1" ht="28.5" x14ac:dyDescent="0.2">
      <c r="A363" s="30"/>
      <c r="B363" s="136" t="s">
        <v>688</v>
      </c>
      <c r="C363" s="137" t="s">
        <v>535</v>
      </c>
      <c r="D363" s="146">
        <v>0.05</v>
      </c>
      <c r="E363" s="139"/>
      <c r="F363" s="144">
        <v>26301.07</v>
      </c>
      <c r="G363" s="141">
        <f t="shared" si="59"/>
        <v>243505.30046659999</v>
      </c>
      <c r="H363" s="141">
        <f t="shared" si="60"/>
        <v>12175.265023330001</v>
      </c>
      <c r="I363" s="57"/>
      <c r="J363" s="32"/>
      <c r="K363" s="57"/>
      <c r="L363" s="57"/>
      <c r="M363" s="57"/>
      <c r="N363" s="57"/>
      <c r="O363" s="57"/>
      <c r="P363" s="142"/>
      <c r="Q363" s="40"/>
      <c r="R363" s="142"/>
      <c r="S363" s="32"/>
      <c r="U363" s="42"/>
      <c r="V363" s="42"/>
      <c r="W363" s="42"/>
    </row>
    <row r="364" spans="1:23" s="28" customFormat="1" ht="28.5" x14ac:dyDescent="0.2">
      <c r="A364" s="30"/>
      <c r="B364" s="136" t="s">
        <v>689</v>
      </c>
      <c r="C364" s="137" t="s">
        <v>535</v>
      </c>
      <c r="D364" s="147">
        <v>1.2E-2</v>
      </c>
      <c r="E364" s="139"/>
      <c r="F364" s="144">
        <v>15576.85</v>
      </c>
      <c r="G364" s="141">
        <f t="shared" si="59"/>
        <v>144216.396503</v>
      </c>
      <c r="H364" s="141">
        <f t="shared" si="60"/>
        <v>1730.596758036</v>
      </c>
      <c r="I364" s="57"/>
      <c r="J364" s="32"/>
      <c r="K364" s="57"/>
      <c r="L364" s="57"/>
      <c r="M364" s="57"/>
      <c r="N364" s="57"/>
      <c r="O364" s="57"/>
      <c r="P364" s="142"/>
      <c r="Q364" s="40"/>
      <c r="R364" s="142"/>
      <c r="S364" s="32"/>
      <c r="U364" s="42"/>
      <c r="V364" s="42"/>
      <c r="W364" s="42"/>
    </row>
    <row r="365" spans="1:23" s="28" customFormat="1" ht="28.5" x14ac:dyDescent="0.2">
      <c r="A365" s="30"/>
      <c r="B365" s="136" t="s">
        <v>690</v>
      </c>
      <c r="C365" s="137" t="s">
        <v>535</v>
      </c>
      <c r="D365" s="145">
        <v>0.5</v>
      </c>
      <c r="E365" s="139"/>
      <c r="F365" s="144">
        <v>21256.79</v>
      </c>
      <c r="G365" s="141">
        <f t="shared" si="59"/>
        <v>196803.4394002</v>
      </c>
      <c r="H365" s="141">
        <f t="shared" si="60"/>
        <v>98401.719700100002</v>
      </c>
      <c r="I365" s="57"/>
      <c r="J365" s="32"/>
      <c r="K365" s="57"/>
      <c r="L365" s="57"/>
      <c r="M365" s="57"/>
      <c r="N365" s="57"/>
      <c r="O365" s="57"/>
      <c r="P365" s="142"/>
      <c r="Q365" s="40"/>
      <c r="R365" s="142"/>
      <c r="S365" s="32"/>
      <c r="U365" s="42"/>
      <c r="V365" s="42"/>
      <c r="W365" s="42"/>
    </row>
    <row r="366" spans="1:23" s="28" customFormat="1" ht="85.5" x14ac:dyDescent="0.2">
      <c r="A366" s="30"/>
      <c r="B366" s="136" t="s">
        <v>691</v>
      </c>
      <c r="C366" s="137" t="s">
        <v>535</v>
      </c>
      <c r="D366" s="146">
        <v>0.13</v>
      </c>
      <c r="E366" s="139"/>
      <c r="F366" s="144">
        <v>23221.78</v>
      </c>
      <c r="G366" s="141">
        <f t="shared" si="59"/>
        <v>214996.0635164</v>
      </c>
      <c r="H366" s="141">
        <f t="shared" si="60"/>
        <v>27949.488257132001</v>
      </c>
      <c r="I366" s="57"/>
      <c r="J366" s="32"/>
      <c r="K366" s="57"/>
      <c r="L366" s="57"/>
      <c r="M366" s="57"/>
      <c r="N366" s="57"/>
      <c r="O366" s="57"/>
      <c r="P366" s="142"/>
      <c r="Q366" s="40"/>
      <c r="R366" s="142"/>
      <c r="S366" s="32"/>
      <c r="U366" s="42"/>
      <c r="V366" s="42"/>
      <c r="W366" s="42"/>
    </row>
    <row r="367" spans="1:23" s="28" customFormat="1" ht="71.25" x14ac:dyDescent="0.2">
      <c r="A367" s="30"/>
      <c r="B367" s="136" t="s">
        <v>692</v>
      </c>
      <c r="C367" s="137" t="s">
        <v>392</v>
      </c>
      <c r="D367" s="138">
        <v>56</v>
      </c>
      <c r="E367" s="139"/>
      <c r="F367" s="140">
        <v>26.5</v>
      </c>
      <c r="G367" s="141">
        <f t="shared" si="59"/>
        <v>245.34706999999997</v>
      </c>
      <c r="H367" s="141">
        <f t="shared" si="60"/>
        <v>13739.435919999998</v>
      </c>
      <c r="I367" s="57"/>
      <c r="J367" s="32"/>
      <c r="K367" s="57"/>
      <c r="L367" s="57"/>
      <c r="M367" s="57"/>
      <c r="N367" s="57"/>
      <c r="O367" s="57"/>
      <c r="P367" s="142"/>
      <c r="Q367" s="40"/>
      <c r="R367" s="142"/>
      <c r="S367" s="32"/>
      <c r="U367" s="42"/>
      <c r="V367" s="42"/>
      <c r="W367" s="42"/>
    </row>
    <row r="368" spans="1:23" s="28" customFormat="1" ht="42.75" x14ac:dyDescent="0.2">
      <c r="A368" s="30"/>
      <c r="B368" s="136" t="s">
        <v>693</v>
      </c>
      <c r="C368" s="137" t="s">
        <v>392</v>
      </c>
      <c r="D368" s="138">
        <v>10</v>
      </c>
      <c r="E368" s="139"/>
      <c r="F368" s="140">
        <v>1.86</v>
      </c>
      <c r="G368" s="141">
        <f t="shared" si="59"/>
        <v>17.2205868</v>
      </c>
      <c r="H368" s="141">
        <f t="shared" si="60"/>
        <v>172.20586800000001</v>
      </c>
      <c r="I368" s="57"/>
      <c r="J368" s="32"/>
      <c r="K368" s="57"/>
      <c r="L368" s="57"/>
      <c r="M368" s="57"/>
      <c r="N368" s="57"/>
      <c r="O368" s="57"/>
      <c r="P368" s="142"/>
      <c r="Q368" s="40"/>
      <c r="R368" s="142"/>
      <c r="S368" s="32"/>
      <c r="U368" s="42"/>
      <c r="V368" s="42"/>
      <c r="W368" s="42"/>
    </row>
    <row r="369" spans="1:23" s="28" customFormat="1" ht="42.75" x14ac:dyDescent="0.2">
      <c r="A369" s="30"/>
      <c r="B369" s="136" t="s">
        <v>694</v>
      </c>
      <c r="C369" s="137" t="s">
        <v>392</v>
      </c>
      <c r="D369" s="138">
        <v>10</v>
      </c>
      <c r="E369" s="139"/>
      <c r="F369" s="140">
        <v>2.78</v>
      </c>
      <c r="G369" s="141">
        <f t="shared" si="59"/>
        <v>25.738296399999996</v>
      </c>
      <c r="H369" s="141">
        <f t="shared" si="60"/>
        <v>257.38296399999996</v>
      </c>
      <c r="I369" s="57"/>
      <c r="J369" s="32"/>
      <c r="K369" s="57"/>
      <c r="L369" s="57"/>
      <c r="M369" s="57"/>
      <c r="N369" s="57"/>
      <c r="O369" s="57"/>
      <c r="P369" s="142"/>
      <c r="Q369" s="40"/>
      <c r="R369" s="142"/>
      <c r="S369" s="32"/>
      <c r="U369" s="42"/>
      <c r="V369" s="42"/>
      <c r="W369" s="42"/>
    </row>
    <row r="370" spans="1:23" s="28" customFormat="1" ht="71.25" x14ac:dyDescent="0.2">
      <c r="A370" s="30"/>
      <c r="B370" s="136" t="s">
        <v>695</v>
      </c>
      <c r="C370" s="137" t="s">
        <v>679</v>
      </c>
      <c r="D370" s="138">
        <v>4</v>
      </c>
      <c r="E370" s="139"/>
      <c r="F370" s="140">
        <v>24.82</v>
      </c>
      <c r="G370" s="141">
        <f t="shared" si="59"/>
        <v>229.79299159999999</v>
      </c>
      <c r="H370" s="141">
        <f t="shared" si="60"/>
        <v>919.17196639999997</v>
      </c>
      <c r="I370" s="57"/>
      <c r="J370" s="32"/>
      <c r="K370" s="57"/>
      <c r="L370" s="57"/>
      <c r="M370" s="57"/>
      <c r="N370" s="57"/>
      <c r="O370" s="57"/>
      <c r="P370" s="142"/>
      <c r="Q370" s="40"/>
      <c r="R370" s="142"/>
      <c r="S370" s="32"/>
      <c r="U370" s="42"/>
      <c r="V370" s="42"/>
      <c r="W370" s="42"/>
    </row>
    <row r="371" spans="1:23" s="10" customFormat="1" ht="16.5" customHeight="1" x14ac:dyDescent="0.25">
      <c r="A371" s="150"/>
      <c r="B371" s="151"/>
      <c r="C371" s="151"/>
      <c r="D371" s="151"/>
      <c r="E371" s="152"/>
      <c r="F371" s="151"/>
      <c r="G371" s="151"/>
      <c r="H371" s="151"/>
      <c r="I371" s="151"/>
      <c r="J371" s="153"/>
      <c r="K371" s="150"/>
      <c r="L371" s="150"/>
      <c r="M371" s="150"/>
      <c r="N371" s="150"/>
      <c r="O371" s="150"/>
      <c r="P371" s="150"/>
      <c r="Q371" s="150"/>
      <c r="R371" s="150"/>
      <c r="S371" s="150"/>
      <c r="U371" s="99"/>
    </row>
    <row r="372" spans="1:23" x14ac:dyDescent="0.2">
      <c r="B372" s="154"/>
      <c r="C372" s="94"/>
      <c r="D372" s="94"/>
      <c r="E372" s="155"/>
      <c r="F372" s="156"/>
      <c r="H372" s="1"/>
      <c r="K372" s="1"/>
      <c r="N372" s="1"/>
    </row>
    <row r="373" spans="1:23" x14ac:dyDescent="0.2">
      <c r="B373" s="154"/>
      <c r="C373" s="94"/>
      <c r="D373" s="94"/>
      <c r="E373" s="155"/>
      <c r="F373" s="156"/>
      <c r="H373" s="1"/>
      <c r="K373" s="1"/>
      <c r="N373" s="1"/>
    </row>
    <row r="374" spans="1:23" x14ac:dyDescent="0.2">
      <c r="B374" s="154"/>
      <c r="C374" s="94"/>
      <c r="D374" s="94"/>
      <c r="E374" s="155"/>
      <c r="H374" s="1"/>
      <c r="K374" s="1"/>
      <c r="N374" s="1"/>
    </row>
    <row r="375" spans="1:23" x14ac:dyDescent="0.2">
      <c r="B375" s="154"/>
      <c r="C375" s="94"/>
      <c r="D375" s="94"/>
      <c r="E375" s="155"/>
      <c r="H375" s="1"/>
      <c r="K375" s="1"/>
      <c r="N375" s="1"/>
    </row>
    <row r="376" spans="1:23" x14ac:dyDescent="0.2">
      <c r="B376" s="154"/>
      <c r="C376" s="94"/>
      <c r="D376" s="94"/>
      <c r="E376" s="155"/>
      <c r="H376" s="1"/>
      <c r="K376" s="1"/>
      <c r="N376" s="1"/>
    </row>
    <row r="377" spans="1:23" x14ac:dyDescent="0.2">
      <c r="B377" s="154"/>
      <c r="C377" s="94"/>
      <c r="D377" s="94"/>
      <c r="E377" s="155"/>
      <c r="H377" s="1"/>
      <c r="K377" s="1"/>
      <c r="N377" s="1"/>
    </row>
    <row r="378" spans="1:23" x14ac:dyDescent="0.2">
      <c r="B378" s="154"/>
      <c r="C378" s="94"/>
      <c r="D378" s="94"/>
      <c r="E378" s="155"/>
      <c r="H378" s="1"/>
      <c r="K378" s="1"/>
      <c r="N378" s="1"/>
    </row>
    <row r="379" spans="1:23" x14ac:dyDescent="0.2">
      <c r="B379" s="154"/>
      <c r="C379" s="94"/>
      <c r="D379" s="94"/>
      <c r="E379" s="155"/>
      <c r="H379" s="1"/>
      <c r="K379" s="1"/>
      <c r="N379" s="1"/>
    </row>
    <row r="380" spans="1:23" x14ac:dyDescent="0.2">
      <c r="B380" s="154"/>
      <c r="C380" s="94"/>
      <c r="D380" s="94"/>
      <c r="E380" s="155"/>
      <c r="H380" s="1"/>
      <c r="K380" s="1"/>
      <c r="N380" s="1"/>
    </row>
    <row r="381" spans="1:23" x14ac:dyDescent="0.2">
      <c r="B381" s="154"/>
      <c r="C381" s="94"/>
      <c r="D381" s="94"/>
      <c r="E381" s="155"/>
      <c r="H381" s="1"/>
      <c r="K381" s="1"/>
      <c r="N381" s="1"/>
    </row>
    <row r="382" spans="1:23" x14ac:dyDescent="0.2">
      <c r="B382" s="154"/>
      <c r="C382" s="94"/>
      <c r="D382" s="94"/>
      <c r="E382" s="155"/>
      <c r="F382" s="156"/>
      <c r="H382" s="1"/>
      <c r="K382" s="1"/>
      <c r="N382" s="1"/>
    </row>
    <row r="383" spans="1:23" x14ac:dyDescent="0.2">
      <c r="B383" s="154"/>
      <c r="C383" s="94"/>
      <c r="D383" s="94"/>
      <c r="E383" s="155"/>
      <c r="H383" s="1"/>
      <c r="K383" s="1"/>
      <c r="N383" s="1"/>
    </row>
    <row r="384" spans="1:23" x14ac:dyDescent="0.2">
      <c r="B384" s="154"/>
      <c r="C384" s="94"/>
      <c r="D384" s="94"/>
      <c r="E384" s="155"/>
      <c r="H384" s="1"/>
      <c r="K384" s="1"/>
      <c r="N384" s="1"/>
    </row>
    <row r="385" spans="2:14" x14ac:dyDescent="0.2">
      <c r="B385" s="154"/>
      <c r="C385" s="94"/>
      <c r="D385" s="94"/>
      <c r="E385" s="155"/>
      <c r="H385" s="1"/>
      <c r="K385" s="1"/>
      <c r="N385" s="1"/>
    </row>
    <row r="386" spans="2:14" x14ac:dyDescent="0.2">
      <c r="B386" s="154"/>
      <c r="C386" s="94"/>
      <c r="D386" s="94"/>
      <c r="E386" s="155"/>
      <c r="F386" s="156"/>
      <c r="H386" s="1"/>
      <c r="K386" s="1"/>
      <c r="N386" s="1"/>
    </row>
    <row r="387" spans="2:14" x14ac:dyDescent="0.2">
      <c r="B387" s="154"/>
      <c r="C387" s="94"/>
      <c r="D387" s="94"/>
      <c r="E387" s="155"/>
      <c r="F387" s="156"/>
      <c r="H387" s="1"/>
      <c r="K387" s="1"/>
      <c r="N387" s="1"/>
    </row>
    <row r="388" spans="2:14" x14ac:dyDescent="0.2">
      <c r="B388" s="154"/>
      <c r="C388" s="94"/>
      <c r="D388" s="94"/>
      <c r="E388" s="155"/>
      <c r="H388" s="1"/>
      <c r="K388" s="1"/>
      <c r="N388" s="1"/>
    </row>
    <row r="389" spans="2:14" x14ac:dyDescent="0.2">
      <c r="B389" s="154"/>
      <c r="C389" s="94"/>
      <c r="D389" s="94"/>
      <c r="E389" s="155"/>
      <c r="H389" s="1"/>
      <c r="K389" s="1"/>
      <c r="N389" s="1"/>
    </row>
    <row r="392" spans="2:14" x14ac:dyDescent="0.2">
      <c r="F392" s="156"/>
    </row>
    <row r="399" spans="2:14" x14ac:dyDescent="0.2">
      <c r="F399" s="156"/>
    </row>
    <row r="400" spans="2:14" x14ac:dyDescent="0.2">
      <c r="F400" s="156"/>
    </row>
    <row r="401" spans="6:6" x14ac:dyDescent="0.2">
      <c r="F401" s="156"/>
    </row>
    <row r="402" spans="6:6" x14ac:dyDescent="0.2">
      <c r="F402" s="156"/>
    </row>
    <row r="403" spans="6:6" x14ac:dyDescent="0.2">
      <c r="F403" s="156"/>
    </row>
    <row r="404" spans="6:6" x14ac:dyDescent="0.2">
      <c r="F404" s="156"/>
    </row>
    <row r="405" spans="6:6" x14ac:dyDescent="0.2">
      <c r="F405" s="156"/>
    </row>
    <row r="406" spans="6:6" x14ac:dyDescent="0.2">
      <c r="F406" s="156"/>
    </row>
    <row r="407" spans="6:6" x14ac:dyDescent="0.2">
      <c r="F407" s="156"/>
    </row>
    <row r="408" spans="6:6" x14ac:dyDescent="0.2">
      <c r="F408" s="156"/>
    </row>
    <row r="412" spans="6:6" x14ac:dyDescent="0.2">
      <c r="F412" s="156"/>
    </row>
    <row r="435" spans="6:6" x14ac:dyDescent="0.2">
      <c r="F435" s="156"/>
    </row>
    <row r="436" spans="6:6" x14ac:dyDescent="0.2">
      <c r="F436" s="156"/>
    </row>
    <row r="437" spans="6:6" x14ac:dyDescent="0.2">
      <c r="F437" s="156"/>
    </row>
    <row r="438" spans="6:6" x14ac:dyDescent="0.2">
      <c r="F438" s="156"/>
    </row>
    <row r="439" spans="6:6" x14ac:dyDescent="0.2">
      <c r="F439" s="156"/>
    </row>
    <row r="440" spans="6:6" x14ac:dyDescent="0.2">
      <c r="F440" s="156"/>
    </row>
    <row r="444" spans="6:6" x14ac:dyDescent="0.2">
      <c r="F444" s="156"/>
    </row>
    <row r="445" spans="6:6" x14ac:dyDescent="0.2">
      <c r="F445" s="156"/>
    </row>
    <row r="446" spans="6:6" x14ac:dyDescent="0.2">
      <c r="F446" s="156"/>
    </row>
    <row r="448" spans="6:6" x14ac:dyDescent="0.2">
      <c r="F448" s="156"/>
    </row>
    <row r="449" spans="6:6" x14ac:dyDescent="0.2">
      <c r="F449" s="156"/>
    </row>
    <row r="457" spans="6:6" x14ac:dyDescent="0.2">
      <c r="F457" s="156"/>
    </row>
    <row r="460" spans="6:6" x14ac:dyDescent="0.2">
      <c r="F460" s="156"/>
    </row>
    <row r="461" spans="6:6" x14ac:dyDescent="0.2">
      <c r="F461" s="156"/>
    </row>
    <row r="463" spans="6:6" x14ac:dyDescent="0.2">
      <c r="F463" s="156"/>
    </row>
    <row r="472" spans="6:6" x14ac:dyDescent="0.2">
      <c r="F472" s="156"/>
    </row>
  </sheetData>
  <autoFilter ref="A10:S370"/>
  <mergeCells count="22">
    <mergeCell ref="I296:L296"/>
    <mergeCell ref="S7:S9"/>
    <mergeCell ref="U7:W8"/>
    <mergeCell ref="A11:S11"/>
    <mergeCell ref="G209:G210"/>
    <mergeCell ref="A268:S268"/>
    <mergeCell ref="P1:S1"/>
    <mergeCell ref="P2:S2"/>
    <mergeCell ref="A3:P3"/>
    <mergeCell ref="A5:Q5"/>
    <mergeCell ref="A7:A9"/>
    <mergeCell ref="B7:B9"/>
    <mergeCell ref="C7:C9"/>
    <mergeCell ref="D7:D9"/>
    <mergeCell ref="E7:E9"/>
    <mergeCell ref="F7:F9"/>
    <mergeCell ref="G7:I8"/>
    <mergeCell ref="J7:L8"/>
    <mergeCell ref="M7:O8"/>
    <mergeCell ref="P7:P9"/>
    <mergeCell ref="Q7:Q9"/>
    <mergeCell ref="R7:R9"/>
  </mergeCells>
  <conditionalFormatting sqref="Q12:Q13">
    <cfRule type="cellIs" dxfId="6" priority="2" operator="greaterThan">
      <formula>0</formula>
    </cfRule>
  </conditionalFormatting>
  <conditionalFormatting sqref="U11:W370">
    <cfRule type="expression" dxfId="5" priority="3">
      <formula>AND(U11&lt;-20,U11&lt;0)</formula>
    </cfRule>
    <cfRule type="expression" dxfId="4" priority="4">
      <formula>AND(U11&gt;20,U11&gt;0)</formula>
    </cfRule>
  </conditionalFormatting>
  <conditionalFormatting sqref="Q14:Q267 Q269:Q295 Q298:Q370">
    <cfRule type="cellIs" dxfId="3" priority="5" operator="greaterThan">
      <formula>0</formula>
    </cfRule>
  </conditionalFormatting>
  <pageMargins left="0.25" right="0.25" top="0.75" bottom="0.75" header="0.511811023622047" footer="0.511811023622047"/>
  <pageSetup paperSize="9" scale="35"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6"/>
  <sheetViews>
    <sheetView tabSelected="1" topLeftCell="A7" zoomScale="55" zoomScaleNormal="55" workbookViewId="0">
      <pane ySplit="5" topLeftCell="A308" activePane="bottomLeft" state="frozen"/>
      <selection activeCell="A7" sqref="A7"/>
      <selection pane="bottomLeft" activeCell="G323" sqref="G323"/>
    </sheetView>
  </sheetViews>
  <sheetFormatPr defaultColWidth="9.140625" defaultRowHeight="15.75" x14ac:dyDescent="0.25"/>
  <cols>
    <col min="1" max="1" width="6.7109375" style="172" customWidth="1"/>
    <col min="2" max="2" width="50.140625" style="233" customWidth="1"/>
    <col min="3" max="3" width="14.85546875" style="234" customWidth="1"/>
    <col min="4" max="4" width="12" style="234" customWidth="1"/>
    <col min="5" max="5" width="13.140625" style="234" customWidth="1"/>
    <col min="6" max="16384" width="9.140625" style="1"/>
  </cols>
  <sheetData>
    <row r="1" spans="1:13" ht="15.75" customHeight="1" x14ac:dyDescent="0.25">
      <c r="A1" s="167"/>
      <c r="B1" s="218"/>
      <c r="C1" s="219"/>
      <c r="D1" s="219"/>
      <c r="E1" s="219"/>
    </row>
    <row r="2" spans="1:13" ht="27" customHeight="1" x14ac:dyDescent="0.25">
      <c r="A2" s="167"/>
      <c r="B2" s="218"/>
      <c r="C2" s="219"/>
      <c r="D2" s="219"/>
      <c r="E2" s="219"/>
    </row>
    <row r="3" spans="1:13" ht="15" customHeight="1" x14ac:dyDescent="0.2">
      <c r="A3" s="210" t="s">
        <v>2</v>
      </c>
      <c r="B3" s="211"/>
      <c r="C3" s="211"/>
      <c r="D3" s="211"/>
      <c r="E3" s="211"/>
    </row>
    <row r="4" spans="1:13" x14ac:dyDescent="0.2">
      <c r="A4" s="168"/>
      <c r="B4" s="220"/>
      <c r="C4" s="221"/>
      <c r="D4" s="221"/>
      <c r="E4" s="221"/>
    </row>
    <row r="5" spans="1:13" s="10" customFormat="1" ht="15" customHeight="1" x14ac:dyDescent="0.2">
      <c r="A5" s="212" t="s">
        <v>3</v>
      </c>
      <c r="B5" s="213"/>
      <c r="C5" s="213"/>
      <c r="D5" s="213"/>
      <c r="E5" s="213"/>
    </row>
    <row r="6" spans="1:13" s="10" customFormat="1" ht="16.5" thickBot="1" x14ac:dyDescent="0.3">
      <c r="A6" s="169"/>
      <c r="B6" s="222"/>
      <c r="C6" s="223"/>
      <c r="D6" s="223"/>
      <c r="E6" s="223"/>
    </row>
    <row r="7" spans="1:13" s="10" customFormat="1" ht="15" customHeight="1" thickBot="1" x14ac:dyDescent="0.25">
      <c r="A7" s="214" t="s">
        <v>4</v>
      </c>
      <c r="B7" s="224" t="s">
        <v>5</v>
      </c>
      <c r="C7" s="224" t="s">
        <v>696</v>
      </c>
      <c r="D7" s="225" t="s">
        <v>6</v>
      </c>
      <c r="E7" s="225" t="s">
        <v>697</v>
      </c>
    </row>
    <row r="8" spans="1:13" s="10" customFormat="1" ht="15" thickBot="1" x14ac:dyDescent="0.25">
      <c r="A8" s="214"/>
      <c r="B8" s="214"/>
      <c r="C8" s="214"/>
      <c r="D8" s="214"/>
      <c r="E8" s="225"/>
    </row>
    <row r="9" spans="1:13" s="18" customFormat="1" ht="15" thickBot="1" x14ac:dyDescent="0.25">
      <c r="A9" s="214"/>
      <c r="B9" s="214"/>
      <c r="C9" s="214"/>
      <c r="D9" s="225"/>
      <c r="E9" s="225"/>
      <c r="F9" s="10"/>
      <c r="G9" s="10"/>
      <c r="H9" s="10"/>
      <c r="I9" s="10"/>
      <c r="J9" s="10"/>
      <c r="K9" s="10"/>
      <c r="L9" s="10"/>
      <c r="M9" s="10"/>
    </row>
    <row r="10" spans="1:13" s="26" customFormat="1" ht="27" customHeight="1" x14ac:dyDescent="0.25">
      <c r="A10" s="170">
        <v>1</v>
      </c>
      <c r="B10" s="226">
        <v>2</v>
      </c>
      <c r="C10" s="227"/>
      <c r="D10" s="227">
        <v>3</v>
      </c>
      <c r="E10" s="227">
        <v>4</v>
      </c>
    </row>
    <row r="11" spans="1:13" s="28" customFormat="1" ht="33" customHeight="1" x14ac:dyDescent="0.25">
      <c r="A11" s="174"/>
      <c r="B11" s="228" t="s">
        <v>498</v>
      </c>
      <c r="C11" s="229"/>
      <c r="D11" s="230"/>
      <c r="E11" s="230"/>
    </row>
    <row r="12" spans="1:13" s="28" customFormat="1" ht="57" customHeight="1" x14ac:dyDescent="0.2">
      <c r="A12" s="171">
        <v>1</v>
      </c>
      <c r="B12" s="173" t="s">
        <v>698</v>
      </c>
      <c r="C12" s="231" t="s">
        <v>699</v>
      </c>
      <c r="D12" s="231" t="s">
        <v>25</v>
      </c>
      <c r="E12" s="232">
        <v>3</v>
      </c>
    </row>
    <row r="13" spans="1:13" s="28" customFormat="1" ht="57" customHeight="1" x14ac:dyDescent="0.2">
      <c r="A13" s="171">
        <v>2</v>
      </c>
      <c r="B13" s="173" t="s">
        <v>700</v>
      </c>
      <c r="C13" s="231" t="s">
        <v>701</v>
      </c>
      <c r="D13" s="231" t="s">
        <v>25</v>
      </c>
      <c r="E13" s="232">
        <v>1</v>
      </c>
    </row>
    <row r="14" spans="1:13" s="28" customFormat="1" ht="57" customHeight="1" x14ac:dyDescent="0.2">
      <c r="A14" s="171">
        <v>3</v>
      </c>
      <c r="B14" s="173" t="s">
        <v>702</v>
      </c>
      <c r="C14" s="231" t="s">
        <v>703</v>
      </c>
      <c r="D14" s="231" t="s">
        <v>25</v>
      </c>
      <c r="E14" s="232">
        <v>1</v>
      </c>
    </row>
    <row r="15" spans="1:13" s="28" customFormat="1" ht="57" customHeight="1" x14ac:dyDescent="0.2">
      <c r="A15" s="171">
        <v>4</v>
      </c>
      <c r="B15" s="173" t="s">
        <v>704</v>
      </c>
      <c r="C15" s="231" t="s">
        <v>705</v>
      </c>
      <c r="D15" s="231" t="s">
        <v>25</v>
      </c>
      <c r="E15" s="232">
        <v>2</v>
      </c>
    </row>
    <row r="16" spans="1:13" s="28" customFormat="1" ht="57" customHeight="1" x14ac:dyDescent="0.2">
      <c r="A16" s="171">
        <v>5</v>
      </c>
      <c r="B16" s="173" t="s">
        <v>706</v>
      </c>
      <c r="C16" s="231" t="s">
        <v>707</v>
      </c>
      <c r="D16" s="231" t="s">
        <v>25</v>
      </c>
      <c r="E16" s="232">
        <v>2</v>
      </c>
    </row>
    <row r="17" spans="1:5" s="28" customFormat="1" ht="57" customHeight="1" x14ac:dyDescent="0.2">
      <c r="A17" s="171">
        <v>6</v>
      </c>
      <c r="B17" s="173" t="s">
        <v>708</v>
      </c>
      <c r="C17" s="231" t="s">
        <v>709</v>
      </c>
      <c r="D17" s="231" t="s">
        <v>25</v>
      </c>
      <c r="E17" s="232">
        <v>13</v>
      </c>
    </row>
    <row r="18" spans="1:5" s="28" customFormat="1" ht="57" customHeight="1" x14ac:dyDescent="0.2">
      <c r="A18" s="171">
        <v>7</v>
      </c>
      <c r="B18" s="173" t="s">
        <v>710</v>
      </c>
      <c r="C18" s="231" t="s">
        <v>711</v>
      </c>
      <c r="D18" s="231" t="s">
        <v>25</v>
      </c>
      <c r="E18" s="232">
        <v>300</v>
      </c>
    </row>
    <row r="19" spans="1:5" s="28" customFormat="1" ht="57" customHeight="1" x14ac:dyDescent="0.2">
      <c r="A19" s="171">
        <v>8</v>
      </c>
      <c r="B19" s="173" t="s">
        <v>712</v>
      </c>
      <c r="C19" s="231" t="s">
        <v>713</v>
      </c>
      <c r="D19" s="231" t="s">
        <v>25</v>
      </c>
      <c r="E19" s="232">
        <v>20</v>
      </c>
    </row>
    <row r="20" spans="1:5" s="28" customFormat="1" ht="57" customHeight="1" x14ac:dyDescent="0.2">
      <c r="A20" s="171">
        <v>9</v>
      </c>
      <c r="B20" s="173" t="s">
        <v>714</v>
      </c>
      <c r="C20" s="231" t="s">
        <v>715</v>
      </c>
      <c r="D20" s="231" t="s">
        <v>25</v>
      </c>
      <c r="E20" s="232">
        <v>244</v>
      </c>
    </row>
    <row r="21" spans="1:5" s="28" customFormat="1" ht="57" customHeight="1" x14ac:dyDescent="0.2">
      <c r="A21" s="171">
        <v>10</v>
      </c>
      <c r="B21" s="173" t="s">
        <v>716</v>
      </c>
      <c r="C21" s="231" t="s">
        <v>717</v>
      </c>
      <c r="D21" s="231" t="s">
        <v>25</v>
      </c>
      <c r="E21" s="232">
        <v>1</v>
      </c>
    </row>
    <row r="22" spans="1:5" s="28" customFormat="1" ht="57" customHeight="1" x14ac:dyDescent="0.2">
      <c r="A22" s="171">
        <v>11</v>
      </c>
      <c r="B22" s="173" t="s">
        <v>718</v>
      </c>
      <c r="C22" s="231" t="s">
        <v>719</v>
      </c>
      <c r="D22" s="231" t="s">
        <v>25</v>
      </c>
      <c r="E22" s="232">
        <v>200</v>
      </c>
    </row>
    <row r="23" spans="1:5" s="28" customFormat="1" ht="57" customHeight="1" x14ac:dyDescent="0.2">
      <c r="A23" s="171">
        <v>12</v>
      </c>
      <c r="B23" s="173" t="s">
        <v>720</v>
      </c>
      <c r="C23" s="231" t="s">
        <v>721</v>
      </c>
      <c r="D23" s="231" t="s">
        <v>25</v>
      </c>
      <c r="E23" s="232">
        <v>132</v>
      </c>
    </row>
    <row r="24" spans="1:5" s="28" customFormat="1" ht="57" customHeight="1" x14ac:dyDescent="0.2">
      <c r="A24" s="171">
        <v>13</v>
      </c>
      <c r="B24" s="173" t="s">
        <v>722</v>
      </c>
      <c r="C24" s="231" t="s">
        <v>723</v>
      </c>
      <c r="D24" s="231" t="s">
        <v>25</v>
      </c>
      <c r="E24" s="232">
        <v>2196</v>
      </c>
    </row>
    <row r="25" spans="1:5" s="28" customFormat="1" ht="57" customHeight="1" x14ac:dyDescent="0.2">
      <c r="A25" s="171">
        <v>14</v>
      </c>
      <c r="B25" s="173" t="s">
        <v>724</v>
      </c>
      <c r="C25" s="231" t="s">
        <v>725</v>
      </c>
      <c r="D25" s="231" t="s">
        <v>25</v>
      </c>
      <c r="E25" s="232">
        <v>27</v>
      </c>
    </row>
    <row r="26" spans="1:5" s="28" customFormat="1" ht="57" customHeight="1" x14ac:dyDescent="0.2">
      <c r="A26" s="171">
        <v>15</v>
      </c>
      <c r="B26" s="173" t="s">
        <v>726</v>
      </c>
      <c r="C26" s="231" t="s">
        <v>727</v>
      </c>
      <c r="D26" s="231" t="s">
        <v>25</v>
      </c>
      <c r="E26" s="232">
        <v>3</v>
      </c>
    </row>
    <row r="27" spans="1:5" s="28" customFormat="1" ht="57" customHeight="1" x14ac:dyDescent="0.2">
      <c r="A27" s="171">
        <v>16</v>
      </c>
      <c r="B27" s="173" t="s">
        <v>728</v>
      </c>
      <c r="C27" s="231" t="s">
        <v>729</v>
      </c>
      <c r="D27" s="231" t="s">
        <v>25</v>
      </c>
      <c r="E27" s="232">
        <v>40</v>
      </c>
    </row>
    <row r="28" spans="1:5" s="28" customFormat="1" ht="57" customHeight="1" x14ac:dyDescent="0.2">
      <c r="A28" s="171">
        <v>17</v>
      </c>
      <c r="B28" s="173" t="s">
        <v>730</v>
      </c>
      <c r="C28" s="231" t="s">
        <v>731</v>
      </c>
      <c r="D28" s="231" t="s">
        <v>25</v>
      </c>
      <c r="E28" s="232">
        <v>320</v>
      </c>
    </row>
    <row r="29" spans="1:5" s="28" customFormat="1" ht="57" customHeight="1" x14ac:dyDescent="0.2">
      <c r="A29" s="171">
        <v>18</v>
      </c>
      <c r="B29" s="173" t="s">
        <v>732</v>
      </c>
      <c r="C29" s="231" t="s">
        <v>733</v>
      </c>
      <c r="D29" s="231" t="s">
        <v>25</v>
      </c>
      <c r="E29" s="232">
        <v>240</v>
      </c>
    </row>
    <row r="30" spans="1:5" s="28" customFormat="1" ht="57" customHeight="1" x14ac:dyDescent="0.2">
      <c r="A30" s="171">
        <v>19</v>
      </c>
      <c r="B30" s="173" t="s">
        <v>734</v>
      </c>
      <c r="C30" s="231" t="s">
        <v>735</v>
      </c>
      <c r="D30" s="231" t="s">
        <v>25</v>
      </c>
      <c r="E30" s="232">
        <v>144</v>
      </c>
    </row>
    <row r="31" spans="1:5" s="28" customFormat="1" ht="57" customHeight="1" x14ac:dyDescent="0.2">
      <c r="A31" s="171">
        <v>20</v>
      </c>
      <c r="B31" s="173" t="s">
        <v>736</v>
      </c>
      <c r="C31" s="231" t="s">
        <v>737</v>
      </c>
      <c r="D31" s="231" t="s">
        <v>25</v>
      </c>
      <c r="E31" s="232">
        <v>190</v>
      </c>
    </row>
    <row r="32" spans="1:5" s="28" customFormat="1" ht="57" customHeight="1" x14ac:dyDescent="0.2">
      <c r="A32" s="171">
        <v>21</v>
      </c>
      <c r="B32" s="173" t="s">
        <v>738</v>
      </c>
      <c r="C32" s="231" t="s">
        <v>739</v>
      </c>
      <c r="D32" s="231" t="s">
        <v>25</v>
      </c>
      <c r="E32" s="232">
        <v>144</v>
      </c>
    </row>
    <row r="33" spans="1:5" s="28" customFormat="1" ht="57" customHeight="1" x14ac:dyDescent="0.2">
      <c r="A33" s="171">
        <v>22</v>
      </c>
      <c r="B33" s="173" t="s">
        <v>740</v>
      </c>
      <c r="C33" s="231" t="s">
        <v>741</v>
      </c>
      <c r="D33" s="231" t="s">
        <v>25</v>
      </c>
      <c r="E33" s="232">
        <v>36</v>
      </c>
    </row>
    <row r="34" spans="1:5" s="28" customFormat="1" ht="57" customHeight="1" x14ac:dyDescent="0.2">
      <c r="A34" s="171">
        <v>23</v>
      </c>
      <c r="B34" s="173" t="s">
        <v>742</v>
      </c>
      <c r="C34" s="231" t="s">
        <v>743</v>
      </c>
      <c r="D34" s="231" t="s">
        <v>25</v>
      </c>
      <c r="E34" s="232">
        <v>370</v>
      </c>
    </row>
    <row r="35" spans="1:5" s="28" customFormat="1" ht="57" customHeight="1" x14ac:dyDescent="0.2">
      <c r="A35" s="171">
        <v>24</v>
      </c>
      <c r="B35" s="173" t="s">
        <v>744</v>
      </c>
      <c r="C35" s="231" t="s">
        <v>745</v>
      </c>
      <c r="D35" s="231" t="s">
        <v>25</v>
      </c>
      <c r="E35" s="232">
        <v>220</v>
      </c>
    </row>
    <row r="36" spans="1:5" s="28" customFormat="1" ht="57" customHeight="1" x14ac:dyDescent="0.2">
      <c r="A36" s="171">
        <v>25</v>
      </c>
      <c r="B36" s="173" t="s">
        <v>746</v>
      </c>
      <c r="C36" s="231" t="s">
        <v>747</v>
      </c>
      <c r="D36" s="231" t="s">
        <v>25</v>
      </c>
      <c r="E36" s="232">
        <v>396</v>
      </c>
    </row>
    <row r="37" spans="1:5" s="28" customFormat="1" ht="57" customHeight="1" x14ac:dyDescent="0.2">
      <c r="A37" s="171">
        <v>26</v>
      </c>
      <c r="B37" s="173" t="s">
        <v>748</v>
      </c>
      <c r="C37" s="231" t="s">
        <v>749</v>
      </c>
      <c r="D37" s="231" t="s">
        <v>25</v>
      </c>
      <c r="E37" s="232">
        <v>20</v>
      </c>
    </row>
    <row r="38" spans="1:5" s="28" customFormat="1" ht="51" customHeight="1" x14ac:dyDescent="0.2">
      <c r="A38" s="171">
        <v>27</v>
      </c>
      <c r="B38" s="173" t="s">
        <v>750</v>
      </c>
      <c r="C38" s="231" t="s">
        <v>751</v>
      </c>
      <c r="D38" s="231" t="s">
        <v>25</v>
      </c>
      <c r="E38" s="232">
        <v>240</v>
      </c>
    </row>
    <row r="39" spans="1:5" s="28" customFormat="1" ht="51" customHeight="1" x14ac:dyDescent="0.2">
      <c r="A39" s="171">
        <v>28</v>
      </c>
      <c r="B39" s="173" t="s">
        <v>752</v>
      </c>
      <c r="C39" s="231" t="s">
        <v>753</v>
      </c>
      <c r="D39" s="231" t="s">
        <v>25</v>
      </c>
      <c r="E39" s="232">
        <v>40</v>
      </c>
    </row>
    <row r="40" spans="1:5" s="28" customFormat="1" ht="51" customHeight="1" x14ac:dyDescent="0.2">
      <c r="A40" s="171">
        <v>29</v>
      </c>
      <c r="B40" s="173" t="s">
        <v>754</v>
      </c>
      <c r="C40" s="231" t="s">
        <v>755</v>
      </c>
      <c r="D40" s="231" t="s">
        <v>25</v>
      </c>
      <c r="E40" s="232">
        <v>30</v>
      </c>
    </row>
    <row r="41" spans="1:5" s="28" customFormat="1" ht="51" customHeight="1" x14ac:dyDescent="0.2">
      <c r="A41" s="171">
        <v>30</v>
      </c>
      <c r="B41" s="173" t="s">
        <v>756</v>
      </c>
      <c r="C41" s="231" t="s">
        <v>757</v>
      </c>
      <c r="D41" s="231" t="s">
        <v>25</v>
      </c>
      <c r="E41" s="232">
        <v>2</v>
      </c>
    </row>
    <row r="42" spans="1:5" s="28" customFormat="1" ht="51" customHeight="1" x14ac:dyDescent="0.2">
      <c r="A42" s="171">
        <v>31</v>
      </c>
      <c r="B42" s="173" t="s">
        <v>758</v>
      </c>
      <c r="C42" s="231" t="s">
        <v>759</v>
      </c>
      <c r="D42" s="231" t="s">
        <v>760</v>
      </c>
      <c r="E42" s="232">
        <f>0.5+0.5</f>
        <v>1</v>
      </c>
    </row>
    <row r="43" spans="1:5" s="28" customFormat="1" ht="51" customHeight="1" x14ac:dyDescent="0.2">
      <c r="A43" s="171">
        <v>32</v>
      </c>
      <c r="B43" s="173" t="s">
        <v>761</v>
      </c>
      <c r="C43" s="231" t="s">
        <v>762</v>
      </c>
      <c r="D43" s="231" t="s">
        <v>25</v>
      </c>
      <c r="E43" s="232">
        <v>1736</v>
      </c>
    </row>
    <row r="44" spans="1:5" s="28" customFormat="1" ht="51" customHeight="1" x14ac:dyDescent="0.2">
      <c r="A44" s="171">
        <v>33</v>
      </c>
      <c r="B44" s="173" t="s">
        <v>763</v>
      </c>
      <c r="C44" s="231" t="s">
        <v>764</v>
      </c>
      <c r="D44" s="231" t="s">
        <v>25</v>
      </c>
      <c r="E44" s="232">
        <v>120</v>
      </c>
    </row>
    <row r="45" spans="1:5" s="28" customFormat="1" ht="51" customHeight="1" x14ac:dyDescent="0.2">
      <c r="A45" s="171">
        <v>34</v>
      </c>
      <c r="B45" s="173" t="s">
        <v>765</v>
      </c>
      <c r="C45" s="231" t="s">
        <v>766</v>
      </c>
      <c r="D45" s="231" t="s">
        <v>25</v>
      </c>
      <c r="E45" s="232">
        <v>28</v>
      </c>
    </row>
    <row r="46" spans="1:5" s="28" customFormat="1" ht="51" customHeight="1" x14ac:dyDescent="0.2">
      <c r="A46" s="171">
        <v>35</v>
      </c>
      <c r="B46" s="173" t="s">
        <v>767</v>
      </c>
      <c r="C46" s="231" t="s">
        <v>768</v>
      </c>
      <c r="D46" s="231" t="s">
        <v>25</v>
      </c>
      <c r="E46" s="232">
        <v>34</v>
      </c>
    </row>
    <row r="47" spans="1:5" s="28" customFormat="1" ht="51" customHeight="1" x14ac:dyDescent="0.2">
      <c r="A47" s="171">
        <v>36</v>
      </c>
      <c r="B47" s="173" t="s">
        <v>769</v>
      </c>
      <c r="C47" s="231" t="s">
        <v>770</v>
      </c>
      <c r="D47" s="231" t="s">
        <v>81</v>
      </c>
      <c r="E47" s="232">
        <v>96</v>
      </c>
    </row>
    <row r="48" spans="1:5" s="28" customFormat="1" ht="51" customHeight="1" x14ac:dyDescent="0.2">
      <c r="A48" s="171">
        <v>37</v>
      </c>
      <c r="B48" s="173" t="s">
        <v>771</v>
      </c>
      <c r="C48" s="231" t="s">
        <v>772</v>
      </c>
      <c r="D48" s="231" t="s">
        <v>25</v>
      </c>
      <c r="E48" s="232">
        <v>36</v>
      </c>
    </row>
    <row r="49" spans="1:5" s="28" customFormat="1" ht="52.15" customHeight="1" x14ac:dyDescent="0.2">
      <c r="A49" s="171">
        <v>38</v>
      </c>
      <c r="B49" s="173" t="s">
        <v>773</v>
      </c>
      <c r="C49" s="231" t="s">
        <v>774</v>
      </c>
      <c r="D49" s="231" t="s">
        <v>25</v>
      </c>
      <c r="E49" s="232">
        <v>3</v>
      </c>
    </row>
    <row r="50" spans="1:5" s="28" customFormat="1" ht="51" customHeight="1" x14ac:dyDescent="0.2">
      <c r="A50" s="171">
        <v>39</v>
      </c>
      <c r="B50" s="173" t="s">
        <v>775</v>
      </c>
      <c r="C50" s="231" t="s">
        <v>776</v>
      </c>
      <c r="D50" s="231" t="s">
        <v>25</v>
      </c>
      <c r="E50" s="232">
        <v>3</v>
      </c>
    </row>
    <row r="51" spans="1:5" s="28" customFormat="1" ht="51" customHeight="1" x14ac:dyDescent="0.2">
      <c r="A51" s="171">
        <v>40</v>
      </c>
      <c r="B51" s="173" t="s">
        <v>777</v>
      </c>
      <c r="C51" s="231" t="s">
        <v>776</v>
      </c>
      <c r="D51" s="231" t="s">
        <v>25</v>
      </c>
      <c r="E51" s="232">
        <v>15</v>
      </c>
    </row>
    <row r="52" spans="1:5" s="28" customFormat="1" ht="51" customHeight="1" x14ac:dyDescent="0.2">
      <c r="A52" s="171">
        <v>41</v>
      </c>
      <c r="B52" s="173" t="s">
        <v>778</v>
      </c>
      <c r="C52" s="231" t="s">
        <v>779</v>
      </c>
      <c r="D52" s="231" t="s">
        <v>25</v>
      </c>
      <c r="E52" s="232">
        <v>1736</v>
      </c>
    </row>
    <row r="53" spans="1:5" s="28" customFormat="1" ht="51" customHeight="1" x14ac:dyDescent="0.2">
      <c r="A53" s="171">
        <v>42</v>
      </c>
      <c r="B53" s="173" t="s">
        <v>780</v>
      </c>
      <c r="C53" s="231" t="s">
        <v>781</v>
      </c>
      <c r="D53" s="231" t="s">
        <v>25</v>
      </c>
      <c r="E53" s="232">
        <v>106</v>
      </c>
    </row>
    <row r="54" spans="1:5" s="28" customFormat="1" ht="51" customHeight="1" x14ac:dyDescent="0.2">
      <c r="A54" s="171">
        <v>43</v>
      </c>
      <c r="B54" s="173" t="s">
        <v>782</v>
      </c>
      <c r="C54" s="231" t="s">
        <v>783</v>
      </c>
      <c r="D54" s="231" t="s">
        <v>25</v>
      </c>
      <c r="E54" s="232">
        <v>380</v>
      </c>
    </row>
    <row r="55" spans="1:5" s="28" customFormat="1" ht="51" customHeight="1" x14ac:dyDescent="0.2">
      <c r="A55" s="171">
        <v>44</v>
      </c>
      <c r="B55" s="173" t="s">
        <v>784</v>
      </c>
      <c r="C55" s="231" t="s">
        <v>785</v>
      </c>
      <c r="D55" s="231" t="s">
        <v>25</v>
      </c>
      <c r="E55" s="232">
        <v>170</v>
      </c>
    </row>
    <row r="56" spans="1:5" s="28" customFormat="1" ht="51" customHeight="1" x14ac:dyDescent="0.2">
      <c r="A56" s="171">
        <v>45</v>
      </c>
      <c r="B56" s="173" t="s">
        <v>786</v>
      </c>
      <c r="C56" s="231" t="s">
        <v>787</v>
      </c>
      <c r="D56" s="231" t="s">
        <v>25</v>
      </c>
      <c r="E56" s="232">
        <v>636</v>
      </c>
    </row>
    <row r="57" spans="1:5" s="28" customFormat="1" ht="51" customHeight="1" x14ac:dyDescent="0.2">
      <c r="A57" s="171">
        <v>46</v>
      </c>
      <c r="B57" s="173" t="s">
        <v>788</v>
      </c>
      <c r="C57" s="231" t="s">
        <v>789</v>
      </c>
      <c r="D57" s="231" t="s">
        <v>25</v>
      </c>
      <c r="E57" s="232">
        <v>40</v>
      </c>
    </row>
    <row r="58" spans="1:5" s="28" customFormat="1" ht="51" customHeight="1" x14ac:dyDescent="0.2">
      <c r="A58" s="171">
        <v>47</v>
      </c>
      <c r="B58" s="173" t="s">
        <v>790</v>
      </c>
      <c r="C58" s="231" t="s">
        <v>791</v>
      </c>
      <c r="D58" s="231" t="s">
        <v>25</v>
      </c>
      <c r="E58" s="232">
        <v>30</v>
      </c>
    </row>
    <row r="59" spans="1:5" s="28" customFormat="1" ht="51" customHeight="1" x14ac:dyDescent="0.2">
      <c r="A59" s="171">
        <v>48</v>
      </c>
      <c r="B59" s="173" t="s">
        <v>792</v>
      </c>
      <c r="C59" s="231" t="s">
        <v>793</v>
      </c>
      <c r="D59" s="231" t="s">
        <v>25</v>
      </c>
      <c r="E59" s="232">
        <v>2328</v>
      </c>
    </row>
    <row r="60" spans="1:5" s="28" customFormat="1" ht="51" customHeight="1" x14ac:dyDescent="0.2">
      <c r="A60" s="171">
        <v>49</v>
      </c>
      <c r="B60" s="173" t="s">
        <v>794</v>
      </c>
      <c r="C60" s="231" t="s">
        <v>795</v>
      </c>
      <c r="D60" s="231" t="s">
        <v>25</v>
      </c>
      <c r="E60" s="232">
        <v>38</v>
      </c>
    </row>
    <row r="61" spans="1:5" s="28" customFormat="1" ht="51" customHeight="1" x14ac:dyDescent="0.2">
      <c r="A61" s="171">
        <v>50</v>
      </c>
      <c r="B61" s="173" t="s">
        <v>796</v>
      </c>
      <c r="C61" s="231" t="s">
        <v>797</v>
      </c>
      <c r="D61" s="231" t="s">
        <v>25</v>
      </c>
      <c r="E61" s="232">
        <v>77</v>
      </c>
    </row>
    <row r="62" spans="1:5" s="28" customFormat="1" ht="51" customHeight="1" x14ac:dyDescent="0.2">
      <c r="A62" s="171">
        <v>51</v>
      </c>
      <c r="B62" s="173" t="s">
        <v>798</v>
      </c>
      <c r="C62" s="231" t="s">
        <v>799</v>
      </c>
      <c r="D62" s="231" t="s">
        <v>25</v>
      </c>
      <c r="E62" s="232">
        <v>90</v>
      </c>
    </row>
    <row r="63" spans="1:5" s="28" customFormat="1" ht="51" customHeight="1" x14ac:dyDescent="0.2">
      <c r="A63" s="171">
        <v>52</v>
      </c>
      <c r="B63" s="173" t="s">
        <v>800</v>
      </c>
      <c r="C63" s="231" t="s">
        <v>801</v>
      </c>
      <c r="D63" s="231" t="s">
        <v>25</v>
      </c>
      <c r="E63" s="232">
        <v>15</v>
      </c>
    </row>
    <row r="64" spans="1:5" s="28" customFormat="1" ht="51" customHeight="1" x14ac:dyDescent="0.2">
      <c r="A64" s="171">
        <v>53</v>
      </c>
      <c r="B64" s="173" t="s">
        <v>802</v>
      </c>
      <c r="C64" s="231" t="s">
        <v>803</v>
      </c>
      <c r="D64" s="231" t="s">
        <v>25</v>
      </c>
      <c r="E64" s="232">
        <v>2</v>
      </c>
    </row>
    <row r="65" spans="1:5" s="28" customFormat="1" ht="51" customHeight="1" x14ac:dyDescent="0.2">
      <c r="A65" s="171">
        <v>54</v>
      </c>
      <c r="B65" s="173" t="s">
        <v>804</v>
      </c>
      <c r="C65" s="231" t="s">
        <v>805</v>
      </c>
      <c r="D65" s="231" t="s">
        <v>25</v>
      </c>
      <c r="E65" s="232">
        <v>468</v>
      </c>
    </row>
    <row r="66" spans="1:5" s="28" customFormat="1" ht="51" customHeight="1" x14ac:dyDescent="0.2">
      <c r="A66" s="171">
        <v>55</v>
      </c>
      <c r="B66" s="173" t="s">
        <v>806</v>
      </c>
      <c r="C66" s="231" t="s">
        <v>807</v>
      </c>
      <c r="D66" s="231" t="s">
        <v>25</v>
      </c>
      <c r="E66" s="232">
        <f>120-100</f>
        <v>20</v>
      </c>
    </row>
    <row r="67" spans="1:5" s="28" customFormat="1" ht="51" customHeight="1" x14ac:dyDescent="0.2">
      <c r="A67" s="171">
        <v>56</v>
      </c>
      <c r="B67" s="173" t="s">
        <v>808</v>
      </c>
      <c r="C67" s="231" t="s">
        <v>809</v>
      </c>
      <c r="D67" s="231" t="s">
        <v>25</v>
      </c>
      <c r="E67" s="232">
        <v>10</v>
      </c>
    </row>
    <row r="68" spans="1:5" s="28" customFormat="1" ht="51" customHeight="1" x14ac:dyDescent="0.2">
      <c r="A68" s="171">
        <v>57</v>
      </c>
      <c r="B68" s="173" t="s">
        <v>810</v>
      </c>
      <c r="C68" s="231" t="s">
        <v>811</v>
      </c>
      <c r="D68" s="231" t="s">
        <v>25</v>
      </c>
      <c r="E68" s="232">
        <v>3</v>
      </c>
    </row>
    <row r="69" spans="1:5" s="28" customFormat="1" ht="51" customHeight="1" x14ac:dyDescent="0.2">
      <c r="A69" s="171">
        <v>58</v>
      </c>
      <c r="B69" s="173" t="s">
        <v>812</v>
      </c>
      <c r="C69" s="231" t="s">
        <v>813</v>
      </c>
      <c r="D69" s="231" t="s">
        <v>25</v>
      </c>
      <c r="E69" s="232">
        <v>27</v>
      </c>
    </row>
    <row r="70" spans="1:5" s="28" customFormat="1" ht="51" customHeight="1" x14ac:dyDescent="0.2">
      <c r="A70" s="171">
        <v>59</v>
      </c>
      <c r="B70" s="173" t="s">
        <v>814</v>
      </c>
      <c r="C70" s="231" t="s">
        <v>815</v>
      </c>
      <c r="D70" s="231" t="s">
        <v>25</v>
      </c>
      <c r="E70" s="232">
        <v>80</v>
      </c>
    </row>
    <row r="71" spans="1:5" s="28" customFormat="1" ht="51" customHeight="1" x14ac:dyDescent="0.2">
      <c r="A71" s="171">
        <v>60</v>
      </c>
      <c r="B71" s="173" t="s">
        <v>816</v>
      </c>
      <c r="C71" s="231" t="s">
        <v>817</v>
      </c>
      <c r="D71" s="231" t="s">
        <v>25</v>
      </c>
      <c r="E71" s="232">
        <v>1400</v>
      </c>
    </row>
    <row r="72" spans="1:5" s="28" customFormat="1" ht="51" customHeight="1" x14ac:dyDescent="0.2">
      <c r="A72" s="171">
        <v>61</v>
      </c>
      <c r="B72" s="173" t="s">
        <v>818</v>
      </c>
      <c r="C72" s="231" t="s">
        <v>819</v>
      </c>
      <c r="D72" s="231" t="s">
        <v>641</v>
      </c>
      <c r="E72" s="232">
        <v>2</v>
      </c>
    </row>
    <row r="73" spans="1:5" s="28" customFormat="1" ht="51" customHeight="1" x14ac:dyDescent="0.2">
      <c r="A73" s="171">
        <v>62</v>
      </c>
      <c r="B73" s="173" t="s">
        <v>820</v>
      </c>
      <c r="C73" s="231" t="s">
        <v>821</v>
      </c>
      <c r="D73" s="231" t="s">
        <v>25</v>
      </c>
      <c r="E73" s="232">
        <v>100</v>
      </c>
    </row>
    <row r="74" spans="1:5" s="28" customFormat="1" ht="51" customHeight="1" x14ac:dyDescent="0.2">
      <c r="A74" s="171">
        <v>63</v>
      </c>
      <c r="B74" s="173" t="s">
        <v>822</v>
      </c>
      <c r="C74" s="231" t="s">
        <v>823</v>
      </c>
      <c r="D74" s="231" t="s">
        <v>25</v>
      </c>
      <c r="E74" s="232">
        <v>48</v>
      </c>
    </row>
    <row r="75" spans="1:5" s="28" customFormat="1" ht="51" customHeight="1" x14ac:dyDescent="0.2">
      <c r="A75" s="171">
        <v>64</v>
      </c>
      <c r="B75" s="173" t="s">
        <v>824</v>
      </c>
      <c r="C75" s="231" t="s">
        <v>825</v>
      </c>
      <c r="D75" s="231" t="s">
        <v>679</v>
      </c>
      <c r="E75" s="232">
        <v>4</v>
      </c>
    </row>
    <row r="76" spans="1:5" s="28" customFormat="1" ht="51" customHeight="1" x14ac:dyDescent="0.2">
      <c r="A76" s="171">
        <v>65</v>
      </c>
      <c r="B76" s="173" t="s">
        <v>826</v>
      </c>
      <c r="C76" s="231" t="s">
        <v>827</v>
      </c>
      <c r="D76" s="231" t="s">
        <v>25</v>
      </c>
      <c r="E76" s="232">
        <v>8</v>
      </c>
    </row>
    <row r="77" spans="1:5" s="28" customFormat="1" ht="51.75" customHeight="1" x14ac:dyDescent="0.2">
      <c r="A77" s="171">
        <v>66</v>
      </c>
      <c r="B77" s="173" t="s">
        <v>828</v>
      </c>
      <c r="C77" s="231" t="s">
        <v>829</v>
      </c>
      <c r="D77" s="231" t="s">
        <v>25</v>
      </c>
      <c r="E77" s="232">
        <v>1</v>
      </c>
    </row>
    <row r="78" spans="1:5" s="28" customFormat="1" ht="51.75" customHeight="1" x14ac:dyDescent="0.2">
      <c r="A78" s="171">
        <v>67</v>
      </c>
      <c r="B78" s="173" t="s">
        <v>830</v>
      </c>
      <c r="C78" s="231" t="s">
        <v>831</v>
      </c>
      <c r="D78" s="231" t="s">
        <v>25</v>
      </c>
      <c r="E78" s="232">
        <v>2</v>
      </c>
    </row>
    <row r="79" spans="1:5" s="28" customFormat="1" ht="51.75" customHeight="1" x14ac:dyDescent="0.2">
      <c r="A79" s="171">
        <v>68</v>
      </c>
      <c r="B79" s="173" t="s">
        <v>832</v>
      </c>
      <c r="C79" s="231" t="s">
        <v>833</v>
      </c>
      <c r="D79" s="231" t="s">
        <v>25</v>
      </c>
      <c r="E79" s="232">
        <v>2</v>
      </c>
    </row>
    <row r="80" spans="1:5" s="28" customFormat="1" ht="51.75" customHeight="1" x14ac:dyDescent="0.2">
      <c r="A80" s="171">
        <v>69</v>
      </c>
      <c r="B80" s="173" t="s">
        <v>834</v>
      </c>
      <c r="C80" s="231" t="s">
        <v>835</v>
      </c>
      <c r="D80" s="231" t="s">
        <v>760</v>
      </c>
      <c r="E80" s="232">
        <v>35</v>
      </c>
    </row>
    <row r="81" spans="1:5" s="28" customFormat="1" ht="51.75" customHeight="1" x14ac:dyDescent="0.2">
      <c r="A81" s="171">
        <v>70</v>
      </c>
      <c r="B81" s="173" t="s">
        <v>836</v>
      </c>
      <c r="C81" s="231" t="s">
        <v>837</v>
      </c>
      <c r="D81" s="231" t="s">
        <v>25</v>
      </c>
      <c r="E81" s="232">
        <v>15</v>
      </c>
    </row>
    <row r="82" spans="1:5" s="28" customFormat="1" ht="51.75" customHeight="1" x14ac:dyDescent="0.2">
      <c r="A82" s="171">
        <v>71</v>
      </c>
      <c r="B82" s="173" t="s">
        <v>838</v>
      </c>
      <c r="C82" s="231" t="s">
        <v>839</v>
      </c>
      <c r="D82" s="231" t="s">
        <v>25</v>
      </c>
      <c r="E82" s="232">
        <v>15</v>
      </c>
    </row>
    <row r="83" spans="1:5" s="28" customFormat="1" ht="51.75" customHeight="1" x14ac:dyDescent="0.2">
      <c r="A83" s="171">
        <v>72</v>
      </c>
      <c r="B83" s="173" t="s">
        <v>840</v>
      </c>
      <c r="C83" s="231" t="s">
        <v>841</v>
      </c>
      <c r="D83" s="231" t="s">
        <v>25</v>
      </c>
      <c r="E83" s="232">
        <v>7</v>
      </c>
    </row>
    <row r="84" spans="1:5" s="28" customFormat="1" ht="51.75" customHeight="1" x14ac:dyDescent="0.2">
      <c r="A84" s="171">
        <v>73</v>
      </c>
      <c r="B84" s="173" t="s">
        <v>842</v>
      </c>
      <c r="C84" s="231" t="s">
        <v>843</v>
      </c>
      <c r="D84" s="231" t="s">
        <v>25</v>
      </c>
      <c r="E84" s="232">
        <v>100</v>
      </c>
    </row>
    <row r="85" spans="1:5" s="28" customFormat="1" ht="51.75" customHeight="1" x14ac:dyDescent="0.2">
      <c r="A85" s="171">
        <v>74</v>
      </c>
      <c r="B85" s="173" t="s">
        <v>844</v>
      </c>
      <c r="C85" s="231" t="s">
        <v>845</v>
      </c>
      <c r="D85" s="231" t="s">
        <v>25</v>
      </c>
      <c r="E85" s="232">
        <v>66</v>
      </c>
    </row>
    <row r="86" spans="1:5" s="28" customFormat="1" ht="51.75" customHeight="1" x14ac:dyDescent="0.2">
      <c r="A86" s="171">
        <v>75</v>
      </c>
      <c r="B86" s="173" t="s">
        <v>846</v>
      </c>
      <c r="C86" s="231" t="s">
        <v>847</v>
      </c>
      <c r="D86" s="231" t="s">
        <v>25</v>
      </c>
      <c r="E86" s="232">
        <v>66</v>
      </c>
    </row>
    <row r="87" spans="1:5" s="28" customFormat="1" ht="51.75" customHeight="1" x14ac:dyDescent="0.2">
      <c r="A87" s="171">
        <v>76</v>
      </c>
      <c r="B87" s="173" t="s">
        <v>848</v>
      </c>
      <c r="C87" s="231" t="s">
        <v>849</v>
      </c>
      <c r="D87" s="231" t="s">
        <v>25</v>
      </c>
      <c r="E87" s="232">
        <v>33</v>
      </c>
    </row>
    <row r="88" spans="1:5" s="28" customFormat="1" ht="51.75" customHeight="1" x14ac:dyDescent="0.2">
      <c r="A88" s="171">
        <v>77</v>
      </c>
      <c r="B88" s="173" t="s">
        <v>850</v>
      </c>
      <c r="C88" s="231" t="s">
        <v>851</v>
      </c>
      <c r="D88" s="231" t="s">
        <v>25</v>
      </c>
      <c r="E88" s="232">
        <v>75</v>
      </c>
    </row>
    <row r="89" spans="1:5" s="28" customFormat="1" ht="51.75" customHeight="1" x14ac:dyDescent="0.2">
      <c r="A89" s="171">
        <v>78</v>
      </c>
      <c r="B89" s="173" t="s">
        <v>852</v>
      </c>
      <c r="C89" s="231" t="s">
        <v>853</v>
      </c>
      <c r="D89" s="231" t="s">
        <v>25</v>
      </c>
      <c r="E89" s="232">
        <v>69</v>
      </c>
    </row>
    <row r="90" spans="1:5" s="28" customFormat="1" ht="51.75" customHeight="1" x14ac:dyDescent="0.2">
      <c r="A90" s="171">
        <v>79</v>
      </c>
      <c r="B90" s="173" t="s">
        <v>854</v>
      </c>
      <c r="C90" s="231" t="s">
        <v>855</v>
      </c>
      <c r="D90" s="231" t="s">
        <v>25</v>
      </c>
      <c r="E90" s="232">
        <v>10</v>
      </c>
    </row>
    <row r="91" spans="1:5" s="28" customFormat="1" ht="51.75" customHeight="1" x14ac:dyDescent="0.2">
      <c r="A91" s="171">
        <v>80</v>
      </c>
      <c r="B91" s="173" t="s">
        <v>596</v>
      </c>
      <c r="C91" s="231" t="s">
        <v>856</v>
      </c>
      <c r="D91" s="231" t="s">
        <v>25</v>
      </c>
      <c r="E91" s="232">
        <v>31</v>
      </c>
    </row>
    <row r="92" spans="1:5" s="28" customFormat="1" ht="51.75" customHeight="1" x14ac:dyDescent="0.2">
      <c r="A92" s="171">
        <v>81</v>
      </c>
      <c r="B92" s="173" t="s">
        <v>857</v>
      </c>
      <c r="C92" s="231" t="s">
        <v>858</v>
      </c>
      <c r="D92" s="231" t="s">
        <v>147</v>
      </c>
      <c r="E92" s="232">
        <v>34</v>
      </c>
    </row>
    <row r="93" spans="1:5" s="28" customFormat="1" ht="51.75" customHeight="1" x14ac:dyDescent="0.2">
      <c r="A93" s="171">
        <v>82</v>
      </c>
      <c r="B93" s="173" t="s">
        <v>859</v>
      </c>
      <c r="C93" s="231" t="s">
        <v>860</v>
      </c>
      <c r="D93" s="231" t="s">
        <v>25</v>
      </c>
      <c r="E93" s="232">
        <f>20+10</f>
        <v>30</v>
      </c>
    </row>
    <row r="94" spans="1:5" s="28" customFormat="1" ht="51.75" customHeight="1" x14ac:dyDescent="0.2">
      <c r="A94" s="171">
        <v>83</v>
      </c>
      <c r="B94" s="173" t="s">
        <v>861</v>
      </c>
      <c r="C94" s="231" t="s">
        <v>862</v>
      </c>
      <c r="D94" s="231" t="s">
        <v>863</v>
      </c>
      <c r="E94" s="232">
        <v>0.05</v>
      </c>
    </row>
    <row r="95" spans="1:5" s="28" customFormat="1" ht="51.75" customHeight="1" x14ac:dyDescent="0.2">
      <c r="A95" s="171">
        <v>84</v>
      </c>
      <c r="B95" s="173" t="s">
        <v>864</v>
      </c>
      <c r="C95" s="231" t="s">
        <v>865</v>
      </c>
      <c r="D95" s="231" t="s">
        <v>147</v>
      </c>
      <c r="E95" s="232">
        <v>2</v>
      </c>
    </row>
    <row r="96" spans="1:5" s="28" customFormat="1" ht="51.75" customHeight="1" x14ac:dyDescent="0.2">
      <c r="A96" s="171">
        <v>85</v>
      </c>
      <c r="B96" s="173" t="s">
        <v>866</v>
      </c>
      <c r="C96" s="231" t="s">
        <v>867</v>
      </c>
      <c r="D96" s="231" t="s">
        <v>147</v>
      </c>
      <c r="E96" s="232">
        <v>73</v>
      </c>
    </row>
    <row r="97" spans="1:5" s="28" customFormat="1" ht="53.25" customHeight="1" x14ac:dyDescent="0.2">
      <c r="A97" s="171">
        <v>86</v>
      </c>
      <c r="B97" s="173" t="s">
        <v>868</v>
      </c>
      <c r="C97" s="231" t="s">
        <v>869</v>
      </c>
      <c r="D97" s="231" t="s">
        <v>147</v>
      </c>
      <c r="E97" s="232">
        <v>30</v>
      </c>
    </row>
    <row r="98" spans="1:5" s="28" customFormat="1" ht="53.25" customHeight="1" x14ac:dyDescent="0.2">
      <c r="A98" s="171">
        <v>87</v>
      </c>
      <c r="B98" s="173" t="s">
        <v>870</v>
      </c>
      <c r="C98" s="231" t="s">
        <v>871</v>
      </c>
      <c r="D98" s="231" t="s">
        <v>147</v>
      </c>
      <c r="E98" s="232">
        <v>12</v>
      </c>
    </row>
    <row r="99" spans="1:5" s="28" customFormat="1" ht="53.25" customHeight="1" x14ac:dyDescent="0.2">
      <c r="A99" s="171">
        <v>88</v>
      </c>
      <c r="B99" s="173" t="s">
        <v>872</v>
      </c>
      <c r="C99" s="231" t="s">
        <v>873</v>
      </c>
      <c r="D99" s="231" t="s">
        <v>147</v>
      </c>
      <c r="E99" s="232">
        <v>60</v>
      </c>
    </row>
    <row r="100" spans="1:5" s="28" customFormat="1" ht="53.25" customHeight="1" x14ac:dyDescent="0.2">
      <c r="A100" s="171">
        <v>89</v>
      </c>
      <c r="B100" s="173" t="s">
        <v>874</v>
      </c>
      <c r="C100" s="231" t="s">
        <v>875</v>
      </c>
      <c r="D100" s="231" t="s">
        <v>25</v>
      </c>
      <c r="E100" s="232">
        <v>30</v>
      </c>
    </row>
    <row r="101" spans="1:5" s="28" customFormat="1" ht="53.25" customHeight="1" x14ac:dyDescent="0.2">
      <c r="A101" s="171">
        <v>90</v>
      </c>
      <c r="B101" s="173" t="s">
        <v>876</v>
      </c>
      <c r="C101" s="231" t="s">
        <v>877</v>
      </c>
      <c r="D101" s="231" t="s">
        <v>45</v>
      </c>
      <c r="E101" s="232">
        <v>20</v>
      </c>
    </row>
    <row r="102" spans="1:5" s="28" customFormat="1" ht="53.25" customHeight="1" x14ac:dyDescent="0.2">
      <c r="A102" s="171">
        <v>91</v>
      </c>
      <c r="B102" s="173" t="s">
        <v>878</v>
      </c>
      <c r="C102" s="231" t="s">
        <v>879</v>
      </c>
      <c r="D102" s="231" t="s">
        <v>45</v>
      </c>
      <c r="E102" s="232">
        <v>10</v>
      </c>
    </row>
    <row r="103" spans="1:5" s="28" customFormat="1" ht="53.25" customHeight="1" x14ac:dyDescent="0.2">
      <c r="A103" s="171">
        <v>92</v>
      </c>
      <c r="B103" s="173" t="s">
        <v>880</v>
      </c>
      <c r="C103" s="231" t="s">
        <v>881</v>
      </c>
      <c r="D103" s="231" t="s">
        <v>679</v>
      </c>
      <c r="E103" s="232">
        <v>2</v>
      </c>
    </row>
    <row r="104" spans="1:5" s="28" customFormat="1" ht="53.25" customHeight="1" x14ac:dyDescent="0.2">
      <c r="A104" s="171">
        <v>93</v>
      </c>
      <c r="B104" s="173" t="s">
        <v>882</v>
      </c>
      <c r="C104" s="231" t="s">
        <v>883</v>
      </c>
      <c r="D104" s="231" t="s">
        <v>25</v>
      </c>
      <c r="E104" s="232">
        <v>39</v>
      </c>
    </row>
    <row r="105" spans="1:5" s="28" customFormat="1" ht="53.25" customHeight="1" x14ac:dyDescent="0.2">
      <c r="A105" s="171">
        <v>94</v>
      </c>
      <c r="B105" s="173" t="s">
        <v>884</v>
      </c>
      <c r="C105" s="231" t="s">
        <v>885</v>
      </c>
      <c r="D105" s="231" t="s">
        <v>25</v>
      </c>
      <c r="E105" s="232">
        <v>77</v>
      </c>
    </row>
    <row r="106" spans="1:5" s="28" customFormat="1" ht="53.25" customHeight="1" x14ac:dyDescent="0.2">
      <c r="A106" s="171">
        <v>95</v>
      </c>
      <c r="B106" s="173" t="s">
        <v>886</v>
      </c>
      <c r="C106" s="231" t="s">
        <v>887</v>
      </c>
      <c r="D106" s="231" t="s">
        <v>25</v>
      </c>
      <c r="E106" s="232">
        <v>365</v>
      </c>
    </row>
    <row r="107" spans="1:5" s="28" customFormat="1" ht="53.25" customHeight="1" x14ac:dyDescent="0.2">
      <c r="A107" s="171">
        <v>96</v>
      </c>
      <c r="B107" s="173" t="s">
        <v>888</v>
      </c>
      <c r="C107" s="231" t="s">
        <v>887</v>
      </c>
      <c r="D107" s="231" t="s">
        <v>25</v>
      </c>
      <c r="E107" s="232">
        <v>420</v>
      </c>
    </row>
    <row r="108" spans="1:5" s="28" customFormat="1" ht="53.25" customHeight="1" x14ac:dyDescent="0.2">
      <c r="A108" s="171">
        <v>97</v>
      </c>
      <c r="B108" s="173" t="s">
        <v>889</v>
      </c>
      <c r="C108" s="231" t="s">
        <v>890</v>
      </c>
      <c r="D108" s="231" t="s">
        <v>25</v>
      </c>
      <c r="E108" s="232">
        <v>5</v>
      </c>
    </row>
    <row r="109" spans="1:5" s="28" customFormat="1" ht="53.25" customHeight="1" x14ac:dyDescent="0.2">
      <c r="A109" s="171">
        <v>98</v>
      </c>
      <c r="B109" s="173" t="s">
        <v>891</v>
      </c>
      <c r="C109" s="231" t="s">
        <v>892</v>
      </c>
      <c r="D109" s="231" t="s">
        <v>25</v>
      </c>
      <c r="E109" s="232">
        <v>46</v>
      </c>
    </row>
    <row r="110" spans="1:5" s="28" customFormat="1" ht="53.25" customHeight="1" x14ac:dyDescent="0.2">
      <c r="A110" s="171">
        <v>99</v>
      </c>
      <c r="B110" s="173" t="s">
        <v>893</v>
      </c>
      <c r="C110" s="231" t="s">
        <v>894</v>
      </c>
      <c r="D110" s="231" t="s">
        <v>25</v>
      </c>
      <c r="E110" s="232">
        <v>2</v>
      </c>
    </row>
    <row r="111" spans="1:5" s="28" customFormat="1" ht="53.25" customHeight="1" x14ac:dyDescent="0.2">
      <c r="A111" s="171">
        <v>100</v>
      </c>
      <c r="B111" s="173" t="s">
        <v>895</v>
      </c>
      <c r="C111" s="231" t="s">
        <v>896</v>
      </c>
      <c r="D111" s="231" t="s">
        <v>25</v>
      </c>
      <c r="E111" s="232">
        <v>1</v>
      </c>
    </row>
    <row r="112" spans="1:5" s="28" customFormat="1" ht="53.25" customHeight="1" x14ac:dyDescent="0.2">
      <c r="A112" s="171">
        <v>101</v>
      </c>
      <c r="B112" s="173" t="s">
        <v>897</v>
      </c>
      <c r="C112" s="231" t="s">
        <v>898</v>
      </c>
      <c r="D112" s="231" t="s">
        <v>25</v>
      </c>
      <c r="E112" s="232">
        <v>16</v>
      </c>
    </row>
    <row r="113" spans="1:5" s="28" customFormat="1" ht="53.25" customHeight="1" x14ac:dyDescent="0.2">
      <c r="A113" s="171">
        <v>102</v>
      </c>
      <c r="B113" s="173" t="s">
        <v>899</v>
      </c>
      <c r="C113" s="231" t="s">
        <v>900</v>
      </c>
      <c r="D113" s="231" t="s">
        <v>25</v>
      </c>
      <c r="E113" s="232">
        <v>8</v>
      </c>
    </row>
    <row r="114" spans="1:5" s="28" customFormat="1" ht="54.75" customHeight="1" x14ac:dyDescent="0.2">
      <c r="A114" s="171">
        <v>103</v>
      </c>
      <c r="B114" s="173" t="s">
        <v>901</v>
      </c>
      <c r="C114" s="231" t="s">
        <v>902</v>
      </c>
      <c r="D114" s="231" t="s">
        <v>25</v>
      </c>
      <c r="E114" s="232">
        <v>365</v>
      </c>
    </row>
    <row r="115" spans="1:5" s="28" customFormat="1" ht="54.75" customHeight="1" x14ac:dyDescent="0.2">
      <c r="A115" s="171">
        <v>104</v>
      </c>
      <c r="B115" s="173" t="s">
        <v>903</v>
      </c>
      <c r="C115" s="231" t="s">
        <v>904</v>
      </c>
      <c r="D115" s="231" t="s">
        <v>25</v>
      </c>
      <c r="E115" s="232">
        <v>117</v>
      </c>
    </row>
    <row r="116" spans="1:5" s="28" customFormat="1" ht="54.75" customHeight="1" x14ac:dyDescent="0.2">
      <c r="A116" s="171">
        <v>105</v>
      </c>
      <c r="B116" s="173" t="s">
        <v>905</v>
      </c>
      <c r="C116" s="231" t="s">
        <v>906</v>
      </c>
      <c r="D116" s="231" t="s">
        <v>25</v>
      </c>
      <c r="E116" s="232">
        <v>25</v>
      </c>
    </row>
    <row r="117" spans="1:5" s="28" customFormat="1" ht="54.75" customHeight="1" x14ac:dyDescent="0.2">
      <c r="A117" s="171">
        <v>106</v>
      </c>
      <c r="B117" s="173" t="s">
        <v>907</v>
      </c>
      <c r="C117" s="231" t="s">
        <v>908</v>
      </c>
      <c r="D117" s="231" t="s">
        <v>25</v>
      </c>
      <c r="E117" s="232">
        <v>250</v>
      </c>
    </row>
    <row r="118" spans="1:5" s="28" customFormat="1" ht="54.75" customHeight="1" x14ac:dyDescent="0.2">
      <c r="A118" s="171">
        <v>107</v>
      </c>
      <c r="B118" s="173" t="s">
        <v>909</v>
      </c>
      <c r="C118" s="231" t="s">
        <v>910</v>
      </c>
      <c r="D118" s="231" t="s">
        <v>25</v>
      </c>
      <c r="E118" s="232">
        <v>50</v>
      </c>
    </row>
    <row r="119" spans="1:5" s="28" customFormat="1" ht="54.75" customHeight="1" x14ac:dyDescent="0.2">
      <c r="A119" s="171">
        <v>108</v>
      </c>
      <c r="B119" s="173" t="s">
        <v>911</v>
      </c>
      <c r="C119" s="231" t="s">
        <v>912</v>
      </c>
      <c r="D119" s="231" t="s">
        <v>25</v>
      </c>
      <c r="E119" s="232">
        <v>200</v>
      </c>
    </row>
    <row r="120" spans="1:5" s="28" customFormat="1" ht="54.75" customHeight="1" x14ac:dyDescent="0.2">
      <c r="A120" s="171">
        <v>109</v>
      </c>
      <c r="B120" s="173" t="s">
        <v>913</v>
      </c>
      <c r="C120" s="231" t="s">
        <v>914</v>
      </c>
      <c r="D120" s="231" t="s">
        <v>25</v>
      </c>
      <c r="E120" s="232">
        <v>40</v>
      </c>
    </row>
    <row r="121" spans="1:5" s="28" customFormat="1" ht="54.75" customHeight="1" x14ac:dyDescent="0.2">
      <c r="A121" s="171">
        <v>110</v>
      </c>
      <c r="B121" s="173" t="s">
        <v>915</v>
      </c>
      <c r="C121" s="231" t="s">
        <v>916</v>
      </c>
      <c r="D121" s="231" t="s">
        <v>25</v>
      </c>
      <c r="E121" s="232">
        <v>30</v>
      </c>
    </row>
    <row r="122" spans="1:5" s="28" customFormat="1" ht="54.75" customHeight="1" x14ac:dyDescent="0.2">
      <c r="A122" s="171">
        <v>111</v>
      </c>
      <c r="B122" s="173" t="s">
        <v>917</v>
      </c>
      <c r="C122" s="231" t="s">
        <v>918</v>
      </c>
      <c r="D122" s="231" t="s">
        <v>25</v>
      </c>
      <c r="E122" s="232">
        <v>102</v>
      </c>
    </row>
    <row r="123" spans="1:5" s="28" customFormat="1" ht="54.75" customHeight="1" x14ac:dyDescent="0.2">
      <c r="A123" s="171">
        <v>112</v>
      </c>
      <c r="B123" s="173" t="s">
        <v>919</v>
      </c>
      <c r="C123" s="231" t="s">
        <v>920</v>
      </c>
      <c r="D123" s="231" t="s">
        <v>25</v>
      </c>
      <c r="E123" s="232">
        <v>392</v>
      </c>
    </row>
    <row r="124" spans="1:5" s="28" customFormat="1" ht="54.75" customHeight="1" x14ac:dyDescent="0.2">
      <c r="A124" s="171">
        <v>113</v>
      </c>
      <c r="B124" s="173" t="s">
        <v>921</v>
      </c>
      <c r="C124" s="231" t="s">
        <v>922</v>
      </c>
      <c r="D124" s="231" t="s">
        <v>25</v>
      </c>
      <c r="E124" s="232">
        <v>718</v>
      </c>
    </row>
    <row r="125" spans="1:5" s="28" customFormat="1" ht="54.75" customHeight="1" x14ac:dyDescent="0.2">
      <c r="A125" s="171">
        <v>114</v>
      </c>
      <c r="B125" s="173" t="s">
        <v>923</v>
      </c>
      <c r="C125" s="231" t="s">
        <v>924</v>
      </c>
      <c r="D125" s="231" t="s">
        <v>25</v>
      </c>
      <c r="E125" s="232">
        <v>2</v>
      </c>
    </row>
    <row r="126" spans="1:5" s="28" customFormat="1" ht="54.75" customHeight="1" x14ac:dyDescent="0.2">
      <c r="A126" s="171">
        <v>115</v>
      </c>
      <c r="B126" s="173" t="s">
        <v>925</v>
      </c>
      <c r="C126" s="231" t="s">
        <v>926</v>
      </c>
      <c r="D126" s="231" t="s">
        <v>25</v>
      </c>
      <c r="E126" s="232">
        <v>7</v>
      </c>
    </row>
    <row r="127" spans="1:5" s="28" customFormat="1" ht="54.75" customHeight="1" x14ac:dyDescent="0.2">
      <c r="A127" s="171">
        <v>116</v>
      </c>
      <c r="B127" s="173" t="s">
        <v>927</v>
      </c>
      <c r="C127" s="231" t="s">
        <v>928</v>
      </c>
      <c r="D127" s="231" t="s">
        <v>25</v>
      </c>
      <c r="E127" s="232">
        <v>109</v>
      </c>
    </row>
    <row r="128" spans="1:5" s="28" customFormat="1" ht="54.75" customHeight="1" x14ac:dyDescent="0.2">
      <c r="A128" s="171">
        <v>117</v>
      </c>
      <c r="B128" s="173" t="s">
        <v>929</v>
      </c>
      <c r="C128" s="231" t="s">
        <v>930</v>
      </c>
      <c r="D128" s="231" t="s">
        <v>45</v>
      </c>
      <c r="E128" s="232">
        <v>8.8079999999999998</v>
      </c>
    </row>
    <row r="129" spans="1:5" s="28" customFormat="1" ht="54.75" customHeight="1" x14ac:dyDescent="0.2">
      <c r="A129" s="171">
        <v>118</v>
      </c>
      <c r="B129" s="173" t="s">
        <v>931</v>
      </c>
      <c r="C129" s="231" t="s">
        <v>932</v>
      </c>
      <c r="D129" s="231" t="s">
        <v>25</v>
      </c>
      <c r="E129" s="232">
        <v>1</v>
      </c>
    </row>
    <row r="130" spans="1:5" s="28" customFormat="1" ht="54.75" customHeight="1" x14ac:dyDescent="0.2">
      <c r="A130" s="171">
        <v>119</v>
      </c>
      <c r="B130" s="173" t="s">
        <v>933</v>
      </c>
      <c r="C130" s="231" t="s">
        <v>934</v>
      </c>
      <c r="D130" s="231" t="s">
        <v>45</v>
      </c>
      <c r="E130" s="232">
        <v>10</v>
      </c>
    </row>
    <row r="131" spans="1:5" s="28" customFormat="1" ht="54.75" customHeight="1" x14ac:dyDescent="0.2">
      <c r="A131" s="171">
        <v>120</v>
      </c>
      <c r="B131" s="173" t="s">
        <v>935</v>
      </c>
      <c r="C131" s="231" t="s">
        <v>936</v>
      </c>
      <c r="D131" s="231" t="s">
        <v>25</v>
      </c>
      <c r="E131" s="232">
        <v>38</v>
      </c>
    </row>
    <row r="132" spans="1:5" s="28" customFormat="1" ht="51.75" customHeight="1" x14ac:dyDescent="0.2">
      <c r="A132" s="171">
        <v>121</v>
      </c>
      <c r="B132" s="173" t="s">
        <v>937</v>
      </c>
      <c r="C132" s="231" t="s">
        <v>938</v>
      </c>
      <c r="D132" s="231" t="s">
        <v>147</v>
      </c>
      <c r="E132" s="232">
        <v>600</v>
      </c>
    </row>
    <row r="133" spans="1:5" s="28" customFormat="1" ht="51.75" customHeight="1" x14ac:dyDescent="0.2">
      <c r="A133" s="171">
        <v>123</v>
      </c>
      <c r="B133" s="173" t="s">
        <v>939</v>
      </c>
      <c r="C133" s="231" t="s">
        <v>940</v>
      </c>
      <c r="D133" s="231" t="s">
        <v>25</v>
      </c>
      <c r="E133" s="232">
        <v>100</v>
      </c>
    </row>
    <row r="134" spans="1:5" s="28" customFormat="1" ht="51.75" customHeight="1" x14ac:dyDescent="0.2">
      <c r="A134" s="171">
        <v>124</v>
      </c>
      <c r="B134" s="173" t="s">
        <v>941</v>
      </c>
      <c r="C134" s="231" t="s">
        <v>942</v>
      </c>
      <c r="D134" s="231" t="s">
        <v>25</v>
      </c>
      <c r="E134" s="232">
        <v>117</v>
      </c>
    </row>
    <row r="135" spans="1:5" s="28" customFormat="1" ht="51.75" customHeight="1" x14ac:dyDescent="0.2">
      <c r="A135" s="171">
        <v>125</v>
      </c>
      <c r="B135" s="173" t="s">
        <v>943</v>
      </c>
      <c r="C135" s="231" t="s">
        <v>944</v>
      </c>
      <c r="D135" s="231" t="s">
        <v>25</v>
      </c>
      <c r="E135" s="232">
        <v>16.48</v>
      </c>
    </row>
    <row r="136" spans="1:5" s="28" customFormat="1" ht="51.75" customHeight="1" x14ac:dyDescent="0.2">
      <c r="A136" s="171">
        <v>126</v>
      </c>
      <c r="B136" s="173" t="s">
        <v>945</v>
      </c>
      <c r="C136" s="231" t="s">
        <v>946</v>
      </c>
      <c r="D136" s="231" t="s">
        <v>147</v>
      </c>
      <c r="E136" s="232">
        <v>60</v>
      </c>
    </row>
    <row r="137" spans="1:5" s="28" customFormat="1" ht="51.75" customHeight="1" x14ac:dyDescent="0.2">
      <c r="A137" s="171">
        <v>127</v>
      </c>
      <c r="B137" s="173" t="s">
        <v>947</v>
      </c>
      <c r="C137" s="231" t="s">
        <v>948</v>
      </c>
      <c r="D137" s="231" t="s">
        <v>147</v>
      </c>
      <c r="E137" s="232">
        <v>60</v>
      </c>
    </row>
    <row r="138" spans="1:5" s="28" customFormat="1" ht="51.75" customHeight="1" x14ac:dyDescent="0.2">
      <c r="A138" s="171">
        <v>128</v>
      </c>
      <c r="B138" s="173" t="s">
        <v>949</v>
      </c>
      <c r="C138" s="231" t="s">
        <v>950</v>
      </c>
      <c r="D138" s="231" t="s">
        <v>147</v>
      </c>
      <c r="E138" s="232">
        <v>30</v>
      </c>
    </row>
    <row r="139" spans="1:5" s="28" customFormat="1" ht="51.75" customHeight="1" x14ac:dyDescent="0.2">
      <c r="A139" s="171">
        <v>129</v>
      </c>
      <c r="B139" s="173" t="s">
        <v>951</v>
      </c>
      <c r="C139" s="231" t="s">
        <v>952</v>
      </c>
      <c r="D139" s="231" t="s">
        <v>25</v>
      </c>
      <c r="E139" s="232">
        <v>28</v>
      </c>
    </row>
    <row r="140" spans="1:5" s="28" customFormat="1" ht="51.75" customHeight="1" x14ac:dyDescent="0.2">
      <c r="A140" s="171">
        <v>130</v>
      </c>
      <c r="B140" s="173" t="s">
        <v>953</v>
      </c>
      <c r="C140" s="231" t="s">
        <v>954</v>
      </c>
      <c r="D140" s="231" t="s">
        <v>25</v>
      </c>
      <c r="E140" s="232">
        <v>4</v>
      </c>
    </row>
    <row r="141" spans="1:5" s="28" customFormat="1" ht="51.75" customHeight="1" x14ac:dyDescent="0.2">
      <c r="A141" s="171">
        <v>131</v>
      </c>
      <c r="B141" s="173" t="s">
        <v>955</v>
      </c>
      <c r="C141" s="231" t="s">
        <v>956</v>
      </c>
      <c r="D141" s="231" t="s">
        <v>25</v>
      </c>
      <c r="E141" s="232">
        <v>18</v>
      </c>
    </row>
    <row r="142" spans="1:5" s="28" customFormat="1" ht="51.75" customHeight="1" x14ac:dyDescent="0.2">
      <c r="A142" s="171">
        <v>132</v>
      </c>
      <c r="B142" s="173" t="s">
        <v>957</v>
      </c>
      <c r="C142" s="231" t="s">
        <v>958</v>
      </c>
      <c r="D142" s="231" t="s">
        <v>45</v>
      </c>
      <c r="E142" s="232">
        <v>4.7</v>
      </c>
    </row>
    <row r="143" spans="1:5" s="28" customFormat="1" ht="51.75" customHeight="1" x14ac:dyDescent="0.2">
      <c r="A143" s="171">
        <v>133</v>
      </c>
      <c r="B143" s="173" t="s">
        <v>959</v>
      </c>
      <c r="C143" s="231" t="s">
        <v>960</v>
      </c>
      <c r="D143" s="231" t="s">
        <v>25</v>
      </c>
      <c r="E143" s="232">
        <v>1</v>
      </c>
    </row>
    <row r="144" spans="1:5" s="28" customFormat="1" ht="51.75" customHeight="1" x14ac:dyDescent="0.2">
      <c r="A144" s="171">
        <v>134</v>
      </c>
      <c r="B144" s="173" t="s">
        <v>961</v>
      </c>
      <c r="C144" s="231" t="s">
        <v>962</v>
      </c>
      <c r="D144" s="231" t="s">
        <v>25</v>
      </c>
      <c r="E144" s="232">
        <v>100</v>
      </c>
    </row>
    <row r="145" spans="1:5" s="28" customFormat="1" ht="51.75" customHeight="1" x14ac:dyDescent="0.2">
      <c r="A145" s="171">
        <v>135</v>
      </c>
      <c r="B145" s="173" t="s">
        <v>963</v>
      </c>
      <c r="C145" s="231" t="s">
        <v>964</v>
      </c>
      <c r="D145" s="231" t="s">
        <v>25</v>
      </c>
      <c r="E145" s="232">
        <v>30</v>
      </c>
    </row>
    <row r="146" spans="1:5" s="28" customFormat="1" ht="51.75" customHeight="1" x14ac:dyDescent="0.2">
      <c r="A146" s="171">
        <v>136</v>
      </c>
      <c r="B146" s="173" t="s">
        <v>965</v>
      </c>
      <c r="C146" s="231" t="s">
        <v>966</v>
      </c>
      <c r="D146" s="231" t="s">
        <v>45</v>
      </c>
      <c r="E146" s="232">
        <v>8</v>
      </c>
    </row>
    <row r="147" spans="1:5" s="28" customFormat="1" ht="51.75" customHeight="1" x14ac:dyDescent="0.2">
      <c r="A147" s="171">
        <v>137</v>
      </c>
      <c r="B147" s="173" t="s">
        <v>967</v>
      </c>
      <c r="C147" s="231" t="s">
        <v>968</v>
      </c>
      <c r="D147" s="231" t="s">
        <v>45</v>
      </c>
      <c r="E147" s="232">
        <v>4</v>
      </c>
    </row>
    <row r="148" spans="1:5" s="28" customFormat="1" ht="51.75" customHeight="1" x14ac:dyDescent="0.2">
      <c r="A148" s="171">
        <v>138</v>
      </c>
      <c r="B148" s="173" t="s">
        <v>969</v>
      </c>
      <c r="C148" s="231" t="s">
        <v>970</v>
      </c>
      <c r="D148" s="231" t="s">
        <v>25</v>
      </c>
      <c r="E148" s="232">
        <v>20</v>
      </c>
    </row>
    <row r="149" spans="1:5" s="28" customFormat="1" ht="51.75" customHeight="1" x14ac:dyDescent="0.2">
      <c r="A149" s="171">
        <v>139</v>
      </c>
      <c r="B149" s="173" t="s">
        <v>971</v>
      </c>
      <c r="C149" s="231" t="s">
        <v>972</v>
      </c>
      <c r="D149" s="231" t="s">
        <v>25</v>
      </c>
      <c r="E149" s="232">
        <v>47</v>
      </c>
    </row>
    <row r="150" spans="1:5" s="28" customFormat="1" ht="54.75" customHeight="1" x14ac:dyDescent="0.2">
      <c r="A150" s="171">
        <v>140</v>
      </c>
      <c r="B150" s="173" t="s">
        <v>973</v>
      </c>
      <c r="C150" s="231" t="s">
        <v>974</v>
      </c>
      <c r="D150" s="231" t="s">
        <v>25</v>
      </c>
      <c r="E150" s="232">
        <v>10</v>
      </c>
    </row>
    <row r="151" spans="1:5" s="28" customFormat="1" ht="54.75" customHeight="1" x14ac:dyDescent="0.2">
      <c r="A151" s="171">
        <v>141</v>
      </c>
      <c r="B151" s="173" t="s">
        <v>975</v>
      </c>
      <c r="C151" s="231" t="s">
        <v>976</v>
      </c>
      <c r="D151" s="231" t="s">
        <v>45</v>
      </c>
      <c r="E151" s="232">
        <v>37</v>
      </c>
    </row>
    <row r="152" spans="1:5" s="28" customFormat="1" ht="54.75" customHeight="1" x14ac:dyDescent="0.2">
      <c r="A152" s="171">
        <v>142</v>
      </c>
      <c r="B152" s="173" t="s">
        <v>977</v>
      </c>
      <c r="C152" s="231" t="s">
        <v>978</v>
      </c>
      <c r="D152" s="231" t="s">
        <v>45</v>
      </c>
      <c r="E152" s="232">
        <v>139</v>
      </c>
    </row>
    <row r="153" spans="1:5" s="28" customFormat="1" ht="54.75" customHeight="1" x14ac:dyDescent="0.2">
      <c r="A153" s="171">
        <v>143</v>
      </c>
      <c r="B153" s="173" t="s">
        <v>979</v>
      </c>
      <c r="C153" s="231" t="s">
        <v>980</v>
      </c>
      <c r="D153" s="231" t="s">
        <v>45</v>
      </c>
      <c r="E153" s="232">
        <v>120</v>
      </c>
    </row>
    <row r="154" spans="1:5" s="28" customFormat="1" ht="54.75" customHeight="1" x14ac:dyDescent="0.2">
      <c r="A154" s="171">
        <v>144</v>
      </c>
      <c r="B154" s="173" t="s">
        <v>981</v>
      </c>
      <c r="C154" s="231" t="s">
        <v>982</v>
      </c>
      <c r="D154" s="231" t="s">
        <v>45</v>
      </c>
      <c r="E154" s="232">
        <v>8</v>
      </c>
    </row>
    <row r="155" spans="1:5" s="28" customFormat="1" ht="54.75" customHeight="1" x14ac:dyDescent="0.2">
      <c r="A155" s="171">
        <v>145</v>
      </c>
      <c r="B155" s="173" t="s">
        <v>983</v>
      </c>
      <c r="C155" s="231" t="s">
        <v>984</v>
      </c>
      <c r="D155" s="231" t="s">
        <v>292</v>
      </c>
      <c r="E155" s="232">
        <v>94</v>
      </c>
    </row>
    <row r="156" spans="1:5" s="28" customFormat="1" ht="54.75" customHeight="1" x14ac:dyDescent="0.2">
      <c r="A156" s="171">
        <v>146</v>
      </c>
      <c r="B156" s="173" t="s">
        <v>985</v>
      </c>
      <c r="C156" s="231" t="s">
        <v>986</v>
      </c>
      <c r="D156" s="231" t="s">
        <v>25</v>
      </c>
      <c r="E156" s="232">
        <v>122</v>
      </c>
    </row>
    <row r="157" spans="1:5" s="28" customFormat="1" ht="54.75" customHeight="1" x14ac:dyDescent="0.2">
      <c r="A157" s="171">
        <v>147</v>
      </c>
      <c r="B157" s="173" t="s">
        <v>987</v>
      </c>
      <c r="C157" s="231" t="s">
        <v>988</v>
      </c>
      <c r="D157" s="231" t="s">
        <v>25</v>
      </c>
      <c r="E157" s="232">
        <v>122</v>
      </c>
    </row>
    <row r="158" spans="1:5" s="28" customFormat="1" ht="54.75" customHeight="1" x14ac:dyDescent="0.2">
      <c r="A158" s="171">
        <v>148</v>
      </c>
      <c r="B158" s="173" t="s">
        <v>989</v>
      </c>
      <c r="C158" s="231" t="s">
        <v>990</v>
      </c>
      <c r="D158" s="231" t="s">
        <v>25</v>
      </c>
      <c r="E158" s="232">
        <v>1</v>
      </c>
    </row>
    <row r="159" spans="1:5" s="28" customFormat="1" ht="54.75" customHeight="1" x14ac:dyDescent="0.2">
      <c r="A159" s="171">
        <v>149</v>
      </c>
      <c r="B159" s="173" t="s">
        <v>991</v>
      </c>
      <c r="C159" s="231" t="s">
        <v>992</v>
      </c>
      <c r="D159" s="231" t="s">
        <v>25</v>
      </c>
      <c r="E159" s="232">
        <v>32</v>
      </c>
    </row>
    <row r="160" spans="1:5" s="28" customFormat="1" ht="54.75" customHeight="1" x14ac:dyDescent="0.2">
      <c r="A160" s="171">
        <v>150</v>
      </c>
      <c r="B160" s="173" t="s">
        <v>993</v>
      </c>
      <c r="C160" s="231" t="s">
        <v>994</v>
      </c>
      <c r="D160" s="231" t="s">
        <v>25</v>
      </c>
      <c r="E160" s="232">
        <v>29</v>
      </c>
    </row>
    <row r="161" spans="1:5" s="28" customFormat="1" ht="54.75" customHeight="1" x14ac:dyDescent="0.2">
      <c r="A161" s="171">
        <v>151</v>
      </c>
      <c r="B161" s="173" t="s">
        <v>995</v>
      </c>
      <c r="C161" s="231" t="s">
        <v>996</v>
      </c>
      <c r="D161" s="231" t="s">
        <v>25</v>
      </c>
      <c r="E161" s="232">
        <v>42</v>
      </c>
    </row>
    <row r="162" spans="1:5" s="28" customFormat="1" ht="54.75" customHeight="1" x14ac:dyDescent="0.2">
      <c r="A162" s="171">
        <v>152</v>
      </c>
      <c r="B162" s="173" t="s">
        <v>997</v>
      </c>
      <c r="C162" s="231" t="s">
        <v>998</v>
      </c>
      <c r="D162" s="231" t="s">
        <v>25</v>
      </c>
      <c r="E162" s="232">
        <v>15</v>
      </c>
    </row>
    <row r="163" spans="1:5" s="28" customFormat="1" ht="54.75" customHeight="1" x14ac:dyDescent="0.2">
      <c r="A163" s="171">
        <v>153</v>
      </c>
      <c r="B163" s="173" t="s">
        <v>999</v>
      </c>
      <c r="C163" s="231" t="s">
        <v>1000</v>
      </c>
      <c r="D163" s="231" t="s">
        <v>81</v>
      </c>
      <c r="E163" s="232">
        <v>3903</v>
      </c>
    </row>
    <row r="164" spans="1:5" s="28" customFormat="1" ht="54.75" customHeight="1" x14ac:dyDescent="0.2">
      <c r="A164" s="171">
        <v>154</v>
      </c>
      <c r="B164" s="173" t="s">
        <v>312</v>
      </c>
      <c r="C164" s="231" t="s">
        <v>1001</v>
      </c>
      <c r="D164" s="231" t="s">
        <v>25</v>
      </c>
      <c r="E164" s="232">
        <v>2</v>
      </c>
    </row>
    <row r="165" spans="1:5" s="28" customFormat="1" ht="54.75" customHeight="1" x14ac:dyDescent="0.2">
      <c r="A165" s="171">
        <v>155</v>
      </c>
      <c r="B165" s="173" t="s">
        <v>1002</v>
      </c>
      <c r="C165" s="231" t="s">
        <v>1003</v>
      </c>
      <c r="D165" s="231" t="s">
        <v>25</v>
      </c>
      <c r="E165" s="232">
        <v>3</v>
      </c>
    </row>
    <row r="166" spans="1:5" s="28" customFormat="1" ht="54.75" customHeight="1" x14ac:dyDescent="0.2">
      <c r="A166" s="171">
        <v>156</v>
      </c>
      <c r="B166" s="173" t="s">
        <v>1004</v>
      </c>
      <c r="C166" s="231" t="s">
        <v>1005</v>
      </c>
      <c r="D166" s="231" t="s">
        <v>25</v>
      </c>
      <c r="E166" s="232">
        <v>4</v>
      </c>
    </row>
    <row r="167" spans="1:5" s="28" customFormat="1" ht="58.5" customHeight="1" x14ac:dyDescent="0.2">
      <c r="A167" s="171">
        <v>157</v>
      </c>
      <c r="B167" s="173" t="s">
        <v>1006</v>
      </c>
      <c r="C167" s="231" t="s">
        <v>1007</v>
      </c>
      <c r="D167" s="231" t="s">
        <v>25</v>
      </c>
      <c r="E167" s="232">
        <v>11</v>
      </c>
    </row>
    <row r="168" spans="1:5" s="28" customFormat="1" ht="58.5" customHeight="1" x14ac:dyDescent="0.2">
      <c r="A168" s="171">
        <v>158</v>
      </c>
      <c r="B168" s="173" t="s">
        <v>1008</v>
      </c>
      <c r="C168" s="231" t="s">
        <v>1009</v>
      </c>
      <c r="D168" s="231" t="s">
        <v>25</v>
      </c>
      <c r="E168" s="232">
        <v>2</v>
      </c>
    </row>
    <row r="169" spans="1:5" s="28" customFormat="1" ht="58.5" customHeight="1" x14ac:dyDescent="0.2">
      <c r="A169" s="171">
        <v>159</v>
      </c>
      <c r="B169" s="173" t="s">
        <v>1010</v>
      </c>
      <c r="C169" s="231" t="s">
        <v>1011</v>
      </c>
      <c r="D169" s="231" t="s">
        <v>25</v>
      </c>
      <c r="E169" s="232">
        <v>5</v>
      </c>
    </row>
    <row r="170" spans="1:5" s="28" customFormat="1" ht="58.5" customHeight="1" x14ac:dyDescent="0.2">
      <c r="A170" s="171">
        <v>160</v>
      </c>
      <c r="B170" s="173" t="s">
        <v>1012</v>
      </c>
      <c r="C170" s="231" t="s">
        <v>1013</v>
      </c>
      <c r="D170" s="231" t="s">
        <v>45</v>
      </c>
      <c r="E170" s="232">
        <v>26</v>
      </c>
    </row>
    <row r="171" spans="1:5" s="28" customFormat="1" ht="58.5" customHeight="1" x14ac:dyDescent="0.2">
      <c r="A171" s="171">
        <v>161</v>
      </c>
      <c r="B171" s="173" t="s">
        <v>1014</v>
      </c>
      <c r="C171" s="231" t="s">
        <v>1015</v>
      </c>
      <c r="D171" s="231" t="s">
        <v>147</v>
      </c>
      <c r="E171" s="232">
        <v>20</v>
      </c>
    </row>
    <row r="172" spans="1:5" s="28" customFormat="1" ht="58.5" customHeight="1" x14ac:dyDescent="0.2">
      <c r="A172" s="171">
        <v>162</v>
      </c>
      <c r="B172" s="173" t="s">
        <v>1016</v>
      </c>
      <c r="C172" s="231" t="s">
        <v>1017</v>
      </c>
      <c r="D172" s="231" t="s">
        <v>535</v>
      </c>
      <c r="E172" s="232">
        <v>0.05</v>
      </c>
    </row>
    <row r="173" spans="1:5" s="28" customFormat="1" ht="58.5" customHeight="1" x14ac:dyDescent="0.2">
      <c r="A173" s="171">
        <v>163</v>
      </c>
      <c r="B173" s="173" t="s">
        <v>1018</v>
      </c>
      <c r="C173" s="231" t="s">
        <v>1019</v>
      </c>
      <c r="D173" s="231" t="s">
        <v>392</v>
      </c>
      <c r="E173" s="232">
        <v>130</v>
      </c>
    </row>
    <row r="174" spans="1:5" s="28" customFormat="1" ht="58.5" customHeight="1" x14ac:dyDescent="0.2">
      <c r="A174" s="171">
        <v>164</v>
      </c>
      <c r="B174" s="173" t="s">
        <v>1020</v>
      </c>
      <c r="C174" s="231" t="s">
        <v>1021</v>
      </c>
      <c r="D174" s="231" t="s">
        <v>147</v>
      </c>
      <c r="E174" s="232">
        <v>11</v>
      </c>
    </row>
    <row r="175" spans="1:5" s="28" customFormat="1" ht="58.5" customHeight="1" x14ac:dyDescent="0.2">
      <c r="A175" s="171">
        <v>165</v>
      </c>
      <c r="B175" s="173" t="s">
        <v>1022</v>
      </c>
      <c r="C175" s="231" t="s">
        <v>1023</v>
      </c>
      <c r="D175" s="231" t="s">
        <v>25</v>
      </c>
      <c r="E175" s="232">
        <v>12</v>
      </c>
    </row>
    <row r="176" spans="1:5" s="28" customFormat="1" ht="58.5" customHeight="1" x14ac:dyDescent="0.2">
      <c r="A176" s="171">
        <v>166</v>
      </c>
      <c r="B176" s="173" t="s">
        <v>1024</v>
      </c>
      <c r="C176" s="231" t="s">
        <v>1025</v>
      </c>
      <c r="D176" s="231" t="s">
        <v>25</v>
      </c>
      <c r="E176" s="232">
        <v>3</v>
      </c>
    </row>
    <row r="177" spans="1:5" s="28" customFormat="1" ht="58.5" customHeight="1" x14ac:dyDescent="0.2">
      <c r="A177" s="171">
        <v>167</v>
      </c>
      <c r="B177" s="173" t="s">
        <v>1026</v>
      </c>
      <c r="C177" s="231" t="s">
        <v>1027</v>
      </c>
      <c r="D177" s="231" t="s">
        <v>25</v>
      </c>
      <c r="E177" s="232">
        <v>122</v>
      </c>
    </row>
    <row r="178" spans="1:5" s="28" customFormat="1" ht="58.5" customHeight="1" x14ac:dyDescent="0.2">
      <c r="A178" s="171">
        <v>168</v>
      </c>
      <c r="B178" s="173" t="s">
        <v>1028</v>
      </c>
      <c r="C178" s="231" t="s">
        <v>1029</v>
      </c>
      <c r="D178" s="231" t="s">
        <v>25</v>
      </c>
      <c r="E178" s="232">
        <v>366</v>
      </c>
    </row>
    <row r="179" spans="1:5" s="28" customFormat="1" ht="58.5" customHeight="1" x14ac:dyDescent="0.2">
      <c r="A179" s="171">
        <v>169</v>
      </c>
      <c r="B179" s="173" t="s">
        <v>1030</v>
      </c>
      <c r="C179" s="231" t="s">
        <v>1031</v>
      </c>
      <c r="D179" s="231" t="s">
        <v>25</v>
      </c>
      <c r="E179" s="232">
        <v>2</v>
      </c>
    </row>
    <row r="180" spans="1:5" s="28" customFormat="1" ht="58.5" customHeight="1" x14ac:dyDescent="0.2">
      <c r="A180" s="171">
        <v>170</v>
      </c>
      <c r="B180" s="173" t="s">
        <v>1032</v>
      </c>
      <c r="C180" s="231" t="s">
        <v>1033</v>
      </c>
      <c r="D180" s="231" t="s">
        <v>25</v>
      </c>
      <c r="E180" s="232">
        <v>9</v>
      </c>
    </row>
    <row r="181" spans="1:5" s="28" customFormat="1" ht="58.5" customHeight="1" x14ac:dyDescent="0.2">
      <c r="A181" s="171">
        <v>171</v>
      </c>
      <c r="B181" s="173" t="s">
        <v>1034</v>
      </c>
      <c r="C181" s="231" t="s">
        <v>1035</v>
      </c>
      <c r="D181" s="231" t="s">
        <v>25</v>
      </c>
      <c r="E181" s="232">
        <v>1</v>
      </c>
    </row>
    <row r="182" spans="1:5" s="28" customFormat="1" ht="58.5" customHeight="1" x14ac:dyDescent="0.2">
      <c r="A182" s="171">
        <v>172</v>
      </c>
      <c r="B182" s="173" t="s">
        <v>1036</v>
      </c>
      <c r="C182" s="231" t="s">
        <v>1037</v>
      </c>
      <c r="D182" s="231" t="s">
        <v>25</v>
      </c>
      <c r="E182" s="232">
        <v>9</v>
      </c>
    </row>
    <row r="183" spans="1:5" s="28" customFormat="1" ht="58.5" customHeight="1" x14ac:dyDescent="0.2">
      <c r="A183" s="171">
        <v>173</v>
      </c>
      <c r="B183" s="173" t="s">
        <v>1038</v>
      </c>
      <c r="C183" s="231" t="s">
        <v>1037</v>
      </c>
      <c r="D183" s="231" t="s">
        <v>25</v>
      </c>
      <c r="E183" s="232">
        <v>22</v>
      </c>
    </row>
    <row r="184" spans="1:5" s="28" customFormat="1" ht="58.5" customHeight="1" x14ac:dyDescent="0.2">
      <c r="A184" s="171">
        <v>174</v>
      </c>
      <c r="B184" s="173" t="s">
        <v>1039</v>
      </c>
      <c r="C184" s="231" t="s">
        <v>1040</v>
      </c>
      <c r="D184" s="231" t="s">
        <v>25</v>
      </c>
      <c r="E184" s="232">
        <v>5</v>
      </c>
    </row>
    <row r="185" spans="1:5" s="28" customFormat="1" ht="58.5" customHeight="1" x14ac:dyDescent="0.2">
      <c r="A185" s="171">
        <v>175</v>
      </c>
      <c r="B185" s="173" t="s">
        <v>1041</v>
      </c>
      <c r="C185" s="231" t="s">
        <v>1042</v>
      </c>
      <c r="D185" s="231" t="s">
        <v>25</v>
      </c>
      <c r="E185" s="232">
        <v>2</v>
      </c>
    </row>
    <row r="186" spans="1:5" s="28" customFormat="1" ht="58.5" customHeight="1" x14ac:dyDescent="0.2">
      <c r="A186" s="171">
        <v>176</v>
      </c>
      <c r="B186" s="173" t="s">
        <v>1043</v>
      </c>
      <c r="C186" s="231" t="s">
        <v>1044</v>
      </c>
      <c r="D186" s="231" t="s">
        <v>25</v>
      </c>
      <c r="E186" s="232">
        <v>2</v>
      </c>
    </row>
    <row r="187" spans="1:5" s="28" customFormat="1" ht="58.5" customHeight="1" x14ac:dyDescent="0.2">
      <c r="A187" s="171">
        <v>177</v>
      </c>
      <c r="B187" s="173" t="s">
        <v>1045</v>
      </c>
      <c r="C187" s="231" t="s">
        <v>1046</v>
      </c>
      <c r="D187" s="231" t="s">
        <v>25</v>
      </c>
      <c r="E187" s="232">
        <v>106</v>
      </c>
    </row>
    <row r="188" spans="1:5" s="28" customFormat="1" ht="58.5" customHeight="1" x14ac:dyDescent="0.2">
      <c r="A188" s="171">
        <v>178</v>
      </c>
      <c r="B188" s="173" t="s">
        <v>1047</v>
      </c>
      <c r="C188" s="231" t="s">
        <v>1048</v>
      </c>
      <c r="D188" s="231" t="s">
        <v>25</v>
      </c>
      <c r="E188" s="232">
        <v>10</v>
      </c>
    </row>
    <row r="189" spans="1:5" s="28" customFormat="1" ht="58.5" customHeight="1" x14ac:dyDescent="0.2">
      <c r="A189" s="171">
        <v>179</v>
      </c>
      <c r="B189" s="173" t="s">
        <v>1049</v>
      </c>
      <c r="C189" s="231" t="s">
        <v>1050</v>
      </c>
      <c r="D189" s="231" t="s">
        <v>25</v>
      </c>
      <c r="E189" s="232">
        <v>10</v>
      </c>
    </row>
    <row r="190" spans="1:5" s="28" customFormat="1" ht="58.5" customHeight="1" x14ac:dyDescent="0.2">
      <c r="A190" s="171">
        <v>180</v>
      </c>
      <c r="B190" s="173" t="s">
        <v>1051</v>
      </c>
      <c r="C190" s="231" t="s">
        <v>1052</v>
      </c>
      <c r="D190" s="231" t="s">
        <v>25</v>
      </c>
      <c r="E190" s="232">
        <v>10</v>
      </c>
    </row>
    <row r="191" spans="1:5" s="28" customFormat="1" ht="58.5" customHeight="1" x14ac:dyDescent="0.2">
      <c r="A191" s="171">
        <v>181</v>
      </c>
      <c r="B191" s="173" t="s">
        <v>1053</v>
      </c>
      <c r="C191" s="231" t="s">
        <v>1054</v>
      </c>
      <c r="D191" s="231" t="s">
        <v>25</v>
      </c>
      <c r="E191" s="232">
        <v>15</v>
      </c>
    </row>
    <row r="192" spans="1:5" s="28" customFormat="1" ht="58.5" customHeight="1" x14ac:dyDescent="0.2">
      <c r="A192" s="171">
        <v>182</v>
      </c>
      <c r="B192" s="173" t="s">
        <v>1055</v>
      </c>
      <c r="C192" s="231" t="s">
        <v>1056</v>
      </c>
      <c r="D192" s="231" t="s">
        <v>25</v>
      </c>
      <c r="E192" s="232">
        <v>20</v>
      </c>
    </row>
    <row r="193" spans="1:5" s="28" customFormat="1" ht="58.5" customHeight="1" x14ac:dyDescent="0.2">
      <c r="A193" s="171">
        <v>183</v>
      </c>
      <c r="B193" s="173" t="s">
        <v>1057</v>
      </c>
      <c r="C193" s="231" t="s">
        <v>1058</v>
      </c>
      <c r="D193" s="231" t="s">
        <v>25</v>
      </c>
      <c r="E193" s="232">
        <v>20</v>
      </c>
    </row>
    <row r="194" spans="1:5" s="28" customFormat="1" ht="58.5" customHeight="1" x14ac:dyDescent="0.2">
      <c r="A194" s="171">
        <v>184</v>
      </c>
      <c r="B194" s="173" t="s">
        <v>1059</v>
      </c>
      <c r="C194" s="231" t="s">
        <v>1060</v>
      </c>
      <c r="D194" s="231" t="s">
        <v>25</v>
      </c>
      <c r="E194" s="232">
        <v>223</v>
      </c>
    </row>
    <row r="195" spans="1:5" s="28" customFormat="1" ht="58.5" customHeight="1" x14ac:dyDescent="0.2">
      <c r="A195" s="171">
        <v>185</v>
      </c>
      <c r="B195" s="173" t="s">
        <v>1061</v>
      </c>
      <c r="C195" s="231" t="s">
        <v>1062</v>
      </c>
      <c r="D195" s="231" t="s">
        <v>25</v>
      </c>
      <c r="E195" s="232">
        <v>14</v>
      </c>
    </row>
    <row r="196" spans="1:5" s="28" customFormat="1" ht="63" customHeight="1" x14ac:dyDescent="0.2">
      <c r="A196" s="171">
        <v>186</v>
      </c>
      <c r="B196" s="173" t="s">
        <v>1063</v>
      </c>
      <c r="C196" s="231" t="s">
        <v>1064</v>
      </c>
      <c r="D196" s="231" t="s">
        <v>25</v>
      </c>
      <c r="E196" s="232">
        <v>64</v>
      </c>
    </row>
    <row r="197" spans="1:5" s="28" customFormat="1" ht="63" customHeight="1" x14ac:dyDescent="0.2">
      <c r="A197" s="171">
        <v>187</v>
      </c>
      <c r="B197" s="173" t="s">
        <v>1065</v>
      </c>
      <c r="C197" s="231" t="s">
        <v>1066</v>
      </c>
      <c r="D197" s="231" t="s">
        <v>25</v>
      </c>
      <c r="E197" s="232">
        <v>2</v>
      </c>
    </row>
    <row r="198" spans="1:5" s="28" customFormat="1" ht="63" customHeight="1" x14ac:dyDescent="0.2">
      <c r="A198" s="171">
        <v>188</v>
      </c>
      <c r="B198" s="173" t="s">
        <v>1067</v>
      </c>
      <c r="C198" s="231" t="s">
        <v>1068</v>
      </c>
      <c r="D198" s="231" t="s">
        <v>25</v>
      </c>
      <c r="E198" s="232">
        <v>14</v>
      </c>
    </row>
    <row r="199" spans="1:5" s="28" customFormat="1" ht="63" customHeight="1" x14ac:dyDescent="0.2">
      <c r="A199" s="171">
        <v>189</v>
      </c>
      <c r="B199" s="173" t="s">
        <v>1069</v>
      </c>
      <c r="C199" s="231" t="s">
        <v>1070</v>
      </c>
      <c r="D199" s="231" t="s">
        <v>25</v>
      </c>
      <c r="E199" s="232">
        <v>10</v>
      </c>
    </row>
    <row r="200" spans="1:5" s="28" customFormat="1" ht="63" customHeight="1" x14ac:dyDescent="0.2">
      <c r="A200" s="171">
        <v>190</v>
      </c>
      <c r="B200" s="173" t="s">
        <v>1071</v>
      </c>
      <c r="C200" s="231" t="s">
        <v>1072</v>
      </c>
      <c r="D200" s="231" t="s">
        <v>25</v>
      </c>
      <c r="E200" s="232">
        <v>43</v>
      </c>
    </row>
    <row r="201" spans="1:5" s="28" customFormat="1" ht="63" customHeight="1" x14ac:dyDescent="0.2">
      <c r="A201" s="171">
        <v>191</v>
      </c>
      <c r="B201" s="173" t="s">
        <v>1073</v>
      </c>
      <c r="C201" s="231" t="s">
        <v>1074</v>
      </c>
      <c r="D201" s="231" t="s">
        <v>25</v>
      </c>
      <c r="E201" s="232">
        <v>37</v>
      </c>
    </row>
    <row r="202" spans="1:5" s="28" customFormat="1" ht="63" customHeight="1" x14ac:dyDescent="0.2">
      <c r="A202" s="171">
        <v>192</v>
      </c>
      <c r="B202" s="173" t="s">
        <v>1075</v>
      </c>
      <c r="C202" s="231" t="s">
        <v>1076</v>
      </c>
      <c r="D202" s="231" t="s">
        <v>25</v>
      </c>
      <c r="E202" s="232">
        <v>3</v>
      </c>
    </row>
    <row r="203" spans="1:5" s="28" customFormat="1" ht="63" customHeight="1" x14ac:dyDescent="0.2">
      <c r="A203" s="171">
        <v>193</v>
      </c>
      <c r="B203" s="173" t="s">
        <v>1077</v>
      </c>
      <c r="C203" s="231" t="s">
        <v>1078</v>
      </c>
      <c r="D203" s="231" t="s">
        <v>25</v>
      </c>
      <c r="E203" s="232">
        <v>8</v>
      </c>
    </row>
    <row r="204" spans="1:5" s="28" customFormat="1" ht="63" customHeight="1" x14ac:dyDescent="0.2">
      <c r="A204" s="171">
        <v>194</v>
      </c>
      <c r="B204" s="173" t="s">
        <v>1079</v>
      </c>
      <c r="C204" s="231" t="s">
        <v>1080</v>
      </c>
      <c r="D204" s="231" t="s">
        <v>25</v>
      </c>
      <c r="E204" s="232">
        <v>5</v>
      </c>
    </row>
    <row r="205" spans="1:5" s="28" customFormat="1" ht="63" customHeight="1" x14ac:dyDescent="0.2">
      <c r="A205" s="171">
        <v>195</v>
      </c>
      <c r="B205" s="173" t="s">
        <v>1081</v>
      </c>
      <c r="C205" s="231" t="s">
        <v>1082</v>
      </c>
      <c r="D205" s="231" t="s">
        <v>25</v>
      </c>
      <c r="E205" s="232">
        <v>65</v>
      </c>
    </row>
    <row r="206" spans="1:5" s="28" customFormat="1" ht="63" customHeight="1" x14ac:dyDescent="0.2">
      <c r="A206" s="171">
        <v>196</v>
      </c>
      <c r="B206" s="173" t="s">
        <v>1083</v>
      </c>
      <c r="C206" s="231" t="s">
        <v>1084</v>
      </c>
      <c r="D206" s="231" t="s">
        <v>25</v>
      </c>
      <c r="E206" s="232">
        <v>7</v>
      </c>
    </row>
    <row r="207" spans="1:5" s="28" customFormat="1" ht="63" customHeight="1" x14ac:dyDescent="0.2">
      <c r="A207" s="171">
        <v>197</v>
      </c>
      <c r="B207" s="173" t="s">
        <v>1085</v>
      </c>
      <c r="C207" s="231" t="s">
        <v>1086</v>
      </c>
      <c r="D207" s="231" t="s">
        <v>25</v>
      </c>
      <c r="E207" s="232">
        <v>2</v>
      </c>
    </row>
    <row r="208" spans="1:5" s="28" customFormat="1" ht="57" customHeight="1" x14ac:dyDescent="0.2">
      <c r="A208" s="171">
        <v>198</v>
      </c>
      <c r="B208" s="173" t="s">
        <v>1087</v>
      </c>
      <c r="C208" s="231" t="s">
        <v>1088</v>
      </c>
      <c r="D208" s="231" t="s">
        <v>25</v>
      </c>
      <c r="E208" s="232">
        <v>7</v>
      </c>
    </row>
    <row r="209" spans="1:5" s="28" customFormat="1" ht="57" customHeight="1" x14ac:dyDescent="0.2">
      <c r="A209" s="171">
        <v>199</v>
      </c>
      <c r="B209" s="173" t="s">
        <v>1089</v>
      </c>
      <c r="C209" s="231" t="s">
        <v>1090</v>
      </c>
      <c r="D209" s="231" t="s">
        <v>25</v>
      </c>
      <c r="E209" s="232">
        <v>10</v>
      </c>
    </row>
    <row r="210" spans="1:5" s="28" customFormat="1" ht="57" customHeight="1" x14ac:dyDescent="0.2">
      <c r="A210" s="171">
        <v>200</v>
      </c>
      <c r="B210" s="173" t="s">
        <v>1091</v>
      </c>
      <c r="C210" s="231" t="s">
        <v>1092</v>
      </c>
      <c r="D210" s="231" t="s">
        <v>25</v>
      </c>
      <c r="E210" s="232">
        <v>4</v>
      </c>
    </row>
    <row r="211" spans="1:5" s="28" customFormat="1" ht="57" customHeight="1" x14ac:dyDescent="0.2">
      <c r="A211" s="171">
        <v>201</v>
      </c>
      <c r="B211" s="173" t="s">
        <v>1093</v>
      </c>
      <c r="C211" s="231" t="s">
        <v>1094</v>
      </c>
      <c r="D211" s="231" t="s">
        <v>45</v>
      </c>
      <c r="E211" s="232">
        <v>18</v>
      </c>
    </row>
    <row r="212" spans="1:5" s="28" customFormat="1" ht="57" customHeight="1" x14ac:dyDescent="0.2">
      <c r="A212" s="171">
        <v>202</v>
      </c>
      <c r="B212" s="173" t="s">
        <v>1095</v>
      </c>
      <c r="C212" s="231" t="s">
        <v>1094</v>
      </c>
      <c r="D212" s="231" t="s">
        <v>45</v>
      </c>
      <c r="E212" s="232">
        <v>120</v>
      </c>
    </row>
    <row r="213" spans="1:5" s="28" customFormat="1" ht="57" customHeight="1" x14ac:dyDescent="0.2">
      <c r="A213" s="171">
        <v>203</v>
      </c>
      <c r="B213" s="173" t="s">
        <v>1096</v>
      </c>
      <c r="C213" s="231" t="s">
        <v>1097</v>
      </c>
      <c r="D213" s="231" t="s">
        <v>45</v>
      </c>
      <c r="E213" s="232">
        <v>54</v>
      </c>
    </row>
    <row r="214" spans="1:5" s="28" customFormat="1" ht="57" customHeight="1" x14ac:dyDescent="0.2">
      <c r="A214" s="171">
        <v>204</v>
      </c>
      <c r="B214" s="173" t="s">
        <v>1098</v>
      </c>
      <c r="C214" s="231" t="s">
        <v>1099</v>
      </c>
      <c r="D214" s="231" t="s">
        <v>25</v>
      </c>
      <c r="E214" s="232">
        <v>125</v>
      </c>
    </row>
    <row r="215" spans="1:5" s="28" customFormat="1" ht="57" customHeight="1" x14ac:dyDescent="0.2">
      <c r="A215" s="171">
        <v>205</v>
      </c>
      <c r="B215" s="173" t="s">
        <v>1100</v>
      </c>
      <c r="C215" s="231" t="s">
        <v>1101</v>
      </c>
      <c r="D215" s="231" t="s">
        <v>25</v>
      </c>
      <c r="E215" s="232">
        <v>100</v>
      </c>
    </row>
    <row r="216" spans="1:5" s="28" customFormat="1" ht="57" customHeight="1" x14ac:dyDescent="0.2">
      <c r="A216" s="171">
        <v>206</v>
      </c>
      <c r="B216" s="173" t="s">
        <v>1102</v>
      </c>
      <c r="C216" s="231" t="s">
        <v>1103</v>
      </c>
      <c r="D216" s="231" t="s">
        <v>25</v>
      </c>
      <c r="E216" s="232">
        <v>16</v>
      </c>
    </row>
    <row r="217" spans="1:5" s="28" customFormat="1" ht="57" customHeight="1" x14ac:dyDescent="0.2">
      <c r="A217" s="171">
        <v>207</v>
      </c>
      <c r="B217" s="173" t="s">
        <v>1104</v>
      </c>
      <c r="C217" s="231" t="s">
        <v>1105</v>
      </c>
      <c r="D217" s="231" t="s">
        <v>25</v>
      </c>
      <c r="E217" s="232">
        <v>16</v>
      </c>
    </row>
    <row r="218" spans="1:5" s="28" customFormat="1" ht="57" customHeight="1" x14ac:dyDescent="0.2">
      <c r="A218" s="171">
        <v>208</v>
      </c>
      <c r="B218" s="173" t="s">
        <v>1106</v>
      </c>
      <c r="C218" s="231" t="s">
        <v>1107</v>
      </c>
      <c r="D218" s="231" t="s">
        <v>25</v>
      </c>
      <c r="E218" s="232">
        <v>16</v>
      </c>
    </row>
    <row r="219" spans="1:5" s="28" customFormat="1" ht="57" customHeight="1" x14ac:dyDescent="0.2">
      <c r="A219" s="171">
        <v>209</v>
      </c>
      <c r="B219" s="173" t="s">
        <v>1108</v>
      </c>
      <c r="C219" s="231" t="s">
        <v>1109</v>
      </c>
      <c r="D219" s="231" t="s">
        <v>760</v>
      </c>
      <c r="E219" s="232">
        <v>4</v>
      </c>
    </row>
    <row r="220" spans="1:5" s="28" customFormat="1" ht="57" customHeight="1" x14ac:dyDescent="0.2">
      <c r="A220" s="171">
        <v>210</v>
      </c>
      <c r="B220" s="173" t="s">
        <v>1110</v>
      </c>
      <c r="C220" s="231" t="s">
        <v>1111</v>
      </c>
      <c r="D220" s="231" t="s">
        <v>45</v>
      </c>
      <c r="E220" s="232">
        <v>10.1</v>
      </c>
    </row>
    <row r="221" spans="1:5" s="28" customFormat="1" ht="57" customHeight="1" x14ac:dyDescent="0.2">
      <c r="A221" s="171">
        <v>211</v>
      </c>
      <c r="B221" s="173" t="s">
        <v>1112</v>
      </c>
      <c r="C221" s="231" t="s">
        <v>1113</v>
      </c>
      <c r="D221" s="231" t="s">
        <v>25</v>
      </c>
      <c r="E221" s="232">
        <v>10</v>
      </c>
    </row>
    <row r="222" spans="1:5" s="28" customFormat="1" ht="57" customHeight="1" x14ac:dyDescent="0.2">
      <c r="A222" s="171">
        <v>212</v>
      </c>
      <c r="B222" s="173" t="s">
        <v>1114</v>
      </c>
      <c r="C222" s="231" t="s">
        <v>1115</v>
      </c>
      <c r="D222" s="231" t="s">
        <v>25</v>
      </c>
      <c r="E222" s="232">
        <v>3</v>
      </c>
    </row>
    <row r="223" spans="1:5" s="28" customFormat="1" ht="57" customHeight="1" x14ac:dyDescent="0.2">
      <c r="A223" s="171">
        <v>213</v>
      </c>
      <c r="B223" s="173" t="s">
        <v>1116</v>
      </c>
      <c r="C223" s="231" t="s">
        <v>1117</v>
      </c>
      <c r="D223" s="231" t="s">
        <v>25</v>
      </c>
      <c r="E223" s="232">
        <v>2</v>
      </c>
    </row>
    <row r="224" spans="1:5" s="28" customFormat="1" ht="57" customHeight="1" x14ac:dyDescent="0.2">
      <c r="A224" s="171">
        <v>214</v>
      </c>
      <c r="B224" s="173" t="s">
        <v>1118</v>
      </c>
      <c r="C224" s="231" t="s">
        <v>1119</v>
      </c>
      <c r="D224" s="231" t="s">
        <v>25</v>
      </c>
      <c r="E224" s="232">
        <v>732</v>
      </c>
    </row>
    <row r="225" spans="1:5" s="28" customFormat="1" ht="51" customHeight="1" x14ac:dyDescent="0.2">
      <c r="A225" s="171">
        <v>215</v>
      </c>
      <c r="B225" s="173" t="s">
        <v>1120</v>
      </c>
      <c r="C225" s="231" t="s">
        <v>1121</v>
      </c>
      <c r="D225" s="231" t="s">
        <v>45</v>
      </c>
      <c r="E225" s="232">
        <v>3</v>
      </c>
    </row>
    <row r="226" spans="1:5" s="28" customFormat="1" ht="51" customHeight="1" x14ac:dyDescent="0.2">
      <c r="A226" s="171">
        <v>216</v>
      </c>
      <c r="B226" s="173" t="s">
        <v>1122</v>
      </c>
      <c r="C226" s="231" t="s">
        <v>1123</v>
      </c>
      <c r="D226" s="231" t="s">
        <v>25</v>
      </c>
      <c r="E226" s="232">
        <v>10</v>
      </c>
    </row>
    <row r="227" spans="1:5" s="28" customFormat="1" ht="51" customHeight="1" x14ac:dyDescent="0.2">
      <c r="A227" s="171">
        <v>217</v>
      </c>
      <c r="B227" s="173" t="s">
        <v>1124</v>
      </c>
      <c r="C227" s="231" t="s">
        <v>1125</v>
      </c>
      <c r="D227" s="231" t="s">
        <v>760</v>
      </c>
      <c r="E227" s="232">
        <v>2</v>
      </c>
    </row>
    <row r="228" spans="1:5" s="28" customFormat="1" ht="51" customHeight="1" x14ac:dyDescent="0.2">
      <c r="A228" s="171">
        <v>218</v>
      </c>
      <c r="B228" s="173" t="s">
        <v>1126</v>
      </c>
      <c r="C228" s="231" t="s">
        <v>1127</v>
      </c>
      <c r="D228" s="231" t="s">
        <v>25</v>
      </c>
      <c r="E228" s="232">
        <v>1</v>
      </c>
    </row>
    <row r="229" spans="1:5" s="28" customFormat="1" ht="51" customHeight="1" x14ac:dyDescent="0.2">
      <c r="A229" s="171">
        <v>219</v>
      </c>
      <c r="B229" s="173" t="s">
        <v>1128</v>
      </c>
      <c r="C229" s="231" t="s">
        <v>1129</v>
      </c>
      <c r="D229" s="231" t="s">
        <v>25</v>
      </c>
      <c r="E229" s="232">
        <v>370</v>
      </c>
    </row>
    <row r="230" spans="1:5" s="28" customFormat="1" ht="51" customHeight="1" x14ac:dyDescent="0.2">
      <c r="A230" s="171">
        <v>220</v>
      </c>
      <c r="B230" s="173" t="s">
        <v>1130</v>
      </c>
      <c r="C230" s="231" t="s">
        <v>1131</v>
      </c>
      <c r="D230" s="231" t="s">
        <v>147</v>
      </c>
      <c r="E230" s="232">
        <v>170</v>
      </c>
    </row>
    <row r="231" spans="1:5" s="28" customFormat="1" ht="51" customHeight="1" x14ac:dyDescent="0.2">
      <c r="A231" s="171">
        <v>221</v>
      </c>
      <c r="B231" s="173" t="s">
        <v>1132</v>
      </c>
      <c r="C231" s="231" t="s">
        <v>1133</v>
      </c>
      <c r="D231" s="231" t="s">
        <v>323</v>
      </c>
      <c r="E231" s="232">
        <v>4</v>
      </c>
    </row>
    <row r="232" spans="1:5" s="28" customFormat="1" ht="51" customHeight="1" x14ac:dyDescent="0.2">
      <c r="A232" s="171">
        <v>222</v>
      </c>
      <c r="B232" s="173" t="s">
        <v>1134</v>
      </c>
      <c r="C232" s="231" t="s">
        <v>1135</v>
      </c>
      <c r="D232" s="231" t="s">
        <v>25</v>
      </c>
      <c r="E232" s="232">
        <v>44</v>
      </c>
    </row>
    <row r="233" spans="1:5" s="28" customFormat="1" ht="51" customHeight="1" x14ac:dyDescent="0.2">
      <c r="A233" s="171">
        <v>223</v>
      </c>
      <c r="B233" s="173" t="s">
        <v>1136</v>
      </c>
      <c r="C233" s="231" t="s">
        <v>1137</v>
      </c>
      <c r="D233" s="231" t="s">
        <v>25</v>
      </c>
      <c r="E233" s="232">
        <v>226</v>
      </c>
    </row>
    <row r="234" spans="1:5" s="28" customFormat="1" ht="51" customHeight="1" x14ac:dyDescent="0.2">
      <c r="A234" s="171">
        <v>224</v>
      </c>
      <c r="B234" s="173" t="s">
        <v>1138</v>
      </c>
      <c r="C234" s="231" t="s">
        <v>1139</v>
      </c>
      <c r="D234" s="231" t="s">
        <v>25</v>
      </c>
      <c r="E234" s="232">
        <v>10</v>
      </c>
    </row>
    <row r="235" spans="1:5" s="28" customFormat="1" ht="51" customHeight="1" x14ac:dyDescent="0.2">
      <c r="A235" s="171">
        <v>225</v>
      </c>
      <c r="B235" s="173" t="s">
        <v>1140</v>
      </c>
      <c r="C235" s="231" t="s">
        <v>1141</v>
      </c>
      <c r="D235" s="231" t="s">
        <v>25</v>
      </c>
      <c r="E235" s="232">
        <v>4</v>
      </c>
    </row>
    <row r="236" spans="1:5" s="28" customFormat="1" ht="51" customHeight="1" x14ac:dyDescent="0.2">
      <c r="A236" s="171">
        <v>226</v>
      </c>
      <c r="B236" s="173" t="s">
        <v>1142</v>
      </c>
      <c r="C236" s="231" t="s">
        <v>1141</v>
      </c>
      <c r="D236" s="231" t="s">
        <v>25</v>
      </c>
      <c r="E236" s="232">
        <v>4</v>
      </c>
    </row>
    <row r="237" spans="1:5" s="28" customFormat="1" ht="51" customHeight="1" x14ac:dyDescent="0.2">
      <c r="A237" s="171">
        <v>227</v>
      </c>
      <c r="B237" s="173" t="s">
        <v>1143</v>
      </c>
      <c r="C237" s="231" t="s">
        <v>1144</v>
      </c>
      <c r="D237" s="231" t="s">
        <v>760</v>
      </c>
      <c r="E237" s="232">
        <v>1</v>
      </c>
    </row>
    <row r="238" spans="1:5" s="28" customFormat="1" ht="51" customHeight="1" x14ac:dyDescent="0.2">
      <c r="A238" s="171">
        <v>228</v>
      </c>
      <c r="B238" s="173" t="s">
        <v>1145</v>
      </c>
      <c r="C238" s="231" t="s">
        <v>1146</v>
      </c>
      <c r="D238" s="231" t="s">
        <v>760</v>
      </c>
      <c r="E238" s="232">
        <v>1.5</v>
      </c>
    </row>
    <row r="239" spans="1:5" s="28" customFormat="1" ht="51" customHeight="1" x14ac:dyDescent="0.2">
      <c r="A239" s="171">
        <v>229</v>
      </c>
      <c r="B239" s="173" t="s">
        <v>1147</v>
      </c>
      <c r="C239" s="231" t="s">
        <v>1148</v>
      </c>
      <c r="D239" s="231" t="s">
        <v>760</v>
      </c>
      <c r="E239" s="232">
        <v>4</v>
      </c>
    </row>
    <row r="240" spans="1:5" s="28" customFormat="1" ht="51" customHeight="1" x14ac:dyDescent="0.2">
      <c r="A240" s="171">
        <v>230</v>
      </c>
      <c r="B240" s="173" t="s">
        <v>1149</v>
      </c>
      <c r="C240" s="231" t="s">
        <v>1150</v>
      </c>
      <c r="D240" s="231" t="s">
        <v>147</v>
      </c>
      <c r="E240" s="232">
        <v>120</v>
      </c>
    </row>
    <row r="241" spans="1:5" s="28" customFormat="1" ht="51" customHeight="1" x14ac:dyDescent="0.2">
      <c r="A241" s="171">
        <v>231</v>
      </c>
      <c r="B241" s="173" t="s">
        <v>1151</v>
      </c>
      <c r="C241" s="231" t="s">
        <v>1152</v>
      </c>
      <c r="D241" s="231" t="s">
        <v>25</v>
      </c>
      <c r="E241" s="232">
        <v>244</v>
      </c>
    </row>
    <row r="242" spans="1:5" s="28" customFormat="1" ht="51" customHeight="1" x14ac:dyDescent="0.2">
      <c r="A242" s="171">
        <v>232</v>
      </c>
      <c r="B242" s="173" t="s">
        <v>1153</v>
      </c>
      <c r="C242" s="231" t="s">
        <v>1154</v>
      </c>
      <c r="D242" s="231" t="s">
        <v>25</v>
      </c>
      <c r="E242" s="232">
        <v>80</v>
      </c>
    </row>
    <row r="243" spans="1:5" s="28" customFormat="1" ht="51" customHeight="1" x14ac:dyDescent="0.2">
      <c r="A243" s="171">
        <v>233</v>
      </c>
      <c r="B243" s="173" t="s">
        <v>1155</v>
      </c>
      <c r="C243" s="231" t="s">
        <v>1156</v>
      </c>
      <c r="D243" s="231" t="s">
        <v>25</v>
      </c>
      <c r="E243" s="232">
        <v>66</v>
      </c>
    </row>
    <row r="244" spans="1:5" s="28" customFormat="1" ht="51" customHeight="1" x14ac:dyDescent="0.2">
      <c r="A244" s="171">
        <v>234</v>
      </c>
      <c r="B244" s="173" t="s">
        <v>1157</v>
      </c>
      <c r="C244" s="231" t="s">
        <v>1158</v>
      </c>
      <c r="D244" s="231" t="s">
        <v>25</v>
      </c>
      <c r="E244" s="232">
        <v>170</v>
      </c>
    </row>
    <row r="245" spans="1:5" s="28" customFormat="1" ht="51" customHeight="1" x14ac:dyDescent="0.2">
      <c r="A245" s="171">
        <v>235</v>
      </c>
      <c r="B245" s="173" t="s">
        <v>1159</v>
      </c>
      <c r="C245" s="231" t="s">
        <v>1160</v>
      </c>
      <c r="D245" s="231" t="s">
        <v>25</v>
      </c>
      <c r="E245" s="232">
        <v>40</v>
      </c>
    </row>
    <row r="246" spans="1:5" s="28" customFormat="1" ht="51" customHeight="1" x14ac:dyDescent="0.2">
      <c r="A246" s="171">
        <v>236</v>
      </c>
      <c r="B246" s="173" t="s">
        <v>1161</v>
      </c>
      <c r="C246" s="231" t="s">
        <v>1162</v>
      </c>
      <c r="D246" s="231" t="s">
        <v>25</v>
      </c>
      <c r="E246" s="232">
        <v>648</v>
      </c>
    </row>
    <row r="247" spans="1:5" s="28" customFormat="1" ht="51" customHeight="1" x14ac:dyDescent="0.2">
      <c r="A247" s="171">
        <v>237</v>
      </c>
      <c r="B247" s="173" t="s">
        <v>1163</v>
      </c>
      <c r="C247" s="231" t="s">
        <v>1164</v>
      </c>
      <c r="D247" s="231" t="s">
        <v>25</v>
      </c>
      <c r="E247" s="232">
        <v>960</v>
      </c>
    </row>
    <row r="248" spans="1:5" s="28" customFormat="1" ht="51" customHeight="1" x14ac:dyDescent="0.2">
      <c r="A248" s="171">
        <v>238</v>
      </c>
      <c r="B248" s="173" t="s">
        <v>1165</v>
      </c>
      <c r="C248" s="231" t="s">
        <v>1166</v>
      </c>
      <c r="D248" s="231" t="s">
        <v>25</v>
      </c>
      <c r="E248" s="232">
        <v>312</v>
      </c>
    </row>
    <row r="249" spans="1:5" s="28" customFormat="1" ht="51" customHeight="1" x14ac:dyDescent="0.2">
      <c r="A249" s="171">
        <v>239</v>
      </c>
      <c r="B249" s="173" t="s">
        <v>1167</v>
      </c>
      <c r="C249" s="231" t="s">
        <v>1168</v>
      </c>
      <c r="D249" s="231" t="s">
        <v>25</v>
      </c>
      <c r="E249" s="232">
        <v>80</v>
      </c>
    </row>
    <row r="250" spans="1:5" s="28" customFormat="1" ht="51" customHeight="1" x14ac:dyDescent="0.2">
      <c r="A250" s="171">
        <v>240</v>
      </c>
      <c r="B250" s="173" t="s">
        <v>1169</v>
      </c>
      <c r="C250" s="231" t="s">
        <v>1170</v>
      </c>
      <c r="D250" s="231" t="s">
        <v>25</v>
      </c>
      <c r="E250" s="232">
        <v>60</v>
      </c>
    </row>
    <row r="251" spans="1:5" s="28" customFormat="1" ht="51" customHeight="1" x14ac:dyDescent="0.2">
      <c r="A251" s="171">
        <v>241</v>
      </c>
      <c r="B251" s="173" t="s">
        <v>1171</v>
      </c>
      <c r="C251" s="231" t="s">
        <v>1172</v>
      </c>
      <c r="D251" s="231" t="s">
        <v>25</v>
      </c>
      <c r="E251" s="232">
        <v>40</v>
      </c>
    </row>
    <row r="252" spans="1:5" s="28" customFormat="1" ht="51" customHeight="1" x14ac:dyDescent="0.2">
      <c r="A252" s="171">
        <v>242</v>
      </c>
      <c r="B252" s="173" t="s">
        <v>1173</v>
      </c>
      <c r="C252" s="231" t="s">
        <v>1174</v>
      </c>
      <c r="D252" s="231" t="s">
        <v>25</v>
      </c>
      <c r="E252" s="232">
        <v>970</v>
      </c>
    </row>
    <row r="253" spans="1:5" s="28" customFormat="1" ht="51" customHeight="1" x14ac:dyDescent="0.2">
      <c r="A253" s="171">
        <v>243</v>
      </c>
      <c r="B253" s="173" t="s">
        <v>1175</v>
      </c>
      <c r="C253" s="231" t="s">
        <v>1176</v>
      </c>
      <c r="D253" s="231" t="s">
        <v>25</v>
      </c>
      <c r="E253" s="232">
        <v>686</v>
      </c>
    </row>
    <row r="254" spans="1:5" s="28" customFormat="1" ht="51" customHeight="1" x14ac:dyDescent="0.2">
      <c r="A254" s="171">
        <v>244</v>
      </c>
      <c r="B254" s="173" t="s">
        <v>1177</v>
      </c>
      <c r="C254" s="231" t="s">
        <v>1178</v>
      </c>
      <c r="D254" s="231" t="s">
        <v>25</v>
      </c>
      <c r="E254" s="232">
        <v>40</v>
      </c>
    </row>
    <row r="255" spans="1:5" s="28" customFormat="1" ht="51" customHeight="1" x14ac:dyDescent="0.2">
      <c r="A255" s="171">
        <v>245</v>
      </c>
      <c r="B255" s="173" t="s">
        <v>1179</v>
      </c>
      <c r="C255" s="231" t="s">
        <v>1180</v>
      </c>
      <c r="D255" s="231" t="s">
        <v>25</v>
      </c>
      <c r="E255" s="232">
        <v>30</v>
      </c>
    </row>
    <row r="256" spans="1:5" s="28" customFormat="1" ht="51" customHeight="1" x14ac:dyDescent="0.2">
      <c r="A256" s="171">
        <v>246</v>
      </c>
      <c r="B256" s="173" t="s">
        <v>1181</v>
      </c>
      <c r="C256" s="231" t="s">
        <v>1182</v>
      </c>
      <c r="D256" s="231" t="s">
        <v>53</v>
      </c>
      <c r="E256" s="232">
        <v>133</v>
      </c>
    </row>
    <row r="257" spans="1:5" s="28" customFormat="1" ht="51" customHeight="1" x14ac:dyDescent="0.2">
      <c r="A257" s="171">
        <v>248</v>
      </c>
      <c r="B257" s="173" t="s">
        <v>1183</v>
      </c>
      <c r="C257" s="231" t="s">
        <v>1184</v>
      </c>
      <c r="D257" s="231" t="s">
        <v>25</v>
      </c>
      <c r="E257" s="232">
        <v>6</v>
      </c>
    </row>
    <row r="258" spans="1:5" s="28" customFormat="1" ht="51" customHeight="1" x14ac:dyDescent="0.2">
      <c r="A258" s="171">
        <v>249</v>
      </c>
      <c r="B258" s="173" t="s">
        <v>1185</v>
      </c>
      <c r="C258" s="231" t="s">
        <v>1186</v>
      </c>
      <c r="D258" s="231" t="s">
        <v>25</v>
      </c>
      <c r="E258" s="232">
        <v>1</v>
      </c>
    </row>
    <row r="259" spans="1:5" s="28" customFormat="1" ht="51" customHeight="1" x14ac:dyDescent="0.2">
      <c r="A259" s="171">
        <v>250</v>
      </c>
      <c r="B259" s="173" t="s">
        <v>1187</v>
      </c>
      <c r="C259" s="231" t="s">
        <v>1188</v>
      </c>
      <c r="D259" s="231" t="s">
        <v>147</v>
      </c>
      <c r="E259" s="232">
        <v>9</v>
      </c>
    </row>
    <row r="260" spans="1:5" s="28" customFormat="1" ht="51" customHeight="1" x14ac:dyDescent="0.2">
      <c r="A260" s="171">
        <v>251</v>
      </c>
      <c r="B260" s="173" t="s">
        <v>1189</v>
      </c>
      <c r="C260" s="231" t="s">
        <v>1190</v>
      </c>
      <c r="D260" s="231" t="s">
        <v>147</v>
      </c>
      <c r="E260" s="232">
        <v>400</v>
      </c>
    </row>
    <row r="261" spans="1:5" s="28" customFormat="1" ht="51" customHeight="1" x14ac:dyDescent="0.2">
      <c r="A261" s="171">
        <v>252</v>
      </c>
      <c r="B261" s="173" t="s">
        <v>1191</v>
      </c>
      <c r="C261" s="231" t="s">
        <v>1192</v>
      </c>
      <c r="D261" s="231" t="s">
        <v>25</v>
      </c>
      <c r="E261" s="232">
        <v>4</v>
      </c>
    </row>
    <row r="262" spans="1:5" s="28" customFormat="1" ht="51" customHeight="1" x14ac:dyDescent="0.2">
      <c r="A262" s="171">
        <v>253</v>
      </c>
      <c r="B262" s="173" t="s">
        <v>1193</v>
      </c>
      <c r="C262" s="231" t="s">
        <v>1194</v>
      </c>
      <c r="D262" s="231" t="s">
        <v>25</v>
      </c>
      <c r="E262" s="232">
        <v>800</v>
      </c>
    </row>
    <row r="263" spans="1:5" s="28" customFormat="1" ht="51" customHeight="1" x14ac:dyDescent="0.2">
      <c r="A263" s="171">
        <v>254</v>
      </c>
      <c r="B263" s="173" t="s">
        <v>1195</v>
      </c>
      <c r="C263" s="231" t="s">
        <v>1196</v>
      </c>
      <c r="D263" s="231" t="s">
        <v>25</v>
      </c>
      <c r="E263" s="232">
        <v>326</v>
      </c>
    </row>
    <row r="264" spans="1:5" s="28" customFormat="1" ht="51" customHeight="1" x14ac:dyDescent="0.2">
      <c r="A264" s="171">
        <v>255</v>
      </c>
      <c r="B264" s="173" t="s">
        <v>1197</v>
      </c>
      <c r="C264" s="231" t="s">
        <v>1198</v>
      </c>
      <c r="D264" s="231" t="s">
        <v>25</v>
      </c>
      <c r="E264" s="232">
        <v>420</v>
      </c>
    </row>
    <row r="265" spans="1:5" s="28" customFormat="1" ht="51" customHeight="1" x14ac:dyDescent="0.2">
      <c r="A265" s="171">
        <v>256</v>
      </c>
      <c r="B265" s="173" t="s">
        <v>1199</v>
      </c>
      <c r="C265" s="231" t="s">
        <v>1200</v>
      </c>
      <c r="D265" s="231" t="s">
        <v>25</v>
      </c>
      <c r="E265" s="232">
        <v>1</v>
      </c>
    </row>
    <row r="266" spans="1:5" s="28" customFormat="1" ht="51" customHeight="1" x14ac:dyDescent="0.2">
      <c r="A266" s="171">
        <v>257</v>
      </c>
      <c r="B266" s="173" t="s">
        <v>1201</v>
      </c>
      <c r="C266" s="231" t="s">
        <v>1202</v>
      </c>
      <c r="D266" s="231" t="s">
        <v>25</v>
      </c>
      <c r="E266" s="232">
        <v>1</v>
      </c>
    </row>
    <row r="267" spans="1:5" s="28" customFormat="1" ht="51" customHeight="1" x14ac:dyDescent="0.2">
      <c r="A267" s="171">
        <v>258</v>
      </c>
      <c r="B267" s="173" t="s">
        <v>1203</v>
      </c>
      <c r="C267" s="231" t="s">
        <v>1204</v>
      </c>
      <c r="D267" s="231" t="s">
        <v>25</v>
      </c>
      <c r="E267" s="232">
        <v>1</v>
      </c>
    </row>
    <row r="268" spans="1:5" s="28" customFormat="1" ht="51" customHeight="1" x14ac:dyDescent="0.2">
      <c r="A268" s="171">
        <v>259</v>
      </c>
      <c r="B268" s="173" t="s">
        <v>1205</v>
      </c>
      <c r="C268" s="231" t="s">
        <v>1206</v>
      </c>
      <c r="D268" s="231" t="s">
        <v>25</v>
      </c>
      <c r="E268" s="232">
        <v>1</v>
      </c>
    </row>
    <row r="269" spans="1:5" s="28" customFormat="1" ht="51" customHeight="1" x14ac:dyDescent="0.2">
      <c r="A269" s="171">
        <v>260</v>
      </c>
      <c r="B269" s="173" t="s">
        <v>1207</v>
      </c>
      <c r="C269" s="231" t="s">
        <v>1208</v>
      </c>
      <c r="D269" s="231" t="s">
        <v>25</v>
      </c>
      <c r="E269" s="232">
        <v>2</v>
      </c>
    </row>
    <row r="270" spans="1:5" s="28" customFormat="1" ht="51" customHeight="1" x14ac:dyDescent="0.2">
      <c r="A270" s="171">
        <v>261</v>
      </c>
      <c r="B270" s="173" t="s">
        <v>1209</v>
      </c>
      <c r="C270" s="231" t="s">
        <v>1210</v>
      </c>
      <c r="D270" s="231" t="s">
        <v>45</v>
      </c>
      <c r="E270" s="232">
        <v>186.8</v>
      </c>
    </row>
    <row r="271" spans="1:5" s="28" customFormat="1" ht="51" customHeight="1" x14ac:dyDescent="0.2">
      <c r="A271" s="171">
        <v>262</v>
      </c>
      <c r="B271" s="173" t="s">
        <v>1211</v>
      </c>
      <c r="C271" s="231" t="s">
        <v>1212</v>
      </c>
      <c r="D271" s="231" t="s">
        <v>45</v>
      </c>
      <c r="E271" s="232">
        <v>48</v>
      </c>
    </row>
    <row r="272" spans="1:5" s="28" customFormat="1" ht="54.75" customHeight="1" x14ac:dyDescent="0.2">
      <c r="A272" s="171">
        <v>263</v>
      </c>
      <c r="B272" s="173" t="s">
        <v>1213</v>
      </c>
      <c r="C272" s="231" t="s">
        <v>1214</v>
      </c>
      <c r="D272" s="231" t="s">
        <v>53</v>
      </c>
      <c r="E272" s="232">
        <v>1.1000000000000001</v>
      </c>
    </row>
    <row r="273" spans="1:5" s="28" customFormat="1" ht="54.75" customHeight="1" x14ac:dyDescent="0.2">
      <c r="A273" s="171">
        <v>264</v>
      </c>
      <c r="B273" s="173" t="s">
        <v>1215</v>
      </c>
      <c r="C273" s="231" t="s">
        <v>1216</v>
      </c>
      <c r="D273" s="231" t="s">
        <v>53</v>
      </c>
      <c r="E273" s="232">
        <v>1.1000000000000001</v>
      </c>
    </row>
    <row r="274" spans="1:5" s="28" customFormat="1" ht="54.75" customHeight="1" x14ac:dyDescent="0.2">
      <c r="A274" s="171">
        <v>265</v>
      </c>
      <c r="B274" s="173" t="s">
        <v>1217</v>
      </c>
      <c r="C274" s="231" t="s">
        <v>1218</v>
      </c>
      <c r="D274" s="231" t="s">
        <v>53</v>
      </c>
      <c r="E274" s="232">
        <v>1.1000000000000001</v>
      </c>
    </row>
    <row r="275" spans="1:5" s="28" customFormat="1" ht="54.75" customHeight="1" x14ac:dyDescent="0.2">
      <c r="A275" s="171">
        <v>266</v>
      </c>
      <c r="B275" s="173" t="s">
        <v>1219</v>
      </c>
      <c r="C275" s="231" t="s">
        <v>1220</v>
      </c>
      <c r="D275" s="231" t="s">
        <v>118</v>
      </c>
      <c r="E275" s="232">
        <v>81.650000000000006</v>
      </c>
    </row>
    <row r="276" spans="1:5" s="28" customFormat="1" ht="54.75" customHeight="1" x14ac:dyDescent="0.2">
      <c r="A276" s="171">
        <v>267</v>
      </c>
      <c r="B276" s="173" t="s">
        <v>1221</v>
      </c>
      <c r="C276" s="231" t="s">
        <v>1222</v>
      </c>
      <c r="D276" s="231" t="s">
        <v>53</v>
      </c>
      <c r="E276" s="232">
        <v>5.4</v>
      </c>
    </row>
    <row r="277" spans="1:5" s="28" customFormat="1" ht="54.75" customHeight="1" x14ac:dyDescent="0.2">
      <c r="A277" s="171">
        <v>268</v>
      </c>
      <c r="B277" s="173" t="s">
        <v>1223</v>
      </c>
      <c r="C277" s="231" t="s">
        <v>1224</v>
      </c>
      <c r="D277" s="231" t="s">
        <v>118</v>
      </c>
      <c r="E277" s="232">
        <v>19</v>
      </c>
    </row>
    <row r="278" spans="1:5" s="28" customFormat="1" ht="54.75" customHeight="1" x14ac:dyDescent="0.2">
      <c r="A278" s="171">
        <v>269</v>
      </c>
      <c r="B278" s="173" t="s">
        <v>1225</v>
      </c>
      <c r="C278" s="231" t="s">
        <v>1226</v>
      </c>
      <c r="D278" s="231" t="s">
        <v>45</v>
      </c>
      <c r="E278" s="232">
        <v>40</v>
      </c>
    </row>
    <row r="279" spans="1:5" s="28" customFormat="1" ht="55.5" customHeight="1" x14ac:dyDescent="0.2">
      <c r="A279" s="171">
        <v>271</v>
      </c>
      <c r="B279" s="173" t="s">
        <v>1228</v>
      </c>
      <c r="C279" s="231" t="s">
        <v>1229</v>
      </c>
      <c r="D279" s="231" t="s">
        <v>25</v>
      </c>
      <c r="E279" s="232">
        <v>40</v>
      </c>
    </row>
    <row r="280" spans="1:5" s="28" customFormat="1" ht="55.5" customHeight="1" x14ac:dyDescent="0.2">
      <c r="A280" s="171">
        <v>272</v>
      </c>
      <c r="B280" s="173" t="s">
        <v>1230</v>
      </c>
      <c r="C280" s="231" t="s">
        <v>1231</v>
      </c>
      <c r="D280" s="231" t="s">
        <v>25</v>
      </c>
      <c r="E280" s="232">
        <v>8</v>
      </c>
    </row>
    <row r="281" spans="1:5" s="28" customFormat="1" ht="55.5" customHeight="1" x14ac:dyDescent="0.2">
      <c r="A281" s="171">
        <v>273</v>
      </c>
      <c r="B281" s="173" t="s">
        <v>1365</v>
      </c>
      <c r="C281" s="231" t="s">
        <v>1232</v>
      </c>
      <c r="D281" s="231" t="s">
        <v>25</v>
      </c>
      <c r="E281" s="232">
        <v>3</v>
      </c>
    </row>
    <row r="282" spans="1:5" s="28" customFormat="1" ht="55.5" customHeight="1" x14ac:dyDescent="0.2">
      <c r="A282" s="171">
        <v>274</v>
      </c>
      <c r="B282" s="173" t="s">
        <v>1366</v>
      </c>
      <c r="C282" s="231" t="s">
        <v>1232</v>
      </c>
      <c r="D282" s="231" t="s">
        <v>25</v>
      </c>
      <c r="E282" s="232">
        <v>1</v>
      </c>
    </row>
    <row r="283" spans="1:5" s="28" customFormat="1" ht="55.5" customHeight="1" x14ac:dyDescent="0.2">
      <c r="A283" s="171">
        <v>275</v>
      </c>
      <c r="B283" s="173" t="s">
        <v>83</v>
      </c>
      <c r="C283" s="231" t="s">
        <v>1233</v>
      </c>
      <c r="D283" s="231" t="s">
        <v>25</v>
      </c>
      <c r="E283" s="232">
        <v>4</v>
      </c>
    </row>
    <row r="284" spans="1:5" s="28" customFormat="1" ht="55.5" customHeight="1" x14ac:dyDescent="0.2">
      <c r="A284" s="171">
        <v>276</v>
      </c>
      <c r="B284" s="173" t="s">
        <v>1234</v>
      </c>
      <c r="C284" s="231" t="s">
        <v>1235</v>
      </c>
      <c r="D284" s="231" t="s">
        <v>25</v>
      </c>
      <c r="E284" s="232">
        <v>5</v>
      </c>
    </row>
    <row r="285" spans="1:5" s="28" customFormat="1" ht="55.5" customHeight="1" x14ac:dyDescent="0.2">
      <c r="A285" s="171">
        <v>277</v>
      </c>
      <c r="B285" s="173" t="s">
        <v>1236</v>
      </c>
      <c r="C285" s="231" t="s">
        <v>1237</v>
      </c>
      <c r="D285" s="231" t="s">
        <v>25</v>
      </c>
      <c r="E285" s="232">
        <v>2</v>
      </c>
    </row>
    <row r="286" spans="1:5" s="28" customFormat="1" ht="55.5" customHeight="1" x14ac:dyDescent="0.2">
      <c r="A286" s="171">
        <v>278</v>
      </c>
      <c r="B286" s="173" t="s">
        <v>1238</v>
      </c>
      <c r="C286" s="231" t="s">
        <v>1239</v>
      </c>
      <c r="D286" s="231" t="s">
        <v>25</v>
      </c>
      <c r="E286" s="232">
        <v>13</v>
      </c>
    </row>
    <row r="287" spans="1:5" s="28" customFormat="1" ht="55.5" customHeight="1" x14ac:dyDescent="0.2">
      <c r="A287" s="171">
        <v>279</v>
      </c>
      <c r="B287" s="173" t="s">
        <v>1240</v>
      </c>
      <c r="C287" s="231" t="s">
        <v>1241</v>
      </c>
      <c r="D287" s="231" t="s">
        <v>25</v>
      </c>
      <c r="E287" s="232">
        <v>65</v>
      </c>
    </row>
    <row r="288" spans="1:5" s="28" customFormat="1" ht="55.5" customHeight="1" x14ac:dyDescent="0.2">
      <c r="A288" s="171">
        <v>280</v>
      </c>
      <c r="B288" s="173" t="s">
        <v>1242</v>
      </c>
      <c r="C288" s="231" t="s">
        <v>1243</v>
      </c>
      <c r="D288" s="231" t="s">
        <v>25</v>
      </c>
      <c r="E288" s="232">
        <v>1</v>
      </c>
    </row>
    <row r="289" spans="1:5" s="28" customFormat="1" ht="55.5" customHeight="1" x14ac:dyDescent="0.2">
      <c r="A289" s="171">
        <v>281</v>
      </c>
      <c r="B289" s="173" t="s">
        <v>1244</v>
      </c>
      <c r="C289" s="231" t="s">
        <v>1245</v>
      </c>
      <c r="D289" s="231" t="s">
        <v>25</v>
      </c>
      <c r="E289" s="232">
        <v>1</v>
      </c>
    </row>
    <row r="290" spans="1:5" s="28" customFormat="1" ht="55.5" customHeight="1" x14ac:dyDescent="0.2">
      <c r="A290" s="171">
        <v>282</v>
      </c>
      <c r="B290" s="173" t="s">
        <v>1246</v>
      </c>
      <c r="C290" s="231" t="s">
        <v>1247</v>
      </c>
      <c r="D290" s="231" t="s">
        <v>25</v>
      </c>
      <c r="E290" s="232">
        <v>2</v>
      </c>
    </row>
    <row r="291" spans="1:5" s="28" customFormat="1" ht="55.5" customHeight="1" x14ac:dyDescent="0.2">
      <c r="A291" s="171">
        <v>283</v>
      </c>
      <c r="B291" s="173" t="s">
        <v>1248</v>
      </c>
      <c r="C291" s="231" t="s">
        <v>1249</v>
      </c>
      <c r="D291" s="231" t="s">
        <v>25</v>
      </c>
      <c r="E291" s="232">
        <v>1</v>
      </c>
    </row>
    <row r="292" spans="1:5" s="28" customFormat="1" ht="55.5" customHeight="1" x14ac:dyDescent="0.2">
      <c r="A292" s="171">
        <v>284</v>
      </c>
      <c r="B292" s="173" t="s">
        <v>1250</v>
      </c>
      <c r="C292" s="231" t="s">
        <v>1251</v>
      </c>
      <c r="D292" s="231" t="s">
        <v>25</v>
      </c>
      <c r="E292" s="232">
        <v>1</v>
      </c>
    </row>
    <row r="293" spans="1:5" s="28" customFormat="1" ht="55.5" customHeight="1" x14ac:dyDescent="0.2">
      <c r="A293" s="171">
        <v>285</v>
      </c>
      <c r="B293" s="173" t="s">
        <v>1252</v>
      </c>
      <c r="C293" s="231" t="s">
        <v>1253</v>
      </c>
      <c r="D293" s="231" t="s">
        <v>25</v>
      </c>
      <c r="E293" s="232">
        <v>1</v>
      </c>
    </row>
    <row r="294" spans="1:5" s="28" customFormat="1" ht="55.5" customHeight="1" x14ac:dyDescent="0.2">
      <c r="A294" s="171">
        <v>286</v>
      </c>
      <c r="B294" s="173" t="s">
        <v>1254</v>
      </c>
      <c r="C294" s="231" t="s">
        <v>1255</v>
      </c>
      <c r="D294" s="231" t="s">
        <v>25</v>
      </c>
      <c r="E294" s="232">
        <v>7</v>
      </c>
    </row>
    <row r="295" spans="1:5" s="28" customFormat="1" ht="51" customHeight="1" x14ac:dyDescent="0.2">
      <c r="A295" s="171">
        <v>287</v>
      </c>
      <c r="B295" s="173" t="s">
        <v>1256</v>
      </c>
      <c r="C295" s="231" t="s">
        <v>1257</v>
      </c>
      <c r="D295" s="231" t="s">
        <v>25</v>
      </c>
      <c r="E295" s="232">
        <v>5</v>
      </c>
    </row>
    <row r="296" spans="1:5" s="28" customFormat="1" ht="51" customHeight="1" x14ac:dyDescent="0.2">
      <c r="A296" s="171">
        <v>288</v>
      </c>
      <c r="B296" s="173" t="s">
        <v>1258</v>
      </c>
      <c r="C296" s="231" t="s">
        <v>1259</v>
      </c>
      <c r="D296" s="231" t="s">
        <v>25</v>
      </c>
      <c r="E296" s="232">
        <v>4</v>
      </c>
    </row>
    <row r="297" spans="1:5" s="28" customFormat="1" ht="51" customHeight="1" x14ac:dyDescent="0.2">
      <c r="A297" s="171">
        <v>289</v>
      </c>
      <c r="B297" s="173" t="s">
        <v>1260</v>
      </c>
      <c r="C297" s="231" t="s">
        <v>1261</v>
      </c>
      <c r="D297" s="231" t="s">
        <v>25</v>
      </c>
      <c r="E297" s="232">
        <v>14</v>
      </c>
    </row>
    <row r="298" spans="1:5" s="28" customFormat="1" ht="51" customHeight="1" x14ac:dyDescent="0.2">
      <c r="A298" s="171">
        <v>290</v>
      </c>
      <c r="B298" s="173" t="s">
        <v>1262</v>
      </c>
      <c r="C298" s="231" t="s">
        <v>1263</v>
      </c>
      <c r="D298" s="231" t="s">
        <v>25</v>
      </c>
      <c r="E298" s="232">
        <v>3</v>
      </c>
    </row>
    <row r="299" spans="1:5" s="28" customFormat="1" ht="51" customHeight="1" x14ac:dyDescent="0.2">
      <c r="A299" s="171">
        <v>291</v>
      </c>
      <c r="B299" s="173" t="s">
        <v>1264</v>
      </c>
      <c r="C299" s="231" t="s">
        <v>1263</v>
      </c>
      <c r="D299" s="231" t="s">
        <v>25</v>
      </c>
      <c r="E299" s="232">
        <v>1</v>
      </c>
    </row>
    <row r="300" spans="1:5" s="28" customFormat="1" ht="51" customHeight="1" x14ac:dyDescent="0.2">
      <c r="A300" s="171">
        <v>292</v>
      </c>
      <c r="B300" s="173" t="s">
        <v>1265</v>
      </c>
      <c r="C300" s="231" t="s">
        <v>1266</v>
      </c>
      <c r="D300" s="231" t="s">
        <v>25</v>
      </c>
      <c r="E300" s="232">
        <v>1</v>
      </c>
    </row>
    <row r="301" spans="1:5" s="28" customFormat="1" ht="51" customHeight="1" x14ac:dyDescent="0.2">
      <c r="A301" s="171">
        <v>293</v>
      </c>
      <c r="B301" s="173" t="s">
        <v>1267</v>
      </c>
      <c r="C301" s="231" t="s">
        <v>1268</v>
      </c>
      <c r="D301" s="231" t="s">
        <v>25</v>
      </c>
      <c r="E301" s="232">
        <v>3</v>
      </c>
    </row>
    <row r="302" spans="1:5" s="28" customFormat="1" ht="51" customHeight="1" x14ac:dyDescent="0.2">
      <c r="A302" s="171">
        <v>294</v>
      </c>
      <c r="B302" s="173" t="s">
        <v>1269</v>
      </c>
      <c r="C302" s="231" t="s">
        <v>1270</v>
      </c>
      <c r="D302" s="231" t="s">
        <v>25</v>
      </c>
      <c r="E302" s="232">
        <v>1</v>
      </c>
    </row>
    <row r="303" spans="1:5" s="28" customFormat="1" ht="51" customHeight="1" x14ac:dyDescent="0.2">
      <c r="A303" s="171">
        <v>295</v>
      </c>
      <c r="B303" s="173" t="s">
        <v>1271</v>
      </c>
      <c r="C303" s="231" t="s">
        <v>1272</v>
      </c>
      <c r="D303" s="231" t="s">
        <v>25</v>
      </c>
      <c r="E303" s="232">
        <v>1</v>
      </c>
    </row>
    <row r="304" spans="1:5" s="28" customFormat="1" ht="51" customHeight="1" x14ac:dyDescent="0.2">
      <c r="A304" s="171">
        <v>296</v>
      </c>
      <c r="B304" s="173" t="s">
        <v>1273</v>
      </c>
      <c r="C304" s="231" t="s">
        <v>1274</v>
      </c>
      <c r="D304" s="231" t="s">
        <v>25</v>
      </c>
      <c r="E304" s="232">
        <v>5</v>
      </c>
    </row>
    <row r="305" spans="1:5" s="28" customFormat="1" ht="51" customHeight="1" x14ac:dyDescent="0.2">
      <c r="A305" s="171">
        <v>297</v>
      </c>
      <c r="B305" s="173" t="s">
        <v>1275</v>
      </c>
      <c r="C305" s="231" t="s">
        <v>1276</v>
      </c>
      <c r="D305" s="231" t="s">
        <v>25</v>
      </c>
      <c r="E305" s="232">
        <v>209</v>
      </c>
    </row>
    <row r="306" spans="1:5" s="28" customFormat="1" ht="51" customHeight="1" x14ac:dyDescent="0.2">
      <c r="A306" s="171">
        <v>298</v>
      </c>
      <c r="B306" s="173" t="s">
        <v>1277</v>
      </c>
      <c r="C306" s="231" t="s">
        <v>1278</v>
      </c>
      <c r="D306" s="231" t="s">
        <v>25</v>
      </c>
      <c r="E306" s="232">
        <v>16</v>
      </c>
    </row>
    <row r="307" spans="1:5" s="28" customFormat="1" ht="51" customHeight="1" x14ac:dyDescent="0.2">
      <c r="A307" s="171">
        <v>299</v>
      </c>
      <c r="B307" s="173" t="s">
        <v>1279</v>
      </c>
      <c r="C307" s="231" t="s">
        <v>1280</v>
      </c>
      <c r="D307" s="231" t="s">
        <v>25</v>
      </c>
      <c r="E307" s="232">
        <v>10</v>
      </c>
    </row>
    <row r="308" spans="1:5" s="28" customFormat="1" ht="51" customHeight="1" x14ac:dyDescent="0.2">
      <c r="A308" s="171">
        <v>300</v>
      </c>
      <c r="B308" s="173" t="s">
        <v>1281</v>
      </c>
      <c r="C308" s="231" t="s">
        <v>1282</v>
      </c>
      <c r="D308" s="231" t="s">
        <v>25</v>
      </c>
      <c r="E308" s="232">
        <v>12</v>
      </c>
    </row>
    <row r="309" spans="1:5" s="28" customFormat="1" ht="51" customHeight="1" x14ac:dyDescent="0.2">
      <c r="A309" s="171">
        <v>301</v>
      </c>
      <c r="B309" s="173" t="s">
        <v>1283</v>
      </c>
      <c r="C309" s="231" t="s">
        <v>1284</v>
      </c>
      <c r="D309" s="231" t="s">
        <v>25</v>
      </c>
      <c r="E309" s="232">
        <v>10</v>
      </c>
    </row>
    <row r="310" spans="1:5" s="28" customFormat="1" ht="115.5" customHeight="1" x14ac:dyDescent="0.2">
      <c r="A310" s="171">
        <v>302</v>
      </c>
      <c r="B310" s="173" t="s">
        <v>1285</v>
      </c>
      <c r="C310" s="231" t="s">
        <v>1286</v>
      </c>
      <c r="D310" s="231" t="s">
        <v>25</v>
      </c>
      <c r="E310" s="232">
        <v>3</v>
      </c>
    </row>
    <row r="311" spans="1:5" s="28" customFormat="1" ht="54.75" customHeight="1" x14ac:dyDescent="0.2">
      <c r="A311" s="171">
        <v>303</v>
      </c>
      <c r="B311" s="173" t="s">
        <v>1287</v>
      </c>
      <c r="C311" s="231" t="s">
        <v>1288</v>
      </c>
      <c r="D311" s="231" t="s">
        <v>25</v>
      </c>
      <c r="E311" s="232">
        <v>5</v>
      </c>
    </row>
    <row r="312" spans="1:5" s="28" customFormat="1" ht="54.75" customHeight="1" x14ac:dyDescent="0.2">
      <c r="A312" s="171">
        <v>304</v>
      </c>
      <c r="B312" s="173" t="s">
        <v>1289</v>
      </c>
      <c r="C312" s="231" t="s">
        <v>1290</v>
      </c>
      <c r="D312" s="231" t="s">
        <v>25</v>
      </c>
      <c r="E312" s="232">
        <v>13</v>
      </c>
    </row>
    <row r="313" spans="1:5" s="28" customFormat="1" ht="54.75" customHeight="1" x14ac:dyDescent="0.2">
      <c r="A313" s="171">
        <v>305</v>
      </c>
      <c r="B313" s="173" t="s">
        <v>1291</v>
      </c>
      <c r="C313" s="231" t="s">
        <v>1292</v>
      </c>
      <c r="D313" s="231" t="s">
        <v>25</v>
      </c>
      <c r="E313" s="232">
        <v>3</v>
      </c>
    </row>
    <row r="314" spans="1:5" s="28" customFormat="1" ht="54.75" customHeight="1" x14ac:dyDescent="0.2">
      <c r="A314" s="171">
        <v>306</v>
      </c>
      <c r="B314" s="173" t="s">
        <v>1293</v>
      </c>
      <c r="C314" s="231" t="s">
        <v>1294</v>
      </c>
      <c r="D314" s="231" t="s">
        <v>25</v>
      </c>
      <c r="E314" s="232">
        <v>700</v>
      </c>
    </row>
    <row r="315" spans="1:5" s="28" customFormat="1" ht="54.75" customHeight="1" x14ac:dyDescent="0.2">
      <c r="A315" s="171">
        <v>307</v>
      </c>
      <c r="B315" s="173" t="s">
        <v>1295</v>
      </c>
      <c r="C315" s="231" t="s">
        <v>1296</v>
      </c>
      <c r="D315" s="231" t="s">
        <v>25</v>
      </c>
      <c r="E315" s="232">
        <v>3</v>
      </c>
    </row>
    <row r="316" spans="1:5" s="28" customFormat="1" ht="54.75" customHeight="1" x14ac:dyDescent="0.2">
      <c r="A316" s="171">
        <v>308</v>
      </c>
      <c r="B316" s="173" t="s">
        <v>1297</v>
      </c>
      <c r="C316" s="231" t="s">
        <v>1298</v>
      </c>
      <c r="D316" s="231" t="s">
        <v>25</v>
      </c>
      <c r="E316" s="232">
        <v>8</v>
      </c>
    </row>
    <row r="317" spans="1:5" s="28" customFormat="1" ht="54.75" customHeight="1" x14ac:dyDescent="0.2">
      <c r="A317" s="171">
        <v>309</v>
      </c>
      <c r="B317" s="173" t="s">
        <v>1299</v>
      </c>
      <c r="C317" s="231" t="s">
        <v>1300</v>
      </c>
      <c r="D317" s="231" t="s">
        <v>25</v>
      </c>
      <c r="E317" s="232">
        <v>1</v>
      </c>
    </row>
    <row r="318" spans="1:5" s="28" customFormat="1" ht="54.75" customHeight="1" x14ac:dyDescent="0.2">
      <c r="A318" s="171">
        <v>310</v>
      </c>
      <c r="B318" s="173" t="s">
        <v>1301</v>
      </c>
      <c r="C318" s="231" t="s">
        <v>1302</v>
      </c>
      <c r="D318" s="231" t="s">
        <v>25</v>
      </c>
      <c r="E318" s="232">
        <v>2</v>
      </c>
    </row>
    <row r="319" spans="1:5" s="28" customFormat="1" ht="54.75" customHeight="1" x14ac:dyDescent="0.2">
      <c r="A319" s="171">
        <v>311</v>
      </c>
      <c r="B319" s="173" t="s">
        <v>1303</v>
      </c>
      <c r="C319" s="231" t="s">
        <v>1304</v>
      </c>
      <c r="D319" s="231" t="s">
        <v>25</v>
      </c>
      <c r="E319" s="232">
        <v>1</v>
      </c>
    </row>
    <row r="320" spans="1:5" s="28" customFormat="1" ht="54.75" customHeight="1" x14ac:dyDescent="0.2">
      <c r="A320" s="171">
        <v>312</v>
      </c>
      <c r="B320" s="173" t="s">
        <v>1305</v>
      </c>
      <c r="C320" s="231" t="s">
        <v>1127</v>
      </c>
      <c r="D320" s="231" t="s">
        <v>25</v>
      </c>
      <c r="E320" s="232">
        <v>1</v>
      </c>
    </row>
    <row r="321" spans="1:5" s="28" customFormat="1" ht="54.75" customHeight="1" x14ac:dyDescent="0.2">
      <c r="A321" s="171">
        <v>313</v>
      </c>
      <c r="B321" s="173" t="s">
        <v>1306</v>
      </c>
      <c r="C321" s="231" t="s">
        <v>1307</v>
      </c>
      <c r="D321" s="231" t="s">
        <v>25</v>
      </c>
      <c r="E321" s="232">
        <v>17</v>
      </c>
    </row>
    <row r="322" spans="1:5" s="28" customFormat="1" ht="76.5" customHeight="1" x14ac:dyDescent="0.2">
      <c r="A322" s="171">
        <v>314</v>
      </c>
      <c r="B322" s="173" t="s">
        <v>1308</v>
      </c>
      <c r="C322" s="231" t="s">
        <v>1309</v>
      </c>
      <c r="D322" s="231" t="s">
        <v>25</v>
      </c>
      <c r="E322" s="232">
        <v>4</v>
      </c>
    </row>
    <row r="323" spans="1:5" s="28" customFormat="1" ht="61.5" customHeight="1" x14ac:dyDescent="0.2">
      <c r="A323" s="171">
        <v>315</v>
      </c>
      <c r="B323" s="173" t="s">
        <v>1310</v>
      </c>
      <c r="C323" s="231" t="s">
        <v>1311</v>
      </c>
      <c r="D323" s="231" t="s">
        <v>25</v>
      </c>
      <c r="E323" s="232">
        <v>1</v>
      </c>
    </row>
    <row r="324" spans="1:5" s="28" customFormat="1" ht="84.75" customHeight="1" x14ac:dyDescent="0.2">
      <c r="A324" s="171">
        <v>316</v>
      </c>
      <c r="B324" s="173" t="s">
        <v>1312</v>
      </c>
      <c r="C324" s="231" t="s">
        <v>1313</v>
      </c>
      <c r="D324" s="231" t="s">
        <v>25</v>
      </c>
      <c r="E324" s="232">
        <v>9</v>
      </c>
    </row>
    <row r="325" spans="1:5" s="28" customFormat="1" ht="53.25" customHeight="1" x14ac:dyDescent="0.2">
      <c r="A325" s="171">
        <v>317</v>
      </c>
      <c r="B325" s="173" t="s">
        <v>1314</v>
      </c>
      <c r="C325" s="231" t="s">
        <v>1315</v>
      </c>
      <c r="D325" s="231" t="s">
        <v>25</v>
      </c>
      <c r="E325" s="232">
        <v>1</v>
      </c>
    </row>
    <row r="326" spans="1:5" s="28" customFormat="1" ht="53.25" customHeight="1" x14ac:dyDescent="0.2">
      <c r="A326" s="171">
        <v>318</v>
      </c>
      <c r="B326" s="173" t="s">
        <v>1316</v>
      </c>
      <c r="C326" s="231" t="s">
        <v>1317</v>
      </c>
      <c r="D326" s="231" t="s">
        <v>25</v>
      </c>
      <c r="E326" s="232">
        <v>1</v>
      </c>
    </row>
  </sheetData>
  <autoFilter ref="A10:E326"/>
  <mergeCells count="7">
    <mergeCell ref="A3:E3"/>
    <mergeCell ref="A5:E5"/>
    <mergeCell ref="A7:A9"/>
    <mergeCell ref="B7:B9"/>
    <mergeCell ref="C7:C9"/>
    <mergeCell ref="D7:D9"/>
    <mergeCell ref="E7:E9"/>
  </mergeCells>
  <pageMargins left="0.25" right="0.25" top="0.75" bottom="0.75" header="0.511811023622047" footer="0.511811023622047"/>
  <pageSetup paperSize="9" scale="35" orientation="landscape"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25"/>
  <sheetViews>
    <sheetView topLeftCell="A7" zoomScale="60" zoomScaleNormal="60" workbookViewId="0">
      <pane ySplit="5" topLeftCell="A56" activePane="bottomLeft" state="frozen"/>
      <selection activeCell="A7" sqref="A7"/>
      <selection pane="bottomLeft" activeCell="A12" activeCellId="1" sqref="J50:J51 A12"/>
    </sheetView>
  </sheetViews>
  <sheetFormatPr defaultColWidth="9.140625" defaultRowHeight="15" outlineLevelCol="1" x14ac:dyDescent="0.25"/>
  <cols>
    <col min="1" max="1" width="6.7109375" style="1" customWidth="1"/>
    <col min="2" max="2" width="52.140625" style="91" customWidth="1"/>
    <col min="3" max="3" width="26.7109375" style="91" customWidth="1"/>
    <col min="4" max="4" width="14.28515625" style="92" customWidth="1"/>
    <col min="5" max="5" width="15.140625" style="92" customWidth="1"/>
    <col min="6" max="6" width="16.140625" style="92" customWidth="1"/>
    <col min="7" max="7" width="16" style="157" customWidth="1"/>
    <col min="8" max="8" width="26.28515625" style="1" customWidth="1"/>
    <col min="9" max="9" width="17.5703125" style="4" customWidth="1"/>
    <col min="10" max="10" width="17.42578125" style="1" customWidth="1"/>
    <col min="11" max="11" width="26.28515625" style="1" customWidth="1"/>
    <col min="12" max="12" width="17.42578125" style="4" customWidth="1"/>
    <col min="13" max="13" width="17.140625" style="1" customWidth="1"/>
    <col min="14" max="14" width="26.28515625" style="1" customWidth="1"/>
    <col min="15" max="15" width="18.140625" style="4" customWidth="1"/>
    <col min="16" max="16" width="19.7109375" style="1" customWidth="1"/>
    <col min="17" max="17" width="20.85546875" style="1" customWidth="1"/>
    <col min="18" max="18" width="19.28515625" style="1" customWidth="1"/>
    <col min="19" max="19" width="19.7109375" style="1" customWidth="1"/>
    <col min="20" max="20" width="22" style="1" customWidth="1"/>
    <col min="21" max="21" width="6.7109375" style="1" customWidth="1"/>
    <col min="22" max="22" width="13" style="94" customWidth="1" outlineLevel="1"/>
    <col min="23" max="24" width="13" style="1" customWidth="1" outlineLevel="1"/>
    <col min="25" max="16384" width="9.140625" style="1"/>
  </cols>
  <sheetData>
    <row r="1" spans="1:37" x14ac:dyDescent="0.25">
      <c r="Q1" s="179" t="s">
        <v>0</v>
      </c>
      <c r="R1" s="179"/>
      <c r="S1" s="179"/>
      <c r="T1" s="179"/>
    </row>
    <row r="2" spans="1:37" ht="32.25" customHeight="1" x14ac:dyDescent="0.25">
      <c r="Q2" s="180" t="s">
        <v>1</v>
      </c>
      <c r="R2" s="180"/>
      <c r="S2" s="180"/>
      <c r="T2" s="180"/>
    </row>
    <row r="3" spans="1:37" ht="25.5" customHeight="1" x14ac:dyDescent="0.2">
      <c r="A3" s="195" t="s">
        <v>2</v>
      </c>
      <c r="B3" s="195"/>
      <c r="C3" s="195"/>
      <c r="D3" s="195"/>
      <c r="E3" s="195"/>
      <c r="F3" s="195"/>
      <c r="G3" s="195"/>
      <c r="H3" s="195"/>
      <c r="I3" s="195"/>
      <c r="J3" s="195"/>
      <c r="K3" s="195"/>
      <c r="L3" s="195"/>
      <c r="M3" s="195"/>
      <c r="N3" s="195"/>
      <c r="O3" s="195"/>
      <c r="P3" s="195"/>
      <c r="Q3" s="195"/>
      <c r="R3" s="95"/>
      <c r="S3" s="95"/>
    </row>
    <row r="4" spans="1:37" ht="17.25" customHeight="1" x14ac:dyDescent="0.2">
      <c r="A4" s="6"/>
      <c r="B4" s="7"/>
      <c r="C4" s="7"/>
      <c r="D4" s="96"/>
      <c r="E4" s="96"/>
      <c r="F4" s="96"/>
      <c r="G4" s="158"/>
      <c r="H4" s="6"/>
      <c r="I4" s="9"/>
      <c r="J4" s="6"/>
      <c r="K4" s="6"/>
      <c r="L4" s="9"/>
      <c r="M4" s="6"/>
      <c r="N4" s="6"/>
      <c r="O4" s="9"/>
      <c r="P4" s="6"/>
    </row>
    <row r="5" spans="1:37" s="10" customFormat="1" ht="28.5" customHeight="1" x14ac:dyDescent="0.2">
      <c r="A5" s="196" t="s">
        <v>3</v>
      </c>
      <c r="B5" s="196"/>
      <c r="C5" s="196"/>
      <c r="D5" s="196"/>
      <c r="E5" s="196"/>
      <c r="F5" s="196"/>
      <c r="G5" s="196"/>
      <c r="H5" s="196"/>
      <c r="I5" s="196"/>
      <c r="J5" s="196"/>
      <c r="K5" s="196"/>
      <c r="L5" s="196"/>
      <c r="M5" s="196"/>
      <c r="N5" s="196"/>
      <c r="O5" s="196"/>
      <c r="P5" s="196"/>
      <c r="Q5" s="196"/>
      <c r="R5" s="196"/>
      <c r="V5" s="99"/>
    </row>
    <row r="6" spans="1:37" s="10" customFormat="1" x14ac:dyDescent="0.25">
      <c r="B6" s="100"/>
      <c r="C6" s="100"/>
      <c r="D6" s="101"/>
      <c r="E6" s="101"/>
      <c r="F6" s="101"/>
      <c r="G6" s="159"/>
      <c r="I6" s="13"/>
      <c r="L6" s="13"/>
      <c r="O6" s="13"/>
      <c r="V6" s="99"/>
    </row>
    <row r="7" spans="1:37" s="10" customFormat="1" ht="27" customHeight="1" x14ac:dyDescent="0.2">
      <c r="A7" s="197" t="s">
        <v>4</v>
      </c>
      <c r="B7" s="216" t="s">
        <v>5</v>
      </c>
      <c r="C7" s="216" t="s">
        <v>696</v>
      </c>
      <c r="D7" s="199" t="s">
        <v>6</v>
      </c>
      <c r="E7" s="199" t="s">
        <v>7</v>
      </c>
      <c r="F7" s="217" t="s">
        <v>1318</v>
      </c>
      <c r="G7" s="201" t="s">
        <v>9</v>
      </c>
      <c r="H7" s="202" t="s">
        <v>10</v>
      </c>
      <c r="I7" s="202"/>
      <c r="J7" s="202"/>
      <c r="K7" s="202" t="s">
        <v>11</v>
      </c>
      <c r="L7" s="202"/>
      <c r="M7" s="202"/>
      <c r="N7" s="203" t="s">
        <v>12</v>
      </c>
      <c r="O7" s="203"/>
      <c r="P7" s="203"/>
      <c r="Q7" s="204" t="s">
        <v>496</v>
      </c>
      <c r="R7" s="201" t="s">
        <v>14</v>
      </c>
      <c r="S7" s="204" t="s">
        <v>497</v>
      </c>
      <c r="T7" s="199" t="s">
        <v>16</v>
      </c>
      <c r="V7" s="206" t="s">
        <v>17</v>
      </c>
      <c r="W7" s="206"/>
      <c r="X7" s="206"/>
    </row>
    <row r="8" spans="1:37" s="10" customFormat="1" ht="30.75" customHeight="1" x14ac:dyDescent="0.2">
      <c r="A8" s="197"/>
      <c r="B8" s="197"/>
      <c r="C8" s="197"/>
      <c r="D8" s="197"/>
      <c r="E8" s="197"/>
      <c r="F8" s="217"/>
      <c r="G8" s="201"/>
      <c r="H8" s="202"/>
      <c r="I8" s="202"/>
      <c r="J8" s="202"/>
      <c r="K8" s="202"/>
      <c r="L8" s="202"/>
      <c r="M8" s="202"/>
      <c r="N8" s="203"/>
      <c r="O8" s="203"/>
      <c r="P8" s="203"/>
      <c r="Q8" s="204"/>
      <c r="R8" s="201"/>
      <c r="S8" s="204"/>
      <c r="T8" s="199"/>
      <c r="V8" s="206"/>
      <c r="W8" s="206"/>
      <c r="X8" s="206"/>
    </row>
    <row r="9" spans="1:37" s="18" customFormat="1" ht="132.75" customHeight="1" x14ac:dyDescent="0.2">
      <c r="A9" s="197"/>
      <c r="B9" s="197"/>
      <c r="C9" s="197"/>
      <c r="D9" s="199"/>
      <c r="E9" s="199"/>
      <c r="F9" s="217"/>
      <c r="G9" s="201"/>
      <c r="H9" s="103" t="s">
        <v>18</v>
      </c>
      <c r="I9" s="104" t="s">
        <v>19</v>
      </c>
      <c r="J9" s="104" t="s">
        <v>20</v>
      </c>
      <c r="K9" s="103" t="s">
        <v>18</v>
      </c>
      <c r="L9" s="104" t="s">
        <v>19</v>
      </c>
      <c r="M9" s="104" t="s">
        <v>20</v>
      </c>
      <c r="N9" s="103" t="s">
        <v>18</v>
      </c>
      <c r="O9" s="104" t="s">
        <v>21</v>
      </c>
      <c r="P9" s="104" t="s">
        <v>22</v>
      </c>
      <c r="Q9" s="204"/>
      <c r="R9" s="201"/>
      <c r="S9" s="204"/>
      <c r="T9" s="199"/>
      <c r="U9" s="10"/>
      <c r="V9" s="105" t="s">
        <v>10</v>
      </c>
      <c r="W9" s="105" t="s">
        <v>11</v>
      </c>
      <c r="X9" s="105" t="s">
        <v>12</v>
      </c>
      <c r="Y9" s="10"/>
      <c r="Z9" s="10"/>
      <c r="AA9" s="10"/>
      <c r="AB9" s="10"/>
      <c r="AC9" s="10"/>
      <c r="AD9" s="10"/>
      <c r="AE9" s="10"/>
      <c r="AF9" s="10"/>
      <c r="AG9" s="10"/>
      <c r="AH9" s="10"/>
      <c r="AI9" s="10"/>
      <c r="AJ9" s="10"/>
      <c r="AK9" s="10"/>
    </row>
    <row r="10" spans="1:37" s="26" customFormat="1" ht="14.25" customHeight="1" x14ac:dyDescent="0.25">
      <c r="A10" s="106">
        <v>1</v>
      </c>
      <c r="B10" s="107">
        <v>2</v>
      </c>
      <c r="C10" s="108"/>
      <c r="D10" s="108">
        <v>3</v>
      </c>
      <c r="E10" s="108">
        <v>4</v>
      </c>
      <c r="F10" s="108"/>
      <c r="G10" s="160">
        <v>5</v>
      </c>
      <c r="H10" s="110">
        <v>6</v>
      </c>
      <c r="I10" s="110">
        <v>7</v>
      </c>
      <c r="J10" s="111">
        <v>8</v>
      </c>
      <c r="K10" s="110">
        <v>9</v>
      </c>
      <c r="L10" s="111">
        <v>10</v>
      </c>
      <c r="M10" s="111">
        <v>11</v>
      </c>
      <c r="N10" s="110">
        <v>12</v>
      </c>
      <c r="O10" s="111">
        <v>13</v>
      </c>
      <c r="P10" s="111">
        <v>14</v>
      </c>
      <c r="Q10" s="112">
        <v>15</v>
      </c>
      <c r="R10" s="112">
        <v>16</v>
      </c>
      <c r="S10" s="112">
        <v>17</v>
      </c>
      <c r="T10" s="112">
        <v>18</v>
      </c>
      <c r="V10" s="113"/>
      <c r="W10" s="113"/>
      <c r="X10" s="113"/>
    </row>
    <row r="11" spans="1:37" s="28" customFormat="1" ht="28.5" customHeight="1" x14ac:dyDescent="0.2">
      <c r="A11" s="215" t="s">
        <v>1227</v>
      </c>
      <c r="B11" s="215"/>
      <c r="C11" s="215"/>
      <c r="D11" s="215"/>
      <c r="E11" s="215"/>
      <c r="F11" s="215"/>
      <c r="G11" s="215"/>
      <c r="H11" s="215"/>
      <c r="I11" s="215"/>
      <c r="J11" s="215"/>
      <c r="K11" s="215"/>
      <c r="L11" s="215"/>
      <c r="M11" s="215"/>
      <c r="N11" s="215"/>
      <c r="O11" s="215"/>
      <c r="P11" s="215"/>
      <c r="Q11" s="215"/>
      <c r="R11" s="215"/>
      <c r="S11" s="215"/>
      <c r="T11" s="215"/>
      <c r="V11" s="114"/>
      <c r="W11" s="114"/>
      <c r="X11" s="114"/>
    </row>
    <row r="12" spans="1:37" s="28" customFormat="1" ht="73.5" customHeight="1" x14ac:dyDescent="0.2">
      <c r="A12" s="161">
        <v>1</v>
      </c>
      <c r="B12" s="115" t="s">
        <v>1228</v>
      </c>
      <c r="C12" s="116" t="s">
        <v>1229</v>
      </c>
      <c r="D12" s="116" t="s">
        <v>25</v>
      </c>
      <c r="E12" s="162">
        <v>40</v>
      </c>
      <c r="F12" s="163">
        <v>1759.65</v>
      </c>
      <c r="G12" s="164"/>
      <c r="H12" s="32"/>
      <c r="I12" s="38"/>
      <c r="J12" s="57">
        <f t="shared" ref="J12:J43" si="0">E12*I12</f>
        <v>0</v>
      </c>
      <c r="K12" s="38"/>
      <c r="L12" s="38"/>
      <c r="M12" s="38">
        <f t="shared" ref="M12:M43" si="1">E12*L12</f>
        <v>0</v>
      </c>
      <c r="N12" s="32"/>
      <c r="O12" s="38"/>
      <c r="P12" s="38">
        <f t="shared" ref="P12:P43" si="2">E12*O12</f>
        <v>0</v>
      </c>
      <c r="Q12" s="39" t="e">
        <f t="shared" ref="Q12:Q43" si="3">AVERAGE(I12,L12,O12)</f>
        <v>#DIV/0!</v>
      </c>
      <c r="R12" s="40" t="e">
        <f t="shared" ref="R12:R43" si="4">G12*100/Q12-100</f>
        <v>#DIV/0!</v>
      </c>
      <c r="S12" s="39">
        <f t="shared" ref="S12:S43" si="5">E12*G12</f>
        <v>0</v>
      </c>
      <c r="T12" s="32"/>
      <c r="V12" s="42" t="e">
        <f t="shared" ref="V12:V43" si="6">ROUND(I12*100/Q12-100,0)</f>
        <v>#DIV/0!</v>
      </c>
      <c r="W12" s="42" t="e">
        <f t="shared" ref="W12:W43" si="7">ROUND(L12*100/Q12-100,0)</f>
        <v>#DIV/0!</v>
      </c>
      <c r="X12" s="42" t="e">
        <f t="shared" ref="X12:X43" si="8">ROUND(O12*100/Q12-100,0)</f>
        <v>#DIV/0!</v>
      </c>
    </row>
    <row r="13" spans="1:37" s="28" customFormat="1" ht="73.5" customHeight="1" x14ac:dyDescent="0.2">
      <c r="A13" s="161">
        <v>2</v>
      </c>
      <c r="B13" s="115" t="s">
        <v>1230</v>
      </c>
      <c r="C13" s="116" t="s">
        <v>1231</v>
      </c>
      <c r="D13" s="116" t="s">
        <v>25</v>
      </c>
      <c r="E13" s="162">
        <v>8</v>
      </c>
      <c r="F13" s="163">
        <v>2450.35</v>
      </c>
      <c r="G13" s="164"/>
      <c r="H13" s="32"/>
      <c r="I13" s="38"/>
      <c r="J13" s="57">
        <f t="shared" si="0"/>
        <v>0</v>
      </c>
      <c r="K13" s="38"/>
      <c r="L13" s="38"/>
      <c r="M13" s="38">
        <f t="shared" si="1"/>
        <v>0</v>
      </c>
      <c r="N13" s="32"/>
      <c r="O13" s="38"/>
      <c r="P13" s="38">
        <f t="shared" si="2"/>
        <v>0</v>
      </c>
      <c r="Q13" s="39" t="e">
        <f t="shared" si="3"/>
        <v>#DIV/0!</v>
      </c>
      <c r="R13" s="40" t="e">
        <f t="shared" si="4"/>
        <v>#DIV/0!</v>
      </c>
      <c r="S13" s="39">
        <f t="shared" si="5"/>
        <v>0</v>
      </c>
      <c r="T13" s="32"/>
      <c r="V13" s="42" t="e">
        <f t="shared" si="6"/>
        <v>#DIV/0!</v>
      </c>
      <c r="W13" s="42" t="e">
        <f t="shared" si="7"/>
        <v>#DIV/0!</v>
      </c>
      <c r="X13" s="42" t="e">
        <f t="shared" si="8"/>
        <v>#DIV/0!</v>
      </c>
    </row>
    <row r="14" spans="1:37" s="28" customFormat="1" ht="73.5" customHeight="1" x14ac:dyDescent="0.2">
      <c r="A14" s="161">
        <v>3</v>
      </c>
      <c r="B14" s="115" t="s">
        <v>1319</v>
      </c>
      <c r="C14" s="116" t="s">
        <v>1320</v>
      </c>
      <c r="D14" s="116" t="s">
        <v>25</v>
      </c>
      <c r="E14" s="162">
        <v>4</v>
      </c>
      <c r="F14" s="163"/>
      <c r="G14" s="164"/>
      <c r="H14" s="32"/>
      <c r="I14" s="38"/>
      <c r="J14" s="57">
        <f t="shared" si="0"/>
        <v>0</v>
      </c>
      <c r="K14" s="38"/>
      <c r="L14" s="38"/>
      <c r="M14" s="38">
        <f t="shared" si="1"/>
        <v>0</v>
      </c>
      <c r="N14" s="32"/>
      <c r="O14" s="38"/>
      <c r="P14" s="38">
        <f t="shared" si="2"/>
        <v>0</v>
      </c>
      <c r="Q14" s="39" t="e">
        <f t="shared" si="3"/>
        <v>#DIV/0!</v>
      </c>
      <c r="R14" s="40" t="e">
        <f t="shared" si="4"/>
        <v>#DIV/0!</v>
      </c>
      <c r="S14" s="39">
        <f t="shared" si="5"/>
        <v>0</v>
      </c>
      <c r="T14" s="32"/>
      <c r="V14" s="42" t="e">
        <f t="shared" si="6"/>
        <v>#DIV/0!</v>
      </c>
      <c r="W14" s="42" t="e">
        <f t="shared" si="7"/>
        <v>#DIV/0!</v>
      </c>
      <c r="X14" s="42" t="e">
        <f t="shared" si="8"/>
        <v>#DIV/0!</v>
      </c>
    </row>
    <row r="15" spans="1:37" s="28" customFormat="1" ht="73.5" customHeight="1" x14ac:dyDescent="0.2">
      <c r="A15" s="161">
        <v>4</v>
      </c>
      <c r="B15" s="115" t="s">
        <v>1321</v>
      </c>
      <c r="C15" s="116" t="s">
        <v>1320</v>
      </c>
      <c r="D15" s="116" t="s">
        <v>25</v>
      </c>
      <c r="E15" s="162">
        <v>20</v>
      </c>
      <c r="F15" s="163"/>
      <c r="G15" s="164"/>
      <c r="H15" s="32"/>
      <c r="I15" s="38"/>
      <c r="J15" s="57">
        <f t="shared" si="0"/>
        <v>0</v>
      </c>
      <c r="K15" s="38"/>
      <c r="L15" s="38"/>
      <c r="M15" s="38">
        <f t="shared" si="1"/>
        <v>0</v>
      </c>
      <c r="N15" s="32"/>
      <c r="O15" s="38"/>
      <c r="P15" s="38">
        <f t="shared" si="2"/>
        <v>0</v>
      </c>
      <c r="Q15" s="39" t="e">
        <f t="shared" si="3"/>
        <v>#DIV/0!</v>
      </c>
      <c r="R15" s="40" t="e">
        <f t="shared" si="4"/>
        <v>#DIV/0!</v>
      </c>
      <c r="S15" s="39">
        <f t="shared" si="5"/>
        <v>0</v>
      </c>
      <c r="T15" s="32"/>
      <c r="V15" s="42" t="e">
        <f t="shared" si="6"/>
        <v>#DIV/0!</v>
      </c>
      <c r="W15" s="42" t="e">
        <f t="shared" si="7"/>
        <v>#DIV/0!</v>
      </c>
      <c r="X15" s="42" t="e">
        <f t="shared" si="8"/>
        <v>#DIV/0!</v>
      </c>
    </row>
    <row r="16" spans="1:37" s="28" customFormat="1" ht="73.5" customHeight="1" x14ac:dyDescent="0.2">
      <c r="A16" s="161">
        <v>5</v>
      </c>
      <c r="B16" s="115" t="s">
        <v>83</v>
      </c>
      <c r="C16" s="116" t="s">
        <v>1233</v>
      </c>
      <c r="D16" s="116" t="s">
        <v>25</v>
      </c>
      <c r="E16" s="162">
        <v>16</v>
      </c>
      <c r="F16" s="163"/>
      <c r="G16" s="164"/>
      <c r="H16" s="32"/>
      <c r="I16" s="38"/>
      <c r="J16" s="57">
        <f t="shared" si="0"/>
        <v>0</v>
      </c>
      <c r="K16" s="38"/>
      <c r="L16" s="38"/>
      <c r="M16" s="38">
        <f t="shared" si="1"/>
        <v>0</v>
      </c>
      <c r="N16" s="32"/>
      <c r="O16" s="38"/>
      <c r="P16" s="38">
        <f t="shared" si="2"/>
        <v>0</v>
      </c>
      <c r="Q16" s="39" t="e">
        <f t="shared" si="3"/>
        <v>#DIV/0!</v>
      </c>
      <c r="R16" s="40" t="e">
        <f t="shared" si="4"/>
        <v>#DIV/0!</v>
      </c>
      <c r="S16" s="39">
        <f t="shared" si="5"/>
        <v>0</v>
      </c>
      <c r="T16" s="32"/>
      <c r="V16" s="42" t="e">
        <f t="shared" si="6"/>
        <v>#DIV/0!</v>
      </c>
      <c r="W16" s="42" t="e">
        <f t="shared" si="7"/>
        <v>#DIV/0!</v>
      </c>
      <c r="X16" s="42" t="e">
        <f t="shared" si="8"/>
        <v>#DIV/0!</v>
      </c>
    </row>
    <row r="17" spans="1:24" s="28" customFormat="1" ht="73.5" customHeight="1" x14ac:dyDescent="0.2">
      <c r="A17" s="161">
        <v>6</v>
      </c>
      <c r="B17" s="115" t="s">
        <v>1238</v>
      </c>
      <c r="C17" s="116" t="s">
        <v>1239</v>
      </c>
      <c r="D17" s="116" t="s">
        <v>25</v>
      </c>
      <c r="E17" s="162">
        <v>13</v>
      </c>
      <c r="F17" s="163">
        <v>5099.6000000000004</v>
      </c>
      <c r="G17" s="164"/>
      <c r="H17" s="32"/>
      <c r="I17" s="38"/>
      <c r="J17" s="57">
        <f t="shared" si="0"/>
        <v>0</v>
      </c>
      <c r="K17" s="38"/>
      <c r="L17" s="38"/>
      <c r="M17" s="38">
        <f t="shared" si="1"/>
        <v>0</v>
      </c>
      <c r="N17" s="32"/>
      <c r="O17" s="38"/>
      <c r="P17" s="38">
        <f t="shared" si="2"/>
        <v>0</v>
      </c>
      <c r="Q17" s="39" t="e">
        <f t="shared" si="3"/>
        <v>#DIV/0!</v>
      </c>
      <c r="R17" s="40" t="e">
        <f t="shared" si="4"/>
        <v>#DIV/0!</v>
      </c>
      <c r="S17" s="39">
        <f t="shared" si="5"/>
        <v>0</v>
      </c>
      <c r="T17" s="32"/>
      <c r="V17" s="42" t="e">
        <f t="shared" si="6"/>
        <v>#DIV/0!</v>
      </c>
      <c r="W17" s="42" t="e">
        <f t="shared" si="7"/>
        <v>#DIV/0!</v>
      </c>
      <c r="X17" s="42" t="e">
        <f t="shared" si="8"/>
        <v>#DIV/0!</v>
      </c>
    </row>
    <row r="18" spans="1:24" s="28" customFormat="1" ht="73.5" customHeight="1" x14ac:dyDescent="0.2">
      <c r="A18" s="161">
        <v>7</v>
      </c>
      <c r="B18" s="115" t="s">
        <v>1240</v>
      </c>
      <c r="C18" s="116" t="s">
        <v>1241</v>
      </c>
      <c r="D18" s="116" t="s">
        <v>25</v>
      </c>
      <c r="E18" s="162">
        <v>88</v>
      </c>
      <c r="F18" s="163"/>
      <c r="G18" s="164"/>
      <c r="H18" s="32"/>
      <c r="I18" s="38"/>
      <c r="J18" s="57">
        <f t="shared" si="0"/>
        <v>0</v>
      </c>
      <c r="K18" s="38"/>
      <c r="L18" s="38"/>
      <c r="M18" s="38">
        <f t="shared" si="1"/>
        <v>0</v>
      </c>
      <c r="N18" s="32"/>
      <c r="O18" s="38"/>
      <c r="P18" s="38">
        <f t="shared" si="2"/>
        <v>0</v>
      </c>
      <c r="Q18" s="39" t="e">
        <f t="shared" si="3"/>
        <v>#DIV/0!</v>
      </c>
      <c r="R18" s="40" t="e">
        <f t="shared" si="4"/>
        <v>#DIV/0!</v>
      </c>
      <c r="S18" s="39">
        <f t="shared" si="5"/>
        <v>0</v>
      </c>
      <c r="T18" s="32"/>
      <c r="V18" s="42" t="e">
        <f t="shared" si="6"/>
        <v>#DIV/0!</v>
      </c>
      <c r="W18" s="42" t="e">
        <f t="shared" si="7"/>
        <v>#DIV/0!</v>
      </c>
      <c r="X18" s="42" t="e">
        <f t="shared" si="8"/>
        <v>#DIV/0!</v>
      </c>
    </row>
    <row r="19" spans="1:24" s="28" customFormat="1" ht="73.5" customHeight="1" x14ac:dyDescent="0.2">
      <c r="A19" s="161">
        <v>8</v>
      </c>
      <c r="B19" s="115" t="s">
        <v>1246</v>
      </c>
      <c r="C19" s="116" t="s">
        <v>1247</v>
      </c>
      <c r="D19" s="116" t="s">
        <v>25</v>
      </c>
      <c r="E19" s="162">
        <v>6</v>
      </c>
      <c r="F19" s="163"/>
      <c r="G19" s="164"/>
      <c r="H19" s="32"/>
      <c r="I19" s="38"/>
      <c r="J19" s="57">
        <f t="shared" si="0"/>
        <v>0</v>
      </c>
      <c r="K19" s="38"/>
      <c r="L19" s="38"/>
      <c r="M19" s="38">
        <f t="shared" si="1"/>
        <v>0</v>
      </c>
      <c r="N19" s="32"/>
      <c r="O19" s="38"/>
      <c r="P19" s="38">
        <f t="shared" si="2"/>
        <v>0</v>
      </c>
      <c r="Q19" s="39" t="e">
        <f t="shared" si="3"/>
        <v>#DIV/0!</v>
      </c>
      <c r="R19" s="40" t="e">
        <f t="shared" si="4"/>
        <v>#DIV/0!</v>
      </c>
      <c r="S19" s="39">
        <f t="shared" si="5"/>
        <v>0</v>
      </c>
      <c r="T19" s="32"/>
      <c r="V19" s="42" t="e">
        <f t="shared" si="6"/>
        <v>#DIV/0!</v>
      </c>
      <c r="W19" s="42" t="e">
        <f t="shared" si="7"/>
        <v>#DIV/0!</v>
      </c>
      <c r="X19" s="42" t="e">
        <f t="shared" si="8"/>
        <v>#DIV/0!</v>
      </c>
    </row>
    <row r="20" spans="1:24" s="28" customFormat="1" ht="73.5" customHeight="1" x14ac:dyDescent="0.2">
      <c r="A20" s="161">
        <v>9</v>
      </c>
      <c r="B20" s="115" t="s">
        <v>1248</v>
      </c>
      <c r="C20" s="116" t="s">
        <v>1249</v>
      </c>
      <c r="D20" s="116" t="s">
        <v>25</v>
      </c>
      <c r="E20" s="162">
        <v>3</v>
      </c>
      <c r="F20" s="163"/>
      <c r="G20" s="164"/>
      <c r="H20" s="32"/>
      <c r="I20" s="38"/>
      <c r="J20" s="57">
        <f t="shared" si="0"/>
        <v>0</v>
      </c>
      <c r="K20" s="38"/>
      <c r="L20" s="38"/>
      <c r="M20" s="38">
        <f t="shared" si="1"/>
        <v>0</v>
      </c>
      <c r="N20" s="32"/>
      <c r="O20" s="38"/>
      <c r="P20" s="38">
        <f t="shared" si="2"/>
        <v>0</v>
      </c>
      <c r="Q20" s="39" t="e">
        <f t="shared" si="3"/>
        <v>#DIV/0!</v>
      </c>
      <c r="R20" s="40" t="e">
        <f t="shared" si="4"/>
        <v>#DIV/0!</v>
      </c>
      <c r="S20" s="39">
        <f t="shared" si="5"/>
        <v>0</v>
      </c>
      <c r="T20" s="32"/>
      <c r="V20" s="42" t="e">
        <f t="shared" si="6"/>
        <v>#DIV/0!</v>
      </c>
      <c r="W20" s="42" t="e">
        <f t="shared" si="7"/>
        <v>#DIV/0!</v>
      </c>
      <c r="X20" s="42" t="e">
        <f t="shared" si="8"/>
        <v>#DIV/0!</v>
      </c>
    </row>
    <row r="21" spans="1:24" s="28" customFormat="1" ht="73.5" customHeight="1" x14ac:dyDescent="0.2">
      <c r="A21" s="161">
        <v>10</v>
      </c>
      <c r="B21" s="115" t="s">
        <v>1250</v>
      </c>
      <c r="C21" s="116" t="s">
        <v>1251</v>
      </c>
      <c r="D21" s="116" t="s">
        <v>25</v>
      </c>
      <c r="E21" s="162">
        <v>3</v>
      </c>
      <c r="F21" s="163"/>
      <c r="G21" s="164"/>
      <c r="H21" s="32"/>
      <c r="I21" s="38"/>
      <c r="J21" s="57">
        <f t="shared" si="0"/>
        <v>0</v>
      </c>
      <c r="K21" s="38"/>
      <c r="L21" s="38"/>
      <c r="M21" s="38">
        <f t="shared" si="1"/>
        <v>0</v>
      </c>
      <c r="N21" s="32"/>
      <c r="O21" s="38"/>
      <c r="P21" s="38">
        <f t="shared" si="2"/>
        <v>0</v>
      </c>
      <c r="Q21" s="39" t="e">
        <f t="shared" si="3"/>
        <v>#DIV/0!</v>
      </c>
      <c r="R21" s="40" t="e">
        <f t="shared" si="4"/>
        <v>#DIV/0!</v>
      </c>
      <c r="S21" s="39">
        <f t="shared" si="5"/>
        <v>0</v>
      </c>
      <c r="T21" s="32"/>
      <c r="V21" s="42" t="e">
        <f t="shared" si="6"/>
        <v>#DIV/0!</v>
      </c>
      <c r="W21" s="42" t="e">
        <f t="shared" si="7"/>
        <v>#DIV/0!</v>
      </c>
      <c r="X21" s="42" t="e">
        <f t="shared" si="8"/>
        <v>#DIV/0!</v>
      </c>
    </row>
    <row r="22" spans="1:24" s="28" customFormat="1" ht="73.5" customHeight="1" x14ac:dyDescent="0.2">
      <c r="A22" s="161">
        <v>11</v>
      </c>
      <c r="B22" s="115" t="s">
        <v>1322</v>
      </c>
      <c r="C22" s="116" t="s">
        <v>1323</v>
      </c>
      <c r="D22" s="116" t="s">
        <v>25</v>
      </c>
      <c r="E22" s="162">
        <v>11</v>
      </c>
      <c r="F22" s="163"/>
      <c r="G22" s="164"/>
      <c r="H22" s="32"/>
      <c r="I22" s="38"/>
      <c r="J22" s="57">
        <f t="shared" si="0"/>
        <v>0</v>
      </c>
      <c r="K22" s="38"/>
      <c r="L22" s="38"/>
      <c r="M22" s="38">
        <f t="shared" si="1"/>
        <v>0</v>
      </c>
      <c r="N22" s="32"/>
      <c r="O22" s="38"/>
      <c r="P22" s="38">
        <f t="shared" si="2"/>
        <v>0</v>
      </c>
      <c r="Q22" s="39" t="e">
        <f t="shared" si="3"/>
        <v>#DIV/0!</v>
      </c>
      <c r="R22" s="40" t="e">
        <f t="shared" si="4"/>
        <v>#DIV/0!</v>
      </c>
      <c r="S22" s="39">
        <f t="shared" si="5"/>
        <v>0</v>
      </c>
      <c r="T22" s="32"/>
      <c r="V22" s="42" t="e">
        <f t="shared" si="6"/>
        <v>#DIV/0!</v>
      </c>
      <c r="W22" s="42" t="e">
        <f t="shared" si="7"/>
        <v>#DIV/0!</v>
      </c>
      <c r="X22" s="42" t="e">
        <f t="shared" si="8"/>
        <v>#DIV/0!</v>
      </c>
    </row>
    <row r="23" spans="1:24" s="28" customFormat="1" ht="73.5" customHeight="1" x14ac:dyDescent="0.2">
      <c r="A23" s="161">
        <v>12</v>
      </c>
      <c r="B23" s="115" t="s">
        <v>1254</v>
      </c>
      <c r="C23" s="116" t="s">
        <v>1255</v>
      </c>
      <c r="D23" s="116" t="s">
        <v>25</v>
      </c>
      <c r="E23" s="162">
        <v>7</v>
      </c>
      <c r="F23" s="163"/>
      <c r="G23" s="164"/>
      <c r="H23" s="32"/>
      <c r="I23" s="38"/>
      <c r="J23" s="57">
        <f t="shared" si="0"/>
        <v>0</v>
      </c>
      <c r="K23" s="38"/>
      <c r="L23" s="38"/>
      <c r="M23" s="38">
        <f t="shared" si="1"/>
        <v>0</v>
      </c>
      <c r="N23" s="32"/>
      <c r="O23" s="38"/>
      <c r="P23" s="38">
        <f t="shared" si="2"/>
        <v>0</v>
      </c>
      <c r="Q23" s="39" t="e">
        <f t="shared" si="3"/>
        <v>#DIV/0!</v>
      </c>
      <c r="R23" s="40" t="e">
        <f t="shared" si="4"/>
        <v>#DIV/0!</v>
      </c>
      <c r="S23" s="39">
        <f t="shared" si="5"/>
        <v>0</v>
      </c>
      <c r="T23" s="32"/>
      <c r="V23" s="42" t="e">
        <f t="shared" si="6"/>
        <v>#DIV/0!</v>
      </c>
      <c r="W23" s="42" t="e">
        <f t="shared" si="7"/>
        <v>#DIV/0!</v>
      </c>
      <c r="X23" s="42" t="e">
        <f t="shared" si="8"/>
        <v>#DIV/0!</v>
      </c>
    </row>
    <row r="24" spans="1:24" s="28" customFormat="1" ht="73.5" customHeight="1" x14ac:dyDescent="0.2">
      <c r="A24" s="161">
        <v>13</v>
      </c>
      <c r="B24" s="115" t="s">
        <v>1256</v>
      </c>
      <c r="C24" s="116" t="s">
        <v>1257</v>
      </c>
      <c r="D24" s="116" t="s">
        <v>25</v>
      </c>
      <c r="E24" s="162">
        <v>10</v>
      </c>
      <c r="F24" s="163"/>
      <c r="G24" s="164"/>
      <c r="H24" s="32"/>
      <c r="I24" s="38"/>
      <c r="J24" s="57">
        <f t="shared" si="0"/>
        <v>0</v>
      </c>
      <c r="K24" s="38"/>
      <c r="L24" s="38"/>
      <c r="M24" s="38">
        <f t="shared" si="1"/>
        <v>0</v>
      </c>
      <c r="N24" s="32"/>
      <c r="O24" s="38"/>
      <c r="P24" s="38">
        <f t="shared" si="2"/>
        <v>0</v>
      </c>
      <c r="Q24" s="39" t="e">
        <f t="shared" si="3"/>
        <v>#DIV/0!</v>
      </c>
      <c r="R24" s="40" t="e">
        <f t="shared" si="4"/>
        <v>#DIV/0!</v>
      </c>
      <c r="S24" s="39">
        <f t="shared" si="5"/>
        <v>0</v>
      </c>
      <c r="T24" s="32"/>
      <c r="V24" s="42" t="e">
        <f t="shared" si="6"/>
        <v>#DIV/0!</v>
      </c>
      <c r="W24" s="42" t="e">
        <f t="shared" si="7"/>
        <v>#DIV/0!</v>
      </c>
      <c r="X24" s="42" t="e">
        <f t="shared" si="8"/>
        <v>#DIV/0!</v>
      </c>
    </row>
    <row r="25" spans="1:24" s="28" customFormat="1" ht="73.5" customHeight="1" x14ac:dyDescent="0.2">
      <c r="A25" s="161">
        <v>14</v>
      </c>
      <c r="B25" s="115" t="s">
        <v>1324</v>
      </c>
      <c r="C25" s="116" t="s">
        <v>1325</v>
      </c>
      <c r="D25" s="116" t="s">
        <v>25</v>
      </c>
      <c r="E25" s="162">
        <v>2</v>
      </c>
      <c r="F25" s="163"/>
      <c r="G25" s="164"/>
      <c r="H25" s="32"/>
      <c r="I25" s="38"/>
      <c r="J25" s="57">
        <f t="shared" si="0"/>
        <v>0</v>
      </c>
      <c r="K25" s="38"/>
      <c r="L25" s="38"/>
      <c r="M25" s="38">
        <f t="shared" si="1"/>
        <v>0</v>
      </c>
      <c r="N25" s="32"/>
      <c r="O25" s="38"/>
      <c r="P25" s="38">
        <f t="shared" si="2"/>
        <v>0</v>
      </c>
      <c r="Q25" s="39" t="e">
        <f t="shared" si="3"/>
        <v>#DIV/0!</v>
      </c>
      <c r="R25" s="40" t="e">
        <f t="shared" si="4"/>
        <v>#DIV/0!</v>
      </c>
      <c r="S25" s="39">
        <f t="shared" si="5"/>
        <v>0</v>
      </c>
      <c r="T25" s="32"/>
      <c r="V25" s="42" t="e">
        <f t="shared" si="6"/>
        <v>#DIV/0!</v>
      </c>
      <c r="W25" s="42" t="e">
        <f t="shared" si="7"/>
        <v>#DIV/0!</v>
      </c>
      <c r="X25" s="42" t="e">
        <f t="shared" si="8"/>
        <v>#DIV/0!</v>
      </c>
    </row>
    <row r="26" spans="1:24" s="28" customFormat="1" ht="73.5" customHeight="1" x14ac:dyDescent="0.2">
      <c r="A26" s="161">
        <v>15</v>
      </c>
      <c r="B26" s="115" t="s">
        <v>1326</v>
      </c>
      <c r="C26" s="116" t="s">
        <v>1261</v>
      </c>
      <c r="D26" s="116" t="s">
        <v>25</v>
      </c>
      <c r="E26" s="162">
        <v>5</v>
      </c>
      <c r="F26" s="163"/>
      <c r="G26" s="164"/>
      <c r="H26" s="32"/>
      <c r="I26" s="38"/>
      <c r="J26" s="57">
        <f t="shared" si="0"/>
        <v>0</v>
      </c>
      <c r="K26" s="38"/>
      <c r="L26" s="38"/>
      <c r="M26" s="38">
        <f t="shared" si="1"/>
        <v>0</v>
      </c>
      <c r="N26" s="32"/>
      <c r="O26" s="38"/>
      <c r="P26" s="38">
        <f t="shared" si="2"/>
        <v>0</v>
      </c>
      <c r="Q26" s="39" t="e">
        <f t="shared" si="3"/>
        <v>#DIV/0!</v>
      </c>
      <c r="R26" s="40" t="e">
        <f t="shared" si="4"/>
        <v>#DIV/0!</v>
      </c>
      <c r="S26" s="39">
        <f t="shared" si="5"/>
        <v>0</v>
      </c>
      <c r="T26" s="32"/>
      <c r="V26" s="42" t="e">
        <f t="shared" si="6"/>
        <v>#DIV/0!</v>
      </c>
      <c r="W26" s="42" t="e">
        <f t="shared" si="7"/>
        <v>#DIV/0!</v>
      </c>
      <c r="X26" s="42" t="e">
        <f t="shared" si="8"/>
        <v>#DIV/0!</v>
      </c>
    </row>
    <row r="27" spans="1:24" s="28" customFormat="1" ht="73.5" customHeight="1" x14ac:dyDescent="0.2">
      <c r="A27" s="161">
        <v>16</v>
      </c>
      <c r="B27" s="115" t="s">
        <v>1260</v>
      </c>
      <c r="C27" s="116" t="s">
        <v>1261</v>
      </c>
      <c r="D27" s="116" t="s">
        <v>25</v>
      </c>
      <c r="E27" s="162">
        <v>16</v>
      </c>
      <c r="F27" s="163"/>
      <c r="G27" s="164"/>
      <c r="H27" s="32"/>
      <c r="I27" s="38"/>
      <c r="J27" s="57">
        <f t="shared" si="0"/>
        <v>0</v>
      </c>
      <c r="K27" s="38"/>
      <c r="L27" s="38"/>
      <c r="M27" s="38">
        <f t="shared" si="1"/>
        <v>0</v>
      </c>
      <c r="N27" s="32"/>
      <c r="O27" s="38"/>
      <c r="P27" s="38">
        <f t="shared" si="2"/>
        <v>0</v>
      </c>
      <c r="Q27" s="39" t="e">
        <f t="shared" si="3"/>
        <v>#DIV/0!</v>
      </c>
      <c r="R27" s="40" t="e">
        <f t="shared" si="4"/>
        <v>#DIV/0!</v>
      </c>
      <c r="S27" s="39">
        <f t="shared" si="5"/>
        <v>0</v>
      </c>
      <c r="T27" s="32"/>
      <c r="V27" s="42" t="e">
        <f t="shared" si="6"/>
        <v>#DIV/0!</v>
      </c>
      <c r="W27" s="42" t="e">
        <f t="shared" si="7"/>
        <v>#DIV/0!</v>
      </c>
      <c r="X27" s="42" t="e">
        <f t="shared" si="8"/>
        <v>#DIV/0!</v>
      </c>
    </row>
    <row r="28" spans="1:24" s="28" customFormat="1" ht="73.5" customHeight="1" x14ac:dyDescent="0.2">
      <c r="A28" s="161">
        <v>17</v>
      </c>
      <c r="B28" s="115" t="s">
        <v>1327</v>
      </c>
      <c r="C28" s="116" t="s">
        <v>1263</v>
      </c>
      <c r="D28" s="116" t="s">
        <v>25</v>
      </c>
      <c r="E28" s="162">
        <v>6</v>
      </c>
      <c r="F28" s="163"/>
      <c r="G28" s="164"/>
      <c r="H28" s="32"/>
      <c r="I28" s="38"/>
      <c r="J28" s="57">
        <f t="shared" si="0"/>
        <v>0</v>
      </c>
      <c r="K28" s="38"/>
      <c r="L28" s="38"/>
      <c r="M28" s="38">
        <f t="shared" si="1"/>
        <v>0</v>
      </c>
      <c r="N28" s="32"/>
      <c r="O28" s="38"/>
      <c r="P28" s="38">
        <f t="shared" si="2"/>
        <v>0</v>
      </c>
      <c r="Q28" s="39" t="e">
        <f t="shared" si="3"/>
        <v>#DIV/0!</v>
      </c>
      <c r="R28" s="40" t="e">
        <f t="shared" si="4"/>
        <v>#DIV/0!</v>
      </c>
      <c r="S28" s="39">
        <f t="shared" si="5"/>
        <v>0</v>
      </c>
      <c r="T28" s="32"/>
      <c r="V28" s="42" t="e">
        <f t="shared" si="6"/>
        <v>#DIV/0!</v>
      </c>
      <c r="W28" s="42" t="e">
        <f t="shared" si="7"/>
        <v>#DIV/0!</v>
      </c>
      <c r="X28" s="42" t="e">
        <f t="shared" si="8"/>
        <v>#DIV/0!</v>
      </c>
    </row>
    <row r="29" spans="1:24" s="28" customFormat="1" ht="73.5" customHeight="1" x14ac:dyDescent="0.2">
      <c r="A29" s="161">
        <v>18</v>
      </c>
      <c r="B29" s="115" t="s">
        <v>1264</v>
      </c>
      <c r="C29" s="116" t="s">
        <v>1263</v>
      </c>
      <c r="D29" s="116" t="s">
        <v>25</v>
      </c>
      <c r="E29" s="162">
        <v>5</v>
      </c>
      <c r="F29" s="163"/>
      <c r="G29" s="164"/>
      <c r="H29" s="32"/>
      <c r="I29" s="38"/>
      <c r="J29" s="57">
        <f t="shared" si="0"/>
        <v>0</v>
      </c>
      <c r="K29" s="38"/>
      <c r="L29" s="38"/>
      <c r="M29" s="38">
        <f t="shared" si="1"/>
        <v>0</v>
      </c>
      <c r="N29" s="32"/>
      <c r="O29" s="38"/>
      <c r="P29" s="38">
        <f t="shared" si="2"/>
        <v>0</v>
      </c>
      <c r="Q29" s="39" t="e">
        <f t="shared" si="3"/>
        <v>#DIV/0!</v>
      </c>
      <c r="R29" s="40" t="e">
        <f t="shared" si="4"/>
        <v>#DIV/0!</v>
      </c>
      <c r="S29" s="39">
        <f t="shared" si="5"/>
        <v>0</v>
      </c>
      <c r="T29" s="32"/>
      <c r="V29" s="42" t="e">
        <f t="shared" si="6"/>
        <v>#DIV/0!</v>
      </c>
      <c r="W29" s="42" t="e">
        <f t="shared" si="7"/>
        <v>#DIV/0!</v>
      </c>
      <c r="X29" s="42" t="e">
        <f t="shared" si="8"/>
        <v>#DIV/0!</v>
      </c>
    </row>
    <row r="30" spans="1:24" s="28" customFormat="1" ht="73.5" customHeight="1" x14ac:dyDescent="0.2">
      <c r="A30" s="161">
        <v>19</v>
      </c>
      <c r="B30" s="115" t="s">
        <v>1265</v>
      </c>
      <c r="C30" s="116" t="s">
        <v>1266</v>
      </c>
      <c r="D30" s="116" t="s">
        <v>25</v>
      </c>
      <c r="E30" s="162">
        <v>1</v>
      </c>
      <c r="F30" s="163"/>
      <c r="G30" s="164"/>
      <c r="H30" s="32"/>
      <c r="I30" s="38"/>
      <c r="J30" s="57">
        <f t="shared" si="0"/>
        <v>0</v>
      </c>
      <c r="K30" s="38"/>
      <c r="L30" s="38"/>
      <c r="M30" s="38">
        <f t="shared" si="1"/>
        <v>0</v>
      </c>
      <c r="N30" s="32"/>
      <c r="O30" s="38"/>
      <c r="P30" s="38">
        <f t="shared" si="2"/>
        <v>0</v>
      </c>
      <c r="Q30" s="39" t="e">
        <f t="shared" si="3"/>
        <v>#DIV/0!</v>
      </c>
      <c r="R30" s="40" t="e">
        <f t="shared" si="4"/>
        <v>#DIV/0!</v>
      </c>
      <c r="S30" s="39">
        <f t="shared" si="5"/>
        <v>0</v>
      </c>
      <c r="T30" s="32"/>
      <c r="V30" s="42" t="e">
        <f t="shared" si="6"/>
        <v>#DIV/0!</v>
      </c>
      <c r="W30" s="42" t="e">
        <f t="shared" si="7"/>
        <v>#DIV/0!</v>
      </c>
      <c r="X30" s="42" t="e">
        <f t="shared" si="8"/>
        <v>#DIV/0!</v>
      </c>
    </row>
    <row r="31" spans="1:24" s="28" customFormat="1" ht="73.5" customHeight="1" x14ac:dyDescent="0.2">
      <c r="A31" s="161">
        <v>20</v>
      </c>
      <c r="B31" s="115" t="s">
        <v>1328</v>
      </c>
      <c r="C31" s="116" t="s">
        <v>1266</v>
      </c>
      <c r="D31" s="116" t="s">
        <v>25</v>
      </c>
      <c r="E31" s="162">
        <v>8</v>
      </c>
      <c r="F31" s="163"/>
      <c r="G31" s="164"/>
      <c r="H31" s="32"/>
      <c r="I31" s="38"/>
      <c r="J31" s="57">
        <f t="shared" si="0"/>
        <v>0</v>
      </c>
      <c r="K31" s="38"/>
      <c r="L31" s="38"/>
      <c r="M31" s="38">
        <f t="shared" si="1"/>
        <v>0</v>
      </c>
      <c r="N31" s="32"/>
      <c r="O31" s="38"/>
      <c r="P31" s="38">
        <f t="shared" si="2"/>
        <v>0</v>
      </c>
      <c r="Q31" s="39" t="e">
        <f t="shared" si="3"/>
        <v>#DIV/0!</v>
      </c>
      <c r="R31" s="40" t="e">
        <f t="shared" si="4"/>
        <v>#DIV/0!</v>
      </c>
      <c r="S31" s="39">
        <f t="shared" si="5"/>
        <v>0</v>
      </c>
      <c r="T31" s="32"/>
      <c r="V31" s="42" t="e">
        <f t="shared" si="6"/>
        <v>#DIV/0!</v>
      </c>
      <c r="W31" s="42" t="e">
        <f t="shared" si="7"/>
        <v>#DIV/0!</v>
      </c>
      <c r="X31" s="42" t="e">
        <f t="shared" si="8"/>
        <v>#DIV/0!</v>
      </c>
    </row>
    <row r="32" spans="1:24" s="28" customFormat="1" ht="73.5" customHeight="1" x14ac:dyDescent="0.2">
      <c r="A32" s="161">
        <v>21</v>
      </c>
      <c r="B32" s="115" t="s">
        <v>1329</v>
      </c>
      <c r="C32" s="116" t="s">
        <v>1263</v>
      </c>
      <c r="D32" s="116" t="s">
        <v>25</v>
      </c>
      <c r="E32" s="162">
        <v>2</v>
      </c>
      <c r="F32" s="163"/>
      <c r="G32" s="164"/>
      <c r="H32" s="32"/>
      <c r="I32" s="38"/>
      <c r="J32" s="57">
        <f t="shared" si="0"/>
        <v>0</v>
      </c>
      <c r="K32" s="38"/>
      <c r="L32" s="38"/>
      <c r="M32" s="38">
        <f t="shared" si="1"/>
        <v>0</v>
      </c>
      <c r="N32" s="32"/>
      <c r="O32" s="38"/>
      <c r="P32" s="38">
        <f t="shared" si="2"/>
        <v>0</v>
      </c>
      <c r="Q32" s="39" t="e">
        <f t="shared" si="3"/>
        <v>#DIV/0!</v>
      </c>
      <c r="R32" s="40" t="e">
        <f t="shared" si="4"/>
        <v>#DIV/0!</v>
      </c>
      <c r="S32" s="39">
        <f t="shared" si="5"/>
        <v>0</v>
      </c>
      <c r="T32" s="32"/>
      <c r="V32" s="42" t="e">
        <f t="shared" si="6"/>
        <v>#DIV/0!</v>
      </c>
      <c r="W32" s="42" t="e">
        <f t="shared" si="7"/>
        <v>#DIV/0!</v>
      </c>
      <c r="X32" s="42" t="e">
        <f t="shared" si="8"/>
        <v>#DIV/0!</v>
      </c>
    </row>
    <row r="33" spans="1:24" s="28" customFormat="1" ht="73.5" customHeight="1" x14ac:dyDescent="0.2">
      <c r="A33" s="161">
        <v>22</v>
      </c>
      <c r="B33" s="115" t="s">
        <v>1330</v>
      </c>
      <c r="C33" s="116" t="s">
        <v>1263</v>
      </c>
      <c r="D33" s="116" t="s">
        <v>25</v>
      </c>
      <c r="E33" s="162">
        <v>1</v>
      </c>
      <c r="F33" s="163"/>
      <c r="G33" s="164"/>
      <c r="H33" s="32"/>
      <c r="I33" s="38"/>
      <c r="J33" s="57">
        <f t="shared" si="0"/>
        <v>0</v>
      </c>
      <c r="K33" s="38"/>
      <c r="L33" s="38"/>
      <c r="M33" s="38">
        <f t="shared" si="1"/>
        <v>0</v>
      </c>
      <c r="N33" s="32"/>
      <c r="O33" s="38"/>
      <c r="P33" s="38">
        <f t="shared" si="2"/>
        <v>0</v>
      </c>
      <c r="Q33" s="39" t="e">
        <f t="shared" si="3"/>
        <v>#DIV/0!</v>
      </c>
      <c r="R33" s="40" t="e">
        <f t="shared" si="4"/>
        <v>#DIV/0!</v>
      </c>
      <c r="S33" s="39">
        <f t="shared" si="5"/>
        <v>0</v>
      </c>
      <c r="T33" s="32"/>
      <c r="V33" s="42" t="e">
        <f t="shared" si="6"/>
        <v>#DIV/0!</v>
      </c>
      <c r="W33" s="42" t="e">
        <f t="shared" si="7"/>
        <v>#DIV/0!</v>
      </c>
      <c r="X33" s="42" t="e">
        <f t="shared" si="8"/>
        <v>#DIV/0!</v>
      </c>
    </row>
    <row r="34" spans="1:24" s="28" customFormat="1" ht="73.5" customHeight="1" x14ac:dyDescent="0.2">
      <c r="A34" s="161">
        <v>23</v>
      </c>
      <c r="B34" s="115" t="s">
        <v>1269</v>
      </c>
      <c r="C34" s="116" t="s">
        <v>1270</v>
      </c>
      <c r="D34" s="116" t="s">
        <v>25</v>
      </c>
      <c r="E34" s="162">
        <v>1</v>
      </c>
      <c r="F34" s="163"/>
      <c r="G34" s="164"/>
      <c r="H34" s="32"/>
      <c r="I34" s="38"/>
      <c r="J34" s="57">
        <f t="shared" si="0"/>
        <v>0</v>
      </c>
      <c r="K34" s="38"/>
      <c r="L34" s="38"/>
      <c r="M34" s="38">
        <f t="shared" si="1"/>
        <v>0</v>
      </c>
      <c r="N34" s="32"/>
      <c r="O34" s="38"/>
      <c r="P34" s="38">
        <f t="shared" si="2"/>
        <v>0</v>
      </c>
      <c r="Q34" s="39" t="e">
        <f t="shared" si="3"/>
        <v>#DIV/0!</v>
      </c>
      <c r="R34" s="40" t="e">
        <f t="shared" si="4"/>
        <v>#DIV/0!</v>
      </c>
      <c r="S34" s="39">
        <f t="shared" si="5"/>
        <v>0</v>
      </c>
      <c r="T34" s="32"/>
      <c r="V34" s="42" t="e">
        <f t="shared" si="6"/>
        <v>#DIV/0!</v>
      </c>
      <c r="W34" s="42" t="e">
        <f t="shared" si="7"/>
        <v>#DIV/0!</v>
      </c>
      <c r="X34" s="42" t="e">
        <f t="shared" si="8"/>
        <v>#DIV/0!</v>
      </c>
    </row>
    <row r="35" spans="1:24" s="28" customFormat="1" ht="73.5" customHeight="1" x14ac:dyDescent="0.2">
      <c r="A35" s="161">
        <v>24</v>
      </c>
      <c r="B35" s="115" t="s">
        <v>1331</v>
      </c>
      <c r="C35" s="116" t="s">
        <v>1270</v>
      </c>
      <c r="D35" s="116" t="s">
        <v>25</v>
      </c>
      <c r="E35" s="162">
        <v>2</v>
      </c>
      <c r="F35" s="163"/>
      <c r="G35" s="164"/>
      <c r="H35" s="32"/>
      <c r="I35" s="38"/>
      <c r="J35" s="57">
        <f t="shared" si="0"/>
        <v>0</v>
      </c>
      <c r="K35" s="38"/>
      <c r="L35" s="38"/>
      <c r="M35" s="38">
        <f t="shared" si="1"/>
        <v>0</v>
      </c>
      <c r="N35" s="32"/>
      <c r="O35" s="38"/>
      <c r="P35" s="38">
        <f t="shared" si="2"/>
        <v>0</v>
      </c>
      <c r="Q35" s="39" t="e">
        <f t="shared" si="3"/>
        <v>#DIV/0!</v>
      </c>
      <c r="R35" s="40" t="e">
        <f t="shared" si="4"/>
        <v>#DIV/0!</v>
      </c>
      <c r="S35" s="39">
        <f t="shared" si="5"/>
        <v>0</v>
      </c>
      <c r="T35" s="32"/>
      <c r="V35" s="42" t="e">
        <f t="shared" si="6"/>
        <v>#DIV/0!</v>
      </c>
      <c r="W35" s="42" t="e">
        <f t="shared" si="7"/>
        <v>#DIV/0!</v>
      </c>
      <c r="X35" s="42" t="e">
        <f t="shared" si="8"/>
        <v>#DIV/0!</v>
      </c>
    </row>
    <row r="36" spans="1:24" s="28" customFormat="1" ht="73.5" customHeight="1" x14ac:dyDescent="0.2">
      <c r="A36" s="161">
        <v>25</v>
      </c>
      <c r="B36" s="115" t="s">
        <v>1332</v>
      </c>
      <c r="C36" s="116" t="s">
        <v>1333</v>
      </c>
      <c r="D36" s="116" t="s">
        <v>25</v>
      </c>
      <c r="E36" s="162">
        <v>2</v>
      </c>
      <c r="F36" s="163"/>
      <c r="G36" s="164"/>
      <c r="H36" s="32"/>
      <c r="I36" s="38"/>
      <c r="J36" s="57">
        <f t="shared" si="0"/>
        <v>0</v>
      </c>
      <c r="K36" s="38"/>
      <c r="L36" s="38"/>
      <c r="M36" s="38">
        <f t="shared" si="1"/>
        <v>0</v>
      </c>
      <c r="N36" s="32"/>
      <c r="O36" s="38"/>
      <c r="P36" s="38">
        <f t="shared" si="2"/>
        <v>0</v>
      </c>
      <c r="Q36" s="39" t="e">
        <f t="shared" si="3"/>
        <v>#DIV/0!</v>
      </c>
      <c r="R36" s="40" t="e">
        <f t="shared" si="4"/>
        <v>#DIV/0!</v>
      </c>
      <c r="S36" s="39">
        <f t="shared" si="5"/>
        <v>0</v>
      </c>
      <c r="T36" s="32"/>
      <c r="V36" s="42" t="e">
        <f t="shared" si="6"/>
        <v>#DIV/0!</v>
      </c>
      <c r="W36" s="42" t="e">
        <f t="shared" si="7"/>
        <v>#DIV/0!</v>
      </c>
      <c r="X36" s="42" t="e">
        <f t="shared" si="8"/>
        <v>#DIV/0!</v>
      </c>
    </row>
    <row r="37" spans="1:24" s="28" customFormat="1" ht="73.5" customHeight="1" x14ac:dyDescent="0.2">
      <c r="A37" s="161">
        <v>26</v>
      </c>
      <c r="B37" s="115" t="s">
        <v>1271</v>
      </c>
      <c r="C37" s="116" t="s">
        <v>1272</v>
      </c>
      <c r="D37" s="116" t="s">
        <v>25</v>
      </c>
      <c r="E37" s="162">
        <v>1</v>
      </c>
      <c r="F37" s="163"/>
      <c r="G37" s="164"/>
      <c r="H37" s="32"/>
      <c r="I37" s="38"/>
      <c r="J37" s="57">
        <f t="shared" si="0"/>
        <v>0</v>
      </c>
      <c r="K37" s="38"/>
      <c r="L37" s="38"/>
      <c r="M37" s="38">
        <f t="shared" si="1"/>
        <v>0</v>
      </c>
      <c r="N37" s="32"/>
      <c r="O37" s="38"/>
      <c r="P37" s="38">
        <f t="shared" si="2"/>
        <v>0</v>
      </c>
      <c r="Q37" s="39" t="e">
        <f t="shared" si="3"/>
        <v>#DIV/0!</v>
      </c>
      <c r="R37" s="40" t="e">
        <f t="shared" si="4"/>
        <v>#DIV/0!</v>
      </c>
      <c r="S37" s="39">
        <f t="shared" si="5"/>
        <v>0</v>
      </c>
      <c r="T37" s="32"/>
      <c r="V37" s="42" t="e">
        <f t="shared" si="6"/>
        <v>#DIV/0!</v>
      </c>
      <c r="W37" s="42" t="e">
        <f t="shared" si="7"/>
        <v>#DIV/0!</v>
      </c>
      <c r="X37" s="42" t="e">
        <f t="shared" si="8"/>
        <v>#DIV/0!</v>
      </c>
    </row>
    <row r="38" spans="1:24" s="28" customFormat="1" ht="73.5" customHeight="1" x14ac:dyDescent="0.2">
      <c r="A38" s="161">
        <v>27</v>
      </c>
      <c r="B38" s="115" t="s">
        <v>1334</v>
      </c>
      <c r="C38" s="116" t="s">
        <v>1276</v>
      </c>
      <c r="D38" s="116" t="s">
        <v>25</v>
      </c>
      <c r="E38" s="162">
        <v>204</v>
      </c>
      <c r="F38" s="163">
        <v>1432.5</v>
      </c>
      <c r="G38" s="164"/>
      <c r="H38" s="32"/>
      <c r="I38" s="38"/>
      <c r="J38" s="57">
        <f t="shared" si="0"/>
        <v>0</v>
      </c>
      <c r="K38" s="38"/>
      <c r="L38" s="38"/>
      <c r="M38" s="38">
        <f t="shared" si="1"/>
        <v>0</v>
      </c>
      <c r="N38" s="32"/>
      <c r="O38" s="38"/>
      <c r="P38" s="38">
        <f t="shared" si="2"/>
        <v>0</v>
      </c>
      <c r="Q38" s="39" t="e">
        <f t="shared" si="3"/>
        <v>#DIV/0!</v>
      </c>
      <c r="R38" s="40" t="e">
        <f t="shared" si="4"/>
        <v>#DIV/0!</v>
      </c>
      <c r="S38" s="39">
        <f t="shared" si="5"/>
        <v>0</v>
      </c>
      <c r="T38" s="32"/>
      <c r="V38" s="42" t="e">
        <f t="shared" si="6"/>
        <v>#DIV/0!</v>
      </c>
      <c r="W38" s="42" t="e">
        <f t="shared" si="7"/>
        <v>#DIV/0!</v>
      </c>
      <c r="X38" s="42" t="e">
        <f t="shared" si="8"/>
        <v>#DIV/0!</v>
      </c>
    </row>
    <row r="39" spans="1:24" s="28" customFormat="1" ht="73.5" customHeight="1" x14ac:dyDescent="0.2">
      <c r="A39" s="161">
        <v>28</v>
      </c>
      <c r="B39" s="115" t="s">
        <v>1335</v>
      </c>
      <c r="C39" s="116" t="s">
        <v>1336</v>
      </c>
      <c r="D39" s="116" t="s">
        <v>25</v>
      </c>
      <c r="E39" s="162">
        <v>13</v>
      </c>
      <c r="F39" s="163"/>
      <c r="G39" s="164"/>
      <c r="H39" s="32"/>
      <c r="I39" s="38"/>
      <c r="J39" s="57">
        <f t="shared" si="0"/>
        <v>0</v>
      </c>
      <c r="K39" s="38"/>
      <c r="L39" s="38"/>
      <c r="M39" s="38">
        <f t="shared" si="1"/>
        <v>0</v>
      </c>
      <c r="N39" s="32"/>
      <c r="O39" s="38"/>
      <c r="P39" s="38">
        <f t="shared" si="2"/>
        <v>0</v>
      </c>
      <c r="Q39" s="39" t="e">
        <f t="shared" si="3"/>
        <v>#DIV/0!</v>
      </c>
      <c r="R39" s="40" t="e">
        <f t="shared" si="4"/>
        <v>#DIV/0!</v>
      </c>
      <c r="S39" s="39">
        <f t="shared" si="5"/>
        <v>0</v>
      </c>
      <c r="T39" s="32"/>
      <c r="V39" s="42" t="e">
        <f t="shared" si="6"/>
        <v>#DIV/0!</v>
      </c>
      <c r="W39" s="42" t="e">
        <f t="shared" si="7"/>
        <v>#DIV/0!</v>
      </c>
      <c r="X39" s="42" t="e">
        <f t="shared" si="8"/>
        <v>#DIV/0!</v>
      </c>
    </row>
    <row r="40" spans="1:24" s="28" customFormat="1" ht="73.5" customHeight="1" x14ac:dyDescent="0.2">
      <c r="A40" s="161">
        <v>29</v>
      </c>
      <c r="B40" s="115" t="s">
        <v>1337</v>
      </c>
      <c r="C40" s="116" t="s">
        <v>1338</v>
      </c>
      <c r="D40" s="116" t="s">
        <v>25</v>
      </c>
      <c r="E40" s="162">
        <v>10</v>
      </c>
      <c r="F40" s="163"/>
      <c r="G40" s="164"/>
      <c r="H40" s="32"/>
      <c r="I40" s="38"/>
      <c r="J40" s="57">
        <f t="shared" si="0"/>
        <v>0</v>
      </c>
      <c r="K40" s="38"/>
      <c r="L40" s="38"/>
      <c r="M40" s="38">
        <f t="shared" si="1"/>
        <v>0</v>
      </c>
      <c r="N40" s="32"/>
      <c r="O40" s="38"/>
      <c r="P40" s="38">
        <f t="shared" si="2"/>
        <v>0</v>
      </c>
      <c r="Q40" s="39" t="e">
        <f t="shared" si="3"/>
        <v>#DIV/0!</v>
      </c>
      <c r="R40" s="40" t="e">
        <f t="shared" si="4"/>
        <v>#DIV/0!</v>
      </c>
      <c r="S40" s="39">
        <f t="shared" si="5"/>
        <v>0</v>
      </c>
      <c r="T40" s="32"/>
      <c r="V40" s="42" t="e">
        <f t="shared" si="6"/>
        <v>#DIV/0!</v>
      </c>
      <c r="W40" s="42" t="e">
        <f t="shared" si="7"/>
        <v>#DIV/0!</v>
      </c>
      <c r="X40" s="42" t="e">
        <f t="shared" si="8"/>
        <v>#DIV/0!</v>
      </c>
    </row>
    <row r="41" spans="1:24" s="28" customFormat="1" ht="73.5" customHeight="1" x14ac:dyDescent="0.2">
      <c r="A41" s="161">
        <v>30</v>
      </c>
      <c r="B41" s="115" t="s">
        <v>1339</v>
      </c>
      <c r="C41" s="116" t="s">
        <v>1340</v>
      </c>
      <c r="D41" s="116" t="s">
        <v>25</v>
      </c>
      <c r="E41" s="162">
        <v>1</v>
      </c>
      <c r="F41" s="163"/>
      <c r="G41" s="164"/>
      <c r="H41" s="32"/>
      <c r="I41" s="38"/>
      <c r="J41" s="57">
        <f t="shared" si="0"/>
        <v>0</v>
      </c>
      <c r="K41" s="38"/>
      <c r="L41" s="38"/>
      <c r="M41" s="38">
        <f t="shared" si="1"/>
        <v>0</v>
      </c>
      <c r="N41" s="32"/>
      <c r="O41" s="38"/>
      <c r="P41" s="38">
        <f t="shared" si="2"/>
        <v>0</v>
      </c>
      <c r="Q41" s="39" t="e">
        <f t="shared" si="3"/>
        <v>#DIV/0!</v>
      </c>
      <c r="R41" s="40" t="e">
        <f t="shared" si="4"/>
        <v>#DIV/0!</v>
      </c>
      <c r="S41" s="39">
        <f t="shared" si="5"/>
        <v>0</v>
      </c>
      <c r="T41" s="32"/>
      <c r="V41" s="42" t="e">
        <f t="shared" si="6"/>
        <v>#DIV/0!</v>
      </c>
      <c r="W41" s="42" t="e">
        <f t="shared" si="7"/>
        <v>#DIV/0!</v>
      </c>
      <c r="X41" s="42" t="e">
        <f t="shared" si="8"/>
        <v>#DIV/0!</v>
      </c>
    </row>
    <row r="42" spans="1:24" s="28" customFormat="1" ht="73.5" customHeight="1" x14ac:dyDescent="0.2">
      <c r="A42" s="161">
        <v>31</v>
      </c>
      <c r="B42" s="115" t="s">
        <v>1341</v>
      </c>
      <c r="C42" s="116" t="s">
        <v>1342</v>
      </c>
      <c r="D42" s="116" t="s">
        <v>25</v>
      </c>
      <c r="E42" s="162">
        <v>1</v>
      </c>
      <c r="F42" s="163"/>
      <c r="G42" s="164"/>
      <c r="H42" s="32"/>
      <c r="I42" s="38"/>
      <c r="J42" s="57">
        <f t="shared" si="0"/>
        <v>0</v>
      </c>
      <c r="K42" s="38"/>
      <c r="L42" s="38"/>
      <c r="M42" s="38">
        <f t="shared" si="1"/>
        <v>0</v>
      </c>
      <c r="N42" s="32"/>
      <c r="O42" s="38"/>
      <c r="P42" s="38">
        <f t="shared" si="2"/>
        <v>0</v>
      </c>
      <c r="Q42" s="39" t="e">
        <f t="shared" si="3"/>
        <v>#DIV/0!</v>
      </c>
      <c r="R42" s="40" t="e">
        <f t="shared" si="4"/>
        <v>#DIV/0!</v>
      </c>
      <c r="S42" s="39">
        <f t="shared" si="5"/>
        <v>0</v>
      </c>
      <c r="T42" s="32"/>
      <c r="V42" s="42" t="e">
        <f t="shared" si="6"/>
        <v>#DIV/0!</v>
      </c>
      <c r="W42" s="42" t="e">
        <f t="shared" si="7"/>
        <v>#DIV/0!</v>
      </c>
      <c r="X42" s="42" t="e">
        <f t="shared" si="8"/>
        <v>#DIV/0!</v>
      </c>
    </row>
    <row r="43" spans="1:24" s="28" customFormat="1" ht="73.5" customHeight="1" x14ac:dyDescent="0.2">
      <c r="A43" s="161">
        <v>32</v>
      </c>
      <c r="B43" s="115" t="s">
        <v>1343</v>
      </c>
      <c r="C43" s="116" t="s">
        <v>1344</v>
      </c>
      <c r="D43" s="116" t="s">
        <v>25</v>
      </c>
      <c r="E43" s="162">
        <v>20</v>
      </c>
      <c r="F43" s="163"/>
      <c r="G43" s="164"/>
      <c r="H43" s="32"/>
      <c r="I43" s="38"/>
      <c r="J43" s="57">
        <f t="shared" si="0"/>
        <v>0</v>
      </c>
      <c r="K43" s="38"/>
      <c r="L43" s="38"/>
      <c r="M43" s="38">
        <f t="shared" si="1"/>
        <v>0</v>
      </c>
      <c r="N43" s="32"/>
      <c r="O43" s="38"/>
      <c r="P43" s="38">
        <f t="shared" si="2"/>
        <v>0</v>
      </c>
      <c r="Q43" s="39" t="e">
        <f t="shared" si="3"/>
        <v>#DIV/0!</v>
      </c>
      <c r="R43" s="40" t="e">
        <f t="shared" si="4"/>
        <v>#DIV/0!</v>
      </c>
      <c r="S43" s="39">
        <f t="shared" si="5"/>
        <v>0</v>
      </c>
      <c r="T43" s="32"/>
      <c r="V43" s="42" t="e">
        <f t="shared" si="6"/>
        <v>#DIV/0!</v>
      </c>
      <c r="W43" s="42" t="e">
        <f t="shared" si="7"/>
        <v>#DIV/0!</v>
      </c>
      <c r="X43" s="42" t="e">
        <f t="shared" si="8"/>
        <v>#DIV/0!</v>
      </c>
    </row>
    <row r="44" spans="1:24" s="28" customFormat="1" ht="73.5" customHeight="1" x14ac:dyDescent="0.2">
      <c r="A44" s="161">
        <v>33</v>
      </c>
      <c r="B44" s="115" t="s">
        <v>1345</v>
      </c>
      <c r="C44" s="116" t="s">
        <v>1346</v>
      </c>
      <c r="D44" s="116" t="s">
        <v>25</v>
      </c>
      <c r="E44" s="162">
        <v>2</v>
      </c>
      <c r="F44" s="163"/>
      <c r="G44" s="164"/>
      <c r="H44" s="32"/>
      <c r="I44" s="38"/>
      <c r="J44" s="57">
        <f t="shared" ref="J44:J62" si="9">E44*I44</f>
        <v>0</v>
      </c>
      <c r="K44" s="38"/>
      <c r="L44" s="38"/>
      <c r="M44" s="38">
        <f t="shared" ref="M44:M62" si="10">E44*L44</f>
        <v>0</v>
      </c>
      <c r="N44" s="32"/>
      <c r="O44" s="38"/>
      <c r="P44" s="38">
        <f t="shared" ref="P44:P62" si="11">E44*O44</f>
        <v>0</v>
      </c>
      <c r="Q44" s="39" t="e">
        <f t="shared" ref="Q44:Q62" si="12">AVERAGE(I44,L44,O44)</f>
        <v>#DIV/0!</v>
      </c>
      <c r="R44" s="40" t="e">
        <f t="shared" ref="R44:R62" si="13">G44*100/Q44-100</f>
        <v>#DIV/0!</v>
      </c>
      <c r="S44" s="39">
        <f t="shared" ref="S44:S62" si="14">E44*G44</f>
        <v>0</v>
      </c>
      <c r="T44" s="32"/>
      <c r="V44" s="42" t="e">
        <f t="shared" ref="V44:V62" si="15">ROUND(I44*100/Q44-100,0)</f>
        <v>#DIV/0!</v>
      </c>
      <c r="W44" s="42" t="e">
        <f t="shared" ref="W44:W62" si="16">ROUND(L44*100/Q44-100,0)</f>
        <v>#DIV/0!</v>
      </c>
      <c r="X44" s="42" t="e">
        <f t="shared" ref="X44:X62" si="17">ROUND(O44*100/Q44-100,0)</f>
        <v>#DIV/0!</v>
      </c>
    </row>
    <row r="45" spans="1:24" s="28" customFormat="1" ht="73.5" customHeight="1" x14ac:dyDescent="0.2">
      <c r="A45" s="161">
        <v>34</v>
      </c>
      <c r="B45" s="115" t="s">
        <v>1347</v>
      </c>
      <c r="C45" s="116" t="s">
        <v>1348</v>
      </c>
      <c r="D45" s="116" t="s">
        <v>25</v>
      </c>
      <c r="E45" s="162">
        <v>2</v>
      </c>
      <c r="F45" s="163"/>
      <c r="G45" s="164"/>
      <c r="H45" s="32"/>
      <c r="I45" s="38"/>
      <c r="J45" s="57">
        <f t="shared" si="9"/>
        <v>0</v>
      </c>
      <c r="K45" s="38"/>
      <c r="L45" s="38"/>
      <c r="M45" s="38">
        <f t="shared" si="10"/>
        <v>0</v>
      </c>
      <c r="N45" s="32"/>
      <c r="O45" s="38"/>
      <c r="P45" s="38">
        <f t="shared" si="11"/>
        <v>0</v>
      </c>
      <c r="Q45" s="39" t="e">
        <f t="shared" si="12"/>
        <v>#DIV/0!</v>
      </c>
      <c r="R45" s="40" t="e">
        <f t="shared" si="13"/>
        <v>#DIV/0!</v>
      </c>
      <c r="S45" s="39">
        <f t="shared" si="14"/>
        <v>0</v>
      </c>
      <c r="T45" s="32"/>
      <c r="V45" s="42" t="e">
        <f t="shared" si="15"/>
        <v>#DIV/0!</v>
      </c>
      <c r="W45" s="42" t="e">
        <f t="shared" si="16"/>
        <v>#DIV/0!</v>
      </c>
      <c r="X45" s="42" t="e">
        <f t="shared" si="17"/>
        <v>#DIV/0!</v>
      </c>
    </row>
    <row r="46" spans="1:24" s="28" customFormat="1" ht="73.5" customHeight="1" x14ac:dyDescent="0.2">
      <c r="A46" s="161">
        <v>35</v>
      </c>
      <c r="B46" s="115" t="s">
        <v>1287</v>
      </c>
      <c r="C46" s="116" t="s">
        <v>1288</v>
      </c>
      <c r="D46" s="116" t="s">
        <v>25</v>
      </c>
      <c r="E46" s="162">
        <v>6</v>
      </c>
      <c r="F46" s="163">
        <v>6759.6</v>
      </c>
      <c r="G46" s="164"/>
      <c r="H46" s="32"/>
      <c r="I46" s="38"/>
      <c r="J46" s="57">
        <f t="shared" si="9"/>
        <v>0</v>
      </c>
      <c r="K46" s="38"/>
      <c r="L46" s="38"/>
      <c r="M46" s="38">
        <f t="shared" si="10"/>
        <v>0</v>
      </c>
      <c r="N46" s="32"/>
      <c r="O46" s="38"/>
      <c r="P46" s="38">
        <f t="shared" si="11"/>
        <v>0</v>
      </c>
      <c r="Q46" s="39" t="e">
        <f t="shared" si="12"/>
        <v>#DIV/0!</v>
      </c>
      <c r="R46" s="40" t="e">
        <f t="shared" si="13"/>
        <v>#DIV/0!</v>
      </c>
      <c r="S46" s="39">
        <f t="shared" si="14"/>
        <v>0</v>
      </c>
      <c r="T46" s="32"/>
      <c r="V46" s="42" t="e">
        <f t="shared" si="15"/>
        <v>#DIV/0!</v>
      </c>
      <c r="W46" s="42" t="e">
        <f t="shared" si="16"/>
        <v>#DIV/0!</v>
      </c>
      <c r="X46" s="42" t="e">
        <f t="shared" si="17"/>
        <v>#DIV/0!</v>
      </c>
    </row>
    <row r="47" spans="1:24" s="28" customFormat="1" ht="73.5" customHeight="1" x14ac:dyDescent="0.2">
      <c r="A47" s="161">
        <v>36</v>
      </c>
      <c r="B47" s="115" t="s">
        <v>1289</v>
      </c>
      <c r="C47" s="116" t="s">
        <v>1290</v>
      </c>
      <c r="D47" s="116" t="s">
        <v>25</v>
      </c>
      <c r="E47" s="162">
        <v>13</v>
      </c>
      <c r="F47" s="163">
        <v>14619.4</v>
      </c>
      <c r="G47" s="164"/>
      <c r="H47" s="32"/>
      <c r="I47" s="38"/>
      <c r="J47" s="57">
        <f t="shared" si="9"/>
        <v>0</v>
      </c>
      <c r="K47" s="38"/>
      <c r="L47" s="38"/>
      <c r="M47" s="38">
        <f t="shared" si="10"/>
        <v>0</v>
      </c>
      <c r="N47" s="32"/>
      <c r="O47" s="38"/>
      <c r="P47" s="38">
        <f t="shared" si="11"/>
        <v>0</v>
      </c>
      <c r="Q47" s="39" t="e">
        <f t="shared" si="12"/>
        <v>#DIV/0!</v>
      </c>
      <c r="R47" s="40" t="e">
        <f t="shared" si="13"/>
        <v>#DIV/0!</v>
      </c>
      <c r="S47" s="39">
        <f t="shared" si="14"/>
        <v>0</v>
      </c>
      <c r="T47" s="32"/>
      <c r="V47" s="42" t="e">
        <f t="shared" si="15"/>
        <v>#DIV/0!</v>
      </c>
      <c r="W47" s="42" t="e">
        <f t="shared" si="16"/>
        <v>#DIV/0!</v>
      </c>
      <c r="X47" s="42" t="e">
        <f t="shared" si="17"/>
        <v>#DIV/0!</v>
      </c>
    </row>
    <row r="48" spans="1:24" s="28" customFormat="1" ht="73.5" customHeight="1" x14ac:dyDescent="0.2">
      <c r="A48" s="161">
        <v>37</v>
      </c>
      <c r="B48" s="115" t="s">
        <v>1349</v>
      </c>
      <c r="C48" s="116" t="s">
        <v>1350</v>
      </c>
      <c r="D48" s="116" t="s">
        <v>25</v>
      </c>
      <c r="E48" s="162">
        <v>2</v>
      </c>
      <c r="F48" s="163"/>
      <c r="G48" s="164"/>
      <c r="H48" s="32"/>
      <c r="I48" s="38"/>
      <c r="J48" s="57">
        <f t="shared" si="9"/>
        <v>0</v>
      </c>
      <c r="K48" s="38"/>
      <c r="L48" s="38"/>
      <c r="M48" s="38">
        <f t="shared" si="10"/>
        <v>0</v>
      </c>
      <c r="N48" s="32"/>
      <c r="O48" s="38"/>
      <c r="P48" s="38">
        <f t="shared" si="11"/>
        <v>0</v>
      </c>
      <c r="Q48" s="39" t="e">
        <f t="shared" si="12"/>
        <v>#DIV/0!</v>
      </c>
      <c r="R48" s="40" t="e">
        <f t="shared" si="13"/>
        <v>#DIV/0!</v>
      </c>
      <c r="S48" s="39">
        <f t="shared" si="14"/>
        <v>0</v>
      </c>
      <c r="T48" s="32"/>
      <c r="V48" s="42" t="e">
        <f t="shared" si="15"/>
        <v>#DIV/0!</v>
      </c>
      <c r="W48" s="42" t="e">
        <f t="shared" si="16"/>
        <v>#DIV/0!</v>
      </c>
      <c r="X48" s="42" t="e">
        <f t="shared" si="17"/>
        <v>#DIV/0!</v>
      </c>
    </row>
    <row r="49" spans="1:24" s="28" customFormat="1" ht="73.5" customHeight="1" x14ac:dyDescent="0.2">
      <c r="A49" s="161">
        <v>38</v>
      </c>
      <c r="B49" s="115" t="s">
        <v>1351</v>
      </c>
      <c r="C49" s="116" t="s">
        <v>1352</v>
      </c>
      <c r="D49" s="116" t="s">
        <v>25</v>
      </c>
      <c r="E49" s="162">
        <v>4</v>
      </c>
      <c r="F49" s="163"/>
      <c r="G49" s="164"/>
      <c r="H49" s="32"/>
      <c r="I49" s="38"/>
      <c r="J49" s="57">
        <f t="shared" si="9"/>
        <v>0</v>
      </c>
      <c r="K49" s="38"/>
      <c r="L49" s="38"/>
      <c r="M49" s="38">
        <f t="shared" si="10"/>
        <v>0</v>
      </c>
      <c r="N49" s="32"/>
      <c r="O49" s="38"/>
      <c r="P49" s="38">
        <f t="shared" si="11"/>
        <v>0</v>
      </c>
      <c r="Q49" s="39" t="e">
        <f t="shared" si="12"/>
        <v>#DIV/0!</v>
      </c>
      <c r="R49" s="40" t="e">
        <f t="shared" si="13"/>
        <v>#DIV/0!</v>
      </c>
      <c r="S49" s="39">
        <f t="shared" si="14"/>
        <v>0</v>
      </c>
      <c r="T49" s="32"/>
      <c r="V49" s="42" t="e">
        <f t="shared" si="15"/>
        <v>#DIV/0!</v>
      </c>
      <c r="W49" s="42" t="e">
        <f t="shared" si="16"/>
        <v>#DIV/0!</v>
      </c>
      <c r="X49" s="42" t="e">
        <f t="shared" si="17"/>
        <v>#DIV/0!</v>
      </c>
    </row>
    <row r="50" spans="1:24" s="28" customFormat="1" ht="73.5" customHeight="1" x14ac:dyDescent="0.2">
      <c r="A50" s="161">
        <v>39</v>
      </c>
      <c r="B50" s="115" t="s">
        <v>1293</v>
      </c>
      <c r="C50" s="116" t="s">
        <v>1294</v>
      </c>
      <c r="D50" s="116" t="s">
        <v>25</v>
      </c>
      <c r="E50" s="162">
        <v>900</v>
      </c>
      <c r="F50" s="163">
        <v>237.6</v>
      </c>
      <c r="G50" s="164"/>
      <c r="H50" s="32"/>
      <c r="I50" s="38"/>
      <c r="J50" s="57">
        <f t="shared" si="9"/>
        <v>0</v>
      </c>
      <c r="K50" s="38"/>
      <c r="L50" s="38"/>
      <c r="M50" s="38">
        <f t="shared" si="10"/>
        <v>0</v>
      </c>
      <c r="N50" s="32"/>
      <c r="O50" s="38"/>
      <c r="P50" s="38">
        <f t="shared" si="11"/>
        <v>0</v>
      </c>
      <c r="Q50" s="39" t="e">
        <f t="shared" si="12"/>
        <v>#DIV/0!</v>
      </c>
      <c r="R50" s="40" t="e">
        <f t="shared" si="13"/>
        <v>#DIV/0!</v>
      </c>
      <c r="S50" s="39">
        <f t="shared" si="14"/>
        <v>0</v>
      </c>
      <c r="T50" s="32"/>
      <c r="V50" s="42" t="e">
        <f t="shared" si="15"/>
        <v>#DIV/0!</v>
      </c>
      <c r="W50" s="42" t="e">
        <f t="shared" si="16"/>
        <v>#DIV/0!</v>
      </c>
      <c r="X50" s="42" t="e">
        <f t="shared" si="17"/>
        <v>#DIV/0!</v>
      </c>
    </row>
    <row r="51" spans="1:24" s="28" customFormat="1" ht="73.5" customHeight="1" x14ac:dyDescent="0.2">
      <c r="A51" s="161">
        <v>40</v>
      </c>
      <c r="B51" s="115" t="s">
        <v>1295</v>
      </c>
      <c r="C51" s="116" t="s">
        <v>1296</v>
      </c>
      <c r="D51" s="116" t="s">
        <v>25</v>
      </c>
      <c r="E51" s="162">
        <v>12</v>
      </c>
      <c r="F51" s="163">
        <v>14697.5</v>
      </c>
      <c r="G51" s="164"/>
      <c r="H51" s="32"/>
      <c r="I51" s="38"/>
      <c r="J51" s="57">
        <f t="shared" si="9"/>
        <v>0</v>
      </c>
      <c r="K51" s="38"/>
      <c r="L51" s="38"/>
      <c r="M51" s="38">
        <f t="shared" si="10"/>
        <v>0</v>
      </c>
      <c r="N51" s="32"/>
      <c r="O51" s="38"/>
      <c r="P51" s="38">
        <f t="shared" si="11"/>
        <v>0</v>
      </c>
      <c r="Q51" s="39" t="e">
        <f t="shared" si="12"/>
        <v>#DIV/0!</v>
      </c>
      <c r="R51" s="40" t="e">
        <f t="shared" si="13"/>
        <v>#DIV/0!</v>
      </c>
      <c r="S51" s="39">
        <f t="shared" si="14"/>
        <v>0</v>
      </c>
      <c r="T51" s="32"/>
      <c r="V51" s="42" t="e">
        <f t="shared" si="15"/>
        <v>#DIV/0!</v>
      </c>
      <c r="W51" s="42" t="e">
        <f t="shared" si="16"/>
        <v>#DIV/0!</v>
      </c>
      <c r="X51" s="42" t="e">
        <f t="shared" si="17"/>
        <v>#DIV/0!</v>
      </c>
    </row>
    <row r="52" spans="1:24" s="28" customFormat="1" ht="73.5" customHeight="1" x14ac:dyDescent="0.2">
      <c r="A52" s="161">
        <v>41</v>
      </c>
      <c r="B52" s="115" t="s">
        <v>1353</v>
      </c>
      <c r="C52" s="116" t="s">
        <v>1354</v>
      </c>
      <c r="D52" s="116" t="s">
        <v>25</v>
      </c>
      <c r="E52" s="162">
        <v>4</v>
      </c>
      <c r="F52" s="163"/>
      <c r="G52" s="164"/>
      <c r="H52" s="32"/>
      <c r="I52" s="38"/>
      <c r="J52" s="57">
        <f t="shared" si="9"/>
        <v>0</v>
      </c>
      <c r="K52" s="38"/>
      <c r="L52" s="38"/>
      <c r="M52" s="38">
        <f t="shared" si="10"/>
        <v>0</v>
      </c>
      <c r="N52" s="32"/>
      <c r="O52" s="38"/>
      <c r="P52" s="38">
        <f t="shared" si="11"/>
        <v>0</v>
      </c>
      <c r="Q52" s="39" t="e">
        <f t="shared" si="12"/>
        <v>#DIV/0!</v>
      </c>
      <c r="R52" s="40" t="e">
        <f t="shared" si="13"/>
        <v>#DIV/0!</v>
      </c>
      <c r="S52" s="39">
        <f t="shared" si="14"/>
        <v>0</v>
      </c>
      <c r="T52" s="32"/>
      <c r="V52" s="42" t="e">
        <f t="shared" si="15"/>
        <v>#DIV/0!</v>
      </c>
      <c r="W52" s="42" t="e">
        <f t="shared" si="16"/>
        <v>#DIV/0!</v>
      </c>
      <c r="X52" s="42" t="e">
        <f t="shared" si="17"/>
        <v>#DIV/0!</v>
      </c>
    </row>
    <row r="53" spans="1:24" s="28" customFormat="1" ht="73.5" customHeight="1" x14ac:dyDescent="0.2">
      <c r="A53" s="161">
        <v>42</v>
      </c>
      <c r="B53" s="115" t="s">
        <v>1299</v>
      </c>
      <c r="C53" s="116" t="s">
        <v>1300</v>
      </c>
      <c r="D53" s="116" t="s">
        <v>25</v>
      </c>
      <c r="E53" s="162">
        <v>1</v>
      </c>
      <c r="F53" s="163"/>
      <c r="G53" s="164"/>
      <c r="H53" s="32"/>
      <c r="I53" s="38"/>
      <c r="J53" s="57">
        <f t="shared" si="9"/>
        <v>0</v>
      </c>
      <c r="K53" s="38"/>
      <c r="L53" s="38"/>
      <c r="M53" s="38">
        <f t="shared" si="10"/>
        <v>0</v>
      </c>
      <c r="N53" s="32"/>
      <c r="O53" s="38"/>
      <c r="P53" s="38">
        <f t="shared" si="11"/>
        <v>0</v>
      </c>
      <c r="Q53" s="39" t="e">
        <f t="shared" si="12"/>
        <v>#DIV/0!</v>
      </c>
      <c r="R53" s="40" t="e">
        <f t="shared" si="13"/>
        <v>#DIV/0!</v>
      </c>
      <c r="S53" s="39">
        <f t="shared" si="14"/>
        <v>0</v>
      </c>
      <c r="T53" s="32"/>
      <c r="V53" s="42" t="e">
        <f t="shared" si="15"/>
        <v>#DIV/0!</v>
      </c>
      <c r="W53" s="42" t="e">
        <f t="shared" si="16"/>
        <v>#DIV/0!</v>
      </c>
      <c r="X53" s="42" t="e">
        <f t="shared" si="17"/>
        <v>#DIV/0!</v>
      </c>
    </row>
    <row r="54" spans="1:24" s="28" customFormat="1" ht="73.5" customHeight="1" x14ac:dyDescent="0.2">
      <c r="A54" s="161">
        <v>43</v>
      </c>
      <c r="B54" s="115" t="s">
        <v>1355</v>
      </c>
      <c r="C54" s="116" t="s">
        <v>1356</v>
      </c>
      <c r="D54" s="116" t="s">
        <v>25</v>
      </c>
      <c r="E54" s="162">
        <v>5</v>
      </c>
      <c r="F54" s="163"/>
      <c r="G54" s="164"/>
      <c r="H54" s="32"/>
      <c r="I54" s="38"/>
      <c r="J54" s="57">
        <f t="shared" si="9"/>
        <v>0</v>
      </c>
      <c r="K54" s="38"/>
      <c r="L54" s="38"/>
      <c r="M54" s="38">
        <f t="shared" si="10"/>
        <v>0</v>
      </c>
      <c r="N54" s="32"/>
      <c r="O54" s="38"/>
      <c r="P54" s="38">
        <f t="shared" si="11"/>
        <v>0</v>
      </c>
      <c r="Q54" s="39" t="e">
        <f t="shared" si="12"/>
        <v>#DIV/0!</v>
      </c>
      <c r="R54" s="40" t="e">
        <f t="shared" si="13"/>
        <v>#DIV/0!</v>
      </c>
      <c r="S54" s="39">
        <f t="shared" si="14"/>
        <v>0</v>
      </c>
      <c r="T54" s="32"/>
      <c r="V54" s="42" t="e">
        <f t="shared" si="15"/>
        <v>#DIV/0!</v>
      </c>
      <c r="W54" s="42" t="e">
        <f t="shared" si="16"/>
        <v>#DIV/0!</v>
      </c>
      <c r="X54" s="42" t="e">
        <f t="shared" si="17"/>
        <v>#DIV/0!</v>
      </c>
    </row>
    <row r="55" spans="1:24" s="28" customFormat="1" ht="73.5" customHeight="1" x14ac:dyDescent="0.2">
      <c r="A55" s="161">
        <v>44</v>
      </c>
      <c r="B55" s="115" t="s">
        <v>1301</v>
      </c>
      <c r="C55" s="116" t="s">
        <v>1302</v>
      </c>
      <c r="D55" s="116" t="s">
        <v>25</v>
      </c>
      <c r="E55" s="162">
        <v>2</v>
      </c>
      <c r="F55" s="163">
        <v>2751.2</v>
      </c>
      <c r="G55" s="164"/>
      <c r="H55" s="32"/>
      <c r="I55" s="38"/>
      <c r="J55" s="57">
        <f t="shared" si="9"/>
        <v>0</v>
      </c>
      <c r="K55" s="38"/>
      <c r="L55" s="38"/>
      <c r="M55" s="38">
        <f t="shared" si="10"/>
        <v>0</v>
      </c>
      <c r="N55" s="32"/>
      <c r="O55" s="38"/>
      <c r="P55" s="38">
        <f t="shared" si="11"/>
        <v>0</v>
      </c>
      <c r="Q55" s="39" t="e">
        <f t="shared" si="12"/>
        <v>#DIV/0!</v>
      </c>
      <c r="R55" s="40" t="e">
        <f t="shared" si="13"/>
        <v>#DIV/0!</v>
      </c>
      <c r="S55" s="39">
        <f t="shared" si="14"/>
        <v>0</v>
      </c>
      <c r="T55" s="32"/>
      <c r="V55" s="42" t="e">
        <f t="shared" si="15"/>
        <v>#DIV/0!</v>
      </c>
      <c r="W55" s="42" t="e">
        <f t="shared" si="16"/>
        <v>#DIV/0!</v>
      </c>
      <c r="X55" s="42" t="e">
        <f t="shared" si="17"/>
        <v>#DIV/0!</v>
      </c>
    </row>
    <row r="56" spans="1:24" s="28" customFormat="1" ht="73.5" customHeight="1" x14ac:dyDescent="0.2">
      <c r="A56" s="161">
        <v>45</v>
      </c>
      <c r="B56" s="115" t="s">
        <v>1357</v>
      </c>
      <c r="C56" s="116" t="s">
        <v>1304</v>
      </c>
      <c r="D56" s="116" t="s">
        <v>25</v>
      </c>
      <c r="E56" s="162">
        <v>1</v>
      </c>
      <c r="F56" s="163"/>
      <c r="G56" s="164"/>
      <c r="H56" s="32"/>
      <c r="I56" s="38"/>
      <c r="J56" s="57">
        <f t="shared" si="9"/>
        <v>0</v>
      </c>
      <c r="K56" s="38"/>
      <c r="L56" s="38"/>
      <c r="M56" s="38">
        <f t="shared" si="10"/>
        <v>0</v>
      </c>
      <c r="N56" s="32"/>
      <c r="O56" s="38"/>
      <c r="P56" s="38">
        <f t="shared" si="11"/>
        <v>0</v>
      </c>
      <c r="Q56" s="39" t="e">
        <f t="shared" si="12"/>
        <v>#DIV/0!</v>
      </c>
      <c r="R56" s="40" t="e">
        <f t="shared" si="13"/>
        <v>#DIV/0!</v>
      </c>
      <c r="S56" s="39">
        <f t="shared" si="14"/>
        <v>0</v>
      </c>
      <c r="T56" s="32"/>
      <c r="V56" s="42" t="e">
        <f t="shared" si="15"/>
        <v>#DIV/0!</v>
      </c>
      <c r="W56" s="42" t="e">
        <f t="shared" si="16"/>
        <v>#DIV/0!</v>
      </c>
      <c r="X56" s="42" t="e">
        <f t="shared" si="17"/>
        <v>#DIV/0!</v>
      </c>
    </row>
    <row r="57" spans="1:24" s="28" customFormat="1" ht="73.5" customHeight="1" x14ac:dyDescent="0.2">
      <c r="A57" s="161">
        <v>46</v>
      </c>
      <c r="B57" s="115" t="s">
        <v>1358</v>
      </c>
      <c r="C57" s="116" t="s">
        <v>1359</v>
      </c>
      <c r="D57" s="116" t="s">
        <v>25</v>
      </c>
      <c r="E57" s="162">
        <v>1</v>
      </c>
      <c r="F57" s="163"/>
      <c r="G57" s="164"/>
      <c r="H57" s="32"/>
      <c r="I57" s="38"/>
      <c r="J57" s="57">
        <f t="shared" si="9"/>
        <v>0</v>
      </c>
      <c r="K57" s="38"/>
      <c r="L57" s="38"/>
      <c r="M57" s="38">
        <f t="shared" si="10"/>
        <v>0</v>
      </c>
      <c r="N57" s="32"/>
      <c r="O57" s="38"/>
      <c r="P57" s="38">
        <f t="shared" si="11"/>
        <v>0</v>
      </c>
      <c r="Q57" s="39" t="e">
        <f t="shared" si="12"/>
        <v>#DIV/0!</v>
      </c>
      <c r="R57" s="40" t="e">
        <f t="shared" si="13"/>
        <v>#DIV/0!</v>
      </c>
      <c r="S57" s="39">
        <f t="shared" si="14"/>
        <v>0</v>
      </c>
      <c r="T57" s="32"/>
      <c r="V57" s="42" t="e">
        <f t="shared" si="15"/>
        <v>#DIV/0!</v>
      </c>
      <c r="W57" s="42" t="e">
        <f t="shared" si="16"/>
        <v>#DIV/0!</v>
      </c>
      <c r="X57" s="42" t="e">
        <f t="shared" si="17"/>
        <v>#DIV/0!</v>
      </c>
    </row>
    <row r="58" spans="1:24" s="28" customFormat="1" ht="73.5" customHeight="1" x14ac:dyDescent="0.2">
      <c r="A58" s="161">
        <v>47</v>
      </c>
      <c r="B58" s="115" t="s">
        <v>1306</v>
      </c>
      <c r="C58" s="116" t="s">
        <v>1307</v>
      </c>
      <c r="D58" s="116" t="s">
        <v>25</v>
      </c>
      <c r="E58" s="162">
        <v>36</v>
      </c>
      <c r="F58" s="163">
        <v>82059.37</v>
      </c>
      <c r="G58" s="164"/>
      <c r="H58" s="32"/>
      <c r="I58" s="38"/>
      <c r="J58" s="57">
        <f t="shared" si="9"/>
        <v>0</v>
      </c>
      <c r="K58" s="38"/>
      <c r="L58" s="38"/>
      <c r="M58" s="38">
        <f t="shared" si="10"/>
        <v>0</v>
      </c>
      <c r="N58" s="32"/>
      <c r="O58" s="38"/>
      <c r="P58" s="38">
        <f t="shared" si="11"/>
        <v>0</v>
      </c>
      <c r="Q58" s="39" t="e">
        <f t="shared" si="12"/>
        <v>#DIV/0!</v>
      </c>
      <c r="R58" s="40" t="e">
        <f t="shared" si="13"/>
        <v>#DIV/0!</v>
      </c>
      <c r="S58" s="39">
        <f t="shared" si="14"/>
        <v>0</v>
      </c>
      <c r="T58" s="32"/>
      <c r="V58" s="42" t="e">
        <f t="shared" si="15"/>
        <v>#DIV/0!</v>
      </c>
      <c r="W58" s="42" t="e">
        <f t="shared" si="16"/>
        <v>#DIV/0!</v>
      </c>
      <c r="X58" s="42" t="e">
        <f t="shared" si="17"/>
        <v>#DIV/0!</v>
      </c>
    </row>
    <row r="59" spans="1:24" s="28" customFormat="1" ht="73.5" customHeight="1" x14ac:dyDescent="0.2">
      <c r="A59" s="161">
        <v>48</v>
      </c>
      <c r="B59" s="115" t="s">
        <v>1360</v>
      </c>
      <c r="C59" s="116" t="s">
        <v>1361</v>
      </c>
      <c r="D59" s="116" t="s">
        <v>25</v>
      </c>
      <c r="E59" s="162">
        <v>1</v>
      </c>
      <c r="F59" s="163">
        <v>17745</v>
      </c>
      <c r="G59" s="164"/>
      <c r="H59" s="32"/>
      <c r="I59" s="38"/>
      <c r="J59" s="57">
        <f t="shared" si="9"/>
        <v>0</v>
      </c>
      <c r="K59" s="38"/>
      <c r="L59" s="38"/>
      <c r="M59" s="38">
        <f t="shared" si="10"/>
        <v>0</v>
      </c>
      <c r="N59" s="32"/>
      <c r="O59" s="38"/>
      <c r="P59" s="38">
        <f t="shared" si="11"/>
        <v>0</v>
      </c>
      <c r="Q59" s="39" t="e">
        <f t="shared" si="12"/>
        <v>#DIV/0!</v>
      </c>
      <c r="R59" s="40" t="e">
        <f t="shared" si="13"/>
        <v>#DIV/0!</v>
      </c>
      <c r="S59" s="39">
        <f t="shared" si="14"/>
        <v>0</v>
      </c>
      <c r="T59" s="32"/>
      <c r="V59" s="42" t="e">
        <f t="shared" si="15"/>
        <v>#DIV/0!</v>
      </c>
      <c r="W59" s="42" t="e">
        <f t="shared" si="16"/>
        <v>#DIV/0!</v>
      </c>
      <c r="X59" s="42" t="e">
        <f t="shared" si="17"/>
        <v>#DIV/0!</v>
      </c>
    </row>
    <row r="60" spans="1:24" s="28" customFormat="1" ht="73.5" customHeight="1" x14ac:dyDescent="0.2">
      <c r="A60" s="161">
        <v>49</v>
      </c>
      <c r="B60" s="115" t="s">
        <v>1362</v>
      </c>
      <c r="C60" s="116" t="s">
        <v>1309</v>
      </c>
      <c r="D60" s="116" t="s">
        <v>25</v>
      </c>
      <c r="E60" s="162">
        <v>3</v>
      </c>
      <c r="F60" s="163">
        <v>3908</v>
      </c>
      <c r="G60" s="164"/>
      <c r="H60" s="32"/>
      <c r="I60" s="38"/>
      <c r="J60" s="57">
        <f t="shared" si="9"/>
        <v>0</v>
      </c>
      <c r="K60" s="38"/>
      <c r="L60" s="38"/>
      <c r="M60" s="38">
        <f t="shared" si="10"/>
        <v>0</v>
      </c>
      <c r="N60" s="32"/>
      <c r="O60" s="38"/>
      <c r="P60" s="38">
        <f t="shared" si="11"/>
        <v>0</v>
      </c>
      <c r="Q60" s="39" t="e">
        <f t="shared" si="12"/>
        <v>#DIV/0!</v>
      </c>
      <c r="R60" s="40" t="e">
        <f t="shared" si="13"/>
        <v>#DIV/0!</v>
      </c>
      <c r="S60" s="39">
        <f t="shared" si="14"/>
        <v>0</v>
      </c>
      <c r="T60" s="32"/>
      <c r="V60" s="42" t="e">
        <f t="shared" si="15"/>
        <v>#DIV/0!</v>
      </c>
      <c r="W60" s="42" t="e">
        <f t="shared" si="16"/>
        <v>#DIV/0!</v>
      </c>
      <c r="X60" s="42" t="e">
        <f t="shared" si="17"/>
        <v>#DIV/0!</v>
      </c>
    </row>
    <row r="61" spans="1:24" s="28" customFormat="1" ht="73.5" customHeight="1" x14ac:dyDescent="0.2">
      <c r="A61" s="161">
        <v>50</v>
      </c>
      <c r="B61" s="115" t="s">
        <v>1314</v>
      </c>
      <c r="C61" s="116" t="s">
        <v>1315</v>
      </c>
      <c r="D61" s="116" t="s">
        <v>25</v>
      </c>
      <c r="E61" s="162">
        <v>2</v>
      </c>
      <c r="F61" s="163"/>
      <c r="G61" s="164"/>
      <c r="H61" s="32"/>
      <c r="I61" s="38"/>
      <c r="J61" s="57">
        <f t="shared" si="9"/>
        <v>0</v>
      </c>
      <c r="K61" s="38"/>
      <c r="L61" s="38"/>
      <c r="M61" s="38">
        <f t="shared" si="10"/>
        <v>0</v>
      </c>
      <c r="N61" s="32"/>
      <c r="O61" s="38"/>
      <c r="P61" s="38">
        <f t="shared" si="11"/>
        <v>0</v>
      </c>
      <c r="Q61" s="39" t="e">
        <f t="shared" si="12"/>
        <v>#DIV/0!</v>
      </c>
      <c r="R61" s="40" t="e">
        <f t="shared" si="13"/>
        <v>#DIV/0!</v>
      </c>
      <c r="S61" s="39">
        <f t="shared" si="14"/>
        <v>0</v>
      </c>
      <c r="T61" s="32"/>
      <c r="V61" s="42" t="e">
        <f t="shared" si="15"/>
        <v>#DIV/0!</v>
      </c>
      <c r="W61" s="42" t="e">
        <f t="shared" si="16"/>
        <v>#DIV/0!</v>
      </c>
      <c r="X61" s="42" t="e">
        <f t="shared" si="17"/>
        <v>#DIV/0!</v>
      </c>
    </row>
    <row r="62" spans="1:24" s="28" customFormat="1" ht="73.5" customHeight="1" x14ac:dyDescent="0.2">
      <c r="A62" s="161">
        <v>51</v>
      </c>
      <c r="B62" s="115" t="s">
        <v>1363</v>
      </c>
      <c r="C62" s="116" t="s">
        <v>1364</v>
      </c>
      <c r="D62" s="116" t="s">
        <v>25</v>
      </c>
      <c r="E62" s="162">
        <v>8</v>
      </c>
      <c r="F62" s="163">
        <v>118022.55</v>
      </c>
      <c r="G62" s="164"/>
      <c r="H62" s="32"/>
      <c r="I62" s="38"/>
      <c r="J62" s="57">
        <f t="shared" si="9"/>
        <v>0</v>
      </c>
      <c r="K62" s="38"/>
      <c r="L62" s="38"/>
      <c r="M62" s="38">
        <f t="shared" si="10"/>
        <v>0</v>
      </c>
      <c r="N62" s="32"/>
      <c r="O62" s="38"/>
      <c r="P62" s="38">
        <f t="shared" si="11"/>
        <v>0</v>
      </c>
      <c r="Q62" s="39" t="e">
        <f t="shared" si="12"/>
        <v>#DIV/0!</v>
      </c>
      <c r="R62" s="40" t="e">
        <f t="shared" si="13"/>
        <v>#DIV/0!</v>
      </c>
      <c r="S62" s="39">
        <f t="shared" si="14"/>
        <v>0</v>
      </c>
      <c r="T62" s="32"/>
      <c r="V62" s="42" t="e">
        <f t="shared" si="15"/>
        <v>#DIV/0!</v>
      </c>
      <c r="W62" s="42" t="e">
        <f t="shared" si="16"/>
        <v>#DIV/0!</v>
      </c>
      <c r="X62" s="42" t="e">
        <f t="shared" si="17"/>
        <v>#DIV/0!</v>
      </c>
    </row>
    <row r="63" spans="1:24" s="10" customFormat="1" ht="16.5" customHeight="1" x14ac:dyDescent="0.25">
      <c r="A63" s="150"/>
      <c r="B63" s="151"/>
      <c r="C63" s="151"/>
      <c r="D63" s="151"/>
      <c r="E63" s="98"/>
      <c r="F63" s="98"/>
      <c r="G63" s="151"/>
      <c r="H63" s="151"/>
      <c r="I63" s="151"/>
      <c r="J63" s="151"/>
      <c r="K63" s="153"/>
      <c r="L63" s="150"/>
      <c r="M63" s="150"/>
      <c r="N63" s="150"/>
      <c r="O63" s="150"/>
      <c r="P63" s="150"/>
      <c r="Q63" s="150"/>
      <c r="R63" s="150"/>
      <c r="S63" s="165">
        <f>SUM(S12:S62)</f>
        <v>0</v>
      </c>
      <c r="T63" s="150"/>
      <c r="V63" s="99"/>
    </row>
    <row r="64" spans="1:24" x14ac:dyDescent="0.25">
      <c r="B64" s="154"/>
      <c r="C64" s="154"/>
      <c r="D64" s="94"/>
      <c r="G64" s="166"/>
      <c r="I64" s="1"/>
      <c r="L64" s="1"/>
      <c r="O64" s="1"/>
    </row>
    <row r="65" spans="2:15" x14ac:dyDescent="0.25">
      <c r="B65" s="154"/>
      <c r="C65" s="154"/>
      <c r="D65" s="94"/>
      <c r="G65" s="166"/>
      <c r="I65" s="1"/>
      <c r="L65" s="1"/>
      <c r="O65" s="1"/>
    </row>
    <row r="66" spans="2:15" x14ac:dyDescent="0.25">
      <c r="B66" s="154"/>
      <c r="C66" s="154"/>
      <c r="D66" s="94"/>
      <c r="I66" s="1"/>
      <c r="L66" s="1"/>
      <c r="O66" s="1"/>
    </row>
    <row r="67" spans="2:15" x14ac:dyDescent="0.25">
      <c r="B67" s="154"/>
      <c r="C67" s="154"/>
      <c r="D67" s="94"/>
      <c r="I67" s="1"/>
      <c r="L67" s="1"/>
      <c r="O67" s="1"/>
    </row>
    <row r="68" spans="2:15" x14ac:dyDescent="0.25">
      <c r="B68" s="154"/>
      <c r="C68" s="154"/>
      <c r="D68" s="94"/>
      <c r="I68" s="1"/>
      <c r="L68" s="1"/>
      <c r="O68" s="1"/>
    </row>
    <row r="69" spans="2:15" x14ac:dyDescent="0.25">
      <c r="B69" s="154"/>
      <c r="C69" s="154"/>
      <c r="D69" s="94"/>
      <c r="I69" s="1"/>
      <c r="L69" s="1"/>
      <c r="O69" s="1"/>
    </row>
    <row r="70" spans="2:15" x14ac:dyDescent="0.25">
      <c r="B70" s="154"/>
      <c r="C70" s="154"/>
      <c r="D70" s="94"/>
      <c r="I70" s="1"/>
      <c r="L70" s="1"/>
      <c r="O70" s="1"/>
    </row>
    <row r="71" spans="2:15" x14ac:dyDescent="0.25">
      <c r="B71" s="154"/>
      <c r="C71" s="154"/>
      <c r="D71" s="94"/>
      <c r="I71" s="1"/>
      <c r="L71" s="1"/>
      <c r="O71" s="1"/>
    </row>
    <row r="72" spans="2:15" x14ac:dyDescent="0.25">
      <c r="B72" s="154"/>
      <c r="C72" s="154"/>
      <c r="D72" s="94"/>
      <c r="I72" s="1"/>
      <c r="L72" s="1"/>
      <c r="O72" s="1"/>
    </row>
    <row r="73" spans="2:15" x14ac:dyDescent="0.25">
      <c r="B73" s="154"/>
      <c r="C73" s="154"/>
      <c r="D73" s="94"/>
      <c r="I73" s="1"/>
      <c r="L73" s="1"/>
      <c r="O73" s="1"/>
    </row>
    <row r="74" spans="2:15" x14ac:dyDescent="0.25">
      <c r="B74" s="154"/>
      <c r="C74" s="154"/>
      <c r="D74" s="94"/>
      <c r="G74" s="166"/>
      <c r="I74" s="1"/>
      <c r="L74" s="1"/>
      <c r="O74" s="1"/>
    </row>
    <row r="75" spans="2:15" x14ac:dyDescent="0.25">
      <c r="B75" s="154"/>
      <c r="C75" s="154"/>
      <c r="D75" s="94"/>
      <c r="I75" s="1"/>
      <c r="L75" s="1"/>
      <c r="O75" s="1"/>
    </row>
    <row r="76" spans="2:15" x14ac:dyDescent="0.25">
      <c r="B76" s="154"/>
      <c r="C76" s="154"/>
      <c r="D76" s="94"/>
      <c r="I76" s="1"/>
      <c r="L76" s="1"/>
      <c r="O76" s="1"/>
    </row>
    <row r="77" spans="2:15" x14ac:dyDescent="0.25">
      <c r="B77" s="154"/>
      <c r="C77" s="154"/>
      <c r="D77" s="94"/>
      <c r="I77" s="1"/>
      <c r="L77" s="1"/>
      <c r="O77" s="1"/>
    </row>
    <row r="78" spans="2:15" x14ac:dyDescent="0.25">
      <c r="B78" s="154"/>
      <c r="C78" s="154"/>
      <c r="D78" s="94"/>
      <c r="G78" s="166"/>
      <c r="I78" s="1"/>
      <c r="L78" s="1"/>
      <c r="O78" s="1"/>
    </row>
    <row r="79" spans="2:15" x14ac:dyDescent="0.25">
      <c r="B79" s="154"/>
      <c r="C79" s="154"/>
      <c r="D79" s="94"/>
      <c r="G79" s="166"/>
      <c r="I79" s="1"/>
      <c r="L79" s="1"/>
      <c r="O79" s="1"/>
    </row>
    <row r="80" spans="2:15" x14ac:dyDescent="0.25">
      <c r="B80" s="154"/>
      <c r="C80" s="154"/>
      <c r="D80" s="94"/>
      <c r="I80" s="1"/>
      <c r="L80" s="1"/>
      <c r="O80" s="1"/>
    </row>
    <row r="81" spans="2:15" x14ac:dyDescent="0.25">
      <c r="B81" s="154"/>
      <c r="C81" s="154"/>
      <c r="D81" s="94"/>
      <c r="I81" s="1"/>
      <c r="L81" s="1"/>
      <c r="O81" s="1"/>
    </row>
    <row r="82" spans="2:15" x14ac:dyDescent="0.25">
      <c r="I82" s="1"/>
      <c r="L82" s="1"/>
      <c r="O82" s="1"/>
    </row>
    <row r="83" spans="2:15" x14ac:dyDescent="0.25">
      <c r="I83" s="1"/>
      <c r="L83" s="1"/>
      <c r="O83" s="1"/>
    </row>
    <row r="84" spans="2:15" x14ac:dyDescent="0.25">
      <c r="G84" s="166"/>
      <c r="I84" s="1"/>
      <c r="L84" s="1"/>
      <c r="O84" s="1"/>
    </row>
    <row r="85" spans="2:15" x14ac:dyDescent="0.25">
      <c r="I85" s="1"/>
      <c r="L85" s="1"/>
      <c r="O85" s="1"/>
    </row>
    <row r="86" spans="2:15" x14ac:dyDescent="0.25">
      <c r="I86" s="1"/>
      <c r="L86" s="1"/>
      <c r="O86" s="1"/>
    </row>
    <row r="87" spans="2:15" x14ac:dyDescent="0.25">
      <c r="I87" s="1"/>
      <c r="L87" s="1"/>
      <c r="O87" s="1"/>
    </row>
    <row r="88" spans="2:15" x14ac:dyDescent="0.25">
      <c r="I88" s="1"/>
      <c r="L88" s="1"/>
      <c r="O88" s="1"/>
    </row>
    <row r="89" spans="2:15" x14ac:dyDescent="0.25">
      <c r="I89" s="1"/>
      <c r="L89" s="1"/>
      <c r="O89" s="1"/>
    </row>
    <row r="90" spans="2:15" x14ac:dyDescent="0.25">
      <c r="I90" s="1"/>
      <c r="L90" s="1"/>
      <c r="O90" s="1"/>
    </row>
    <row r="91" spans="2:15" x14ac:dyDescent="0.25">
      <c r="G91" s="166"/>
      <c r="I91" s="1"/>
      <c r="L91" s="1"/>
      <c r="O91" s="1"/>
    </row>
    <row r="92" spans="2:15" x14ac:dyDescent="0.25">
      <c r="G92" s="166"/>
      <c r="I92" s="1"/>
      <c r="L92" s="1"/>
      <c r="O92" s="1"/>
    </row>
    <row r="93" spans="2:15" x14ac:dyDescent="0.25">
      <c r="G93" s="166"/>
      <c r="I93" s="1"/>
      <c r="L93" s="1"/>
      <c r="O93" s="1"/>
    </row>
    <row r="94" spans="2:15" x14ac:dyDescent="0.25">
      <c r="G94" s="166"/>
      <c r="I94" s="1"/>
      <c r="L94" s="1"/>
      <c r="O94" s="1"/>
    </row>
    <row r="95" spans="2:15" x14ac:dyDescent="0.25">
      <c r="G95" s="166"/>
      <c r="I95" s="1"/>
      <c r="L95" s="1"/>
      <c r="O95" s="1"/>
    </row>
    <row r="96" spans="2:15" x14ac:dyDescent="0.25">
      <c r="G96" s="166"/>
      <c r="I96" s="1"/>
      <c r="L96" s="1"/>
      <c r="O96" s="1"/>
    </row>
    <row r="97" spans="7:15" x14ac:dyDescent="0.25">
      <c r="G97" s="166"/>
      <c r="I97" s="1"/>
      <c r="L97" s="1"/>
      <c r="O97" s="1"/>
    </row>
    <row r="98" spans="7:15" x14ac:dyDescent="0.25">
      <c r="G98" s="166"/>
      <c r="I98" s="1"/>
      <c r="L98" s="1"/>
      <c r="O98" s="1"/>
    </row>
    <row r="99" spans="7:15" x14ac:dyDescent="0.25">
      <c r="G99" s="166"/>
      <c r="I99" s="1"/>
      <c r="L99" s="1"/>
      <c r="O99" s="1"/>
    </row>
    <row r="100" spans="7:15" x14ac:dyDescent="0.25">
      <c r="G100" s="166"/>
      <c r="I100" s="1"/>
      <c r="L100" s="1"/>
      <c r="O100" s="1"/>
    </row>
    <row r="101" spans="7:15" x14ac:dyDescent="0.25">
      <c r="I101" s="1"/>
      <c r="L101" s="1"/>
      <c r="O101" s="1"/>
    </row>
    <row r="102" spans="7:15" x14ac:dyDescent="0.25">
      <c r="I102" s="1"/>
      <c r="L102" s="1"/>
      <c r="O102" s="1"/>
    </row>
    <row r="103" spans="7:15" x14ac:dyDescent="0.25">
      <c r="I103" s="1"/>
      <c r="L103" s="1"/>
      <c r="O103" s="1"/>
    </row>
    <row r="104" spans="7:15" x14ac:dyDescent="0.25">
      <c r="G104" s="166"/>
      <c r="I104" s="1"/>
      <c r="L104" s="1"/>
      <c r="O104" s="1"/>
    </row>
    <row r="105" spans="7:15" x14ac:dyDescent="0.25">
      <c r="I105" s="1"/>
      <c r="L105" s="1"/>
      <c r="O105" s="1"/>
    </row>
    <row r="106" spans="7:15" x14ac:dyDescent="0.25">
      <c r="I106" s="1"/>
      <c r="L106" s="1"/>
      <c r="O106" s="1"/>
    </row>
    <row r="107" spans="7:15" x14ac:dyDescent="0.25">
      <c r="I107" s="1"/>
      <c r="L107" s="1"/>
      <c r="O107" s="1"/>
    </row>
    <row r="108" spans="7:15" x14ac:dyDescent="0.25">
      <c r="I108" s="1"/>
      <c r="L108" s="1"/>
      <c r="O108" s="1"/>
    </row>
    <row r="109" spans="7:15" x14ac:dyDescent="0.25">
      <c r="I109" s="1"/>
      <c r="L109" s="1"/>
      <c r="O109" s="1"/>
    </row>
    <row r="110" spans="7:15" x14ac:dyDescent="0.25">
      <c r="I110" s="1"/>
      <c r="L110" s="1"/>
      <c r="O110" s="1"/>
    </row>
    <row r="111" spans="7:15" x14ac:dyDescent="0.25">
      <c r="I111" s="1"/>
      <c r="L111" s="1"/>
      <c r="O111" s="1"/>
    </row>
    <row r="112" spans="7:15" x14ac:dyDescent="0.25">
      <c r="I112" s="1"/>
      <c r="L112" s="1"/>
      <c r="O112" s="1"/>
    </row>
    <row r="113" spans="7:15" x14ac:dyDescent="0.25">
      <c r="I113" s="1"/>
      <c r="L113" s="1"/>
      <c r="O113" s="1"/>
    </row>
    <row r="114" spans="7:15" x14ac:dyDescent="0.25">
      <c r="I114" s="1"/>
      <c r="L114" s="1"/>
      <c r="O114" s="1"/>
    </row>
    <row r="115" spans="7:15" x14ac:dyDescent="0.25">
      <c r="I115" s="1"/>
      <c r="L115" s="1"/>
      <c r="O115" s="1"/>
    </row>
    <row r="116" spans="7:15" x14ac:dyDescent="0.25">
      <c r="I116" s="1"/>
      <c r="L116" s="1"/>
      <c r="O116" s="1"/>
    </row>
    <row r="117" spans="7:15" x14ac:dyDescent="0.25">
      <c r="I117" s="1"/>
      <c r="L117" s="1"/>
      <c r="O117" s="1"/>
    </row>
    <row r="118" spans="7:15" x14ac:dyDescent="0.25">
      <c r="I118" s="1"/>
      <c r="L118" s="1"/>
      <c r="O118" s="1"/>
    </row>
    <row r="119" spans="7:15" x14ac:dyDescent="0.25">
      <c r="I119" s="1"/>
      <c r="L119" s="1"/>
      <c r="O119" s="1"/>
    </row>
    <row r="120" spans="7:15" x14ac:dyDescent="0.25">
      <c r="I120" s="1"/>
      <c r="L120" s="1"/>
      <c r="O120" s="1"/>
    </row>
    <row r="121" spans="7:15" x14ac:dyDescent="0.25">
      <c r="I121" s="1"/>
      <c r="L121" s="1"/>
      <c r="O121" s="1"/>
    </row>
    <row r="122" spans="7:15" x14ac:dyDescent="0.25">
      <c r="I122" s="1"/>
      <c r="L122" s="1"/>
      <c r="O122" s="1"/>
    </row>
    <row r="123" spans="7:15" x14ac:dyDescent="0.25">
      <c r="I123" s="1"/>
      <c r="L123" s="1"/>
      <c r="O123" s="1"/>
    </row>
    <row r="124" spans="7:15" x14ac:dyDescent="0.25">
      <c r="I124" s="1"/>
      <c r="L124" s="1"/>
      <c r="O124" s="1"/>
    </row>
    <row r="125" spans="7:15" x14ac:dyDescent="0.25">
      <c r="I125" s="1"/>
      <c r="L125" s="1"/>
      <c r="O125" s="1"/>
    </row>
    <row r="126" spans="7:15" x14ac:dyDescent="0.25">
      <c r="I126" s="1"/>
      <c r="L126" s="1"/>
      <c r="O126" s="1"/>
    </row>
    <row r="127" spans="7:15" x14ac:dyDescent="0.25">
      <c r="G127" s="166"/>
      <c r="I127" s="1"/>
      <c r="L127" s="1"/>
      <c r="O127" s="1"/>
    </row>
    <row r="128" spans="7:15" x14ac:dyDescent="0.25">
      <c r="G128" s="166"/>
      <c r="I128" s="1"/>
      <c r="L128" s="1"/>
      <c r="O128" s="1"/>
    </row>
    <row r="129" spans="7:15" x14ac:dyDescent="0.25">
      <c r="G129" s="166"/>
      <c r="I129" s="1"/>
      <c r="L129" s="1"/>
      <c r="O129" s="1"/>
    </row>
    <row r="130" spans="7:15" x14ac:dyDescent="0.25">
      <c r="G130" s="166"/>
      <c r="I130" s="1"/>
      <c r="L130" s="1"/>
      <c r="O130" s="1"/>
    </row>
    <row r="131" spans="7:15" x14ac:dyDescent="0.25">
      <c r="G131" s="166"/>
      <c r="I131" s="1"/>
      <c r="L131" s="1"/>
      <c r="O131" s="1"/>
    </row>
    <row r="132" spans="7:15" x14ac:dyDescent="0.25">
      <c r="G132" s="166"/>
      <c r="I132" s="1"/>
      <c r="L132" s="1"/>
      <c r="O132" s="1"/>
    </row>
    <row r="133" spans="7:15" x14ac:dyDescent="0.25">
      <c r="I133" s="1"/>
      <c r="L133" s="1"/>
      <c r="O133" s="1"/>
    </row>
    <row r="134" spans="7:15" x14ac:dyDescent="0.25">
      <c r="I134" s="1"/>
      <c r="L134" s="1"/>
      <c r="O134" s="1"/>
    </row>
    <row r="135" spans="7:15" x14ac:dyDescent="0.25">
      <c r="I135" s="1"/>
      <c r="L135" s="1"/>
      <c r="O135" s="1"/>
    </row>
    <row r="136" spans="7:15" x14ac:dyDescent="0.25">
      <c r="G136" s="166"/>
      <c r="I136" s="1"/>
      <c r="L136" s="1"/>
      <c r="O136" s="1"/>
    </row>
    <row r="137" spans="7:15" x14ac:dyDescent="0.25">
      <c r="G137" s="166"/>
      <c r="I137" s="1"/>
      <c r="L137" s="1"/>
      <c r="O137" s="1"/>
    </row>
    <row r="138" spans="7:15" x14ac:dyDescent="0.25">
      <c r="G138" s="166"/>
      <c r="I138" s="1"/>
      <c r="L138" s="1"/>
      <c r="O138" s="1"/>
    </row>
    <row r="139" spans="7:15" x14ac:dyDescent="0.25">
      <c r="I139" s="1"/>
      <c r="L139" s="1"/>
      <c r="O139" s="1"/>
    </row>
    <row r="140" spans="7:15" x14ac:dyDescent="0.25">
      <c r="G140" s="166"/>
      <c r="I140" s="1"/>
      <c r="L140" s="1"/>
      <c r="O140" s="1"/>
    </row>
    <row r="141" spans="7:15" x14ac:dyDescent="0.25">
      <c r="G141" s="166"/>
      <c r="I141" s="1"/>
      <c r="L141" s="1"/>
      <c r="O141" s="1"/>
    </row>
    <row r="142" spans="7:15" x14ac:dyDescent="0.25">
      <c r="I142" s="1"/>
      <c r="L142" s="1"/>
      <c r="O142" s="1"/>
    </row>
    <row r="143" spans="7:15" x14ac:dyDescent="0.25">
      <c r="I143" s="1"/>
      <c r="L143" s="1"/>
      <c r="O143" s="1"/>
    </row>
    <row r="144" spans="7:15" x14ac:dyDescent="0.25">
      <c r="I144" s="1"/>
      <c r="L144" s="1"/>
      <c r="O144" s="1"/>
    </row>
    <row r="145" spans="7:15" x14ac:dyDescent="0.25">
      <c r="I145" s="1"/>
      <c r="L145" s="1"/>
      <c r="O145" s="1"/>
    </row>
    <row r="146" spans="7:15" x14ac:dyDescent="0.25">
      <c r="I146" s="1"/>
      <c r="L146" s="1"/>
      <c r="O146" s="1"/>
    </row>
    <row r="147" spans="7:15" x14ac:dyDescent="0.25">
      <c r="I147" s="1"/>
      <c r="L147" s="1"/>
      <c r="O147" s="1"/>
    </row>
    <row r="148" spans="7:15" x14ac:dyDescent="0.25">
      <c r="I148" s="1"/>
      <c r="L148" s="1"/>
      <c r="O148" s="1"/>
    </row>
    <row r="149" spans="7:15" x14ac:dyDescent="0.25">
      <c r="G149" s="166"/>
      <c r="I149" s="1"/>
      <c r="L149" s="1"/>
      <c r="O149" s="1"/>
    </row>
    <row r="150" spans="7:15" x14ac:dyDescent="0.25">
      <c r="I150" s="1"/>
      <c r="L150" s="1"/>
      <c r="O150" s="1"/>
    </row>
    <row r="151" spans="7:15" x14ac:dyDescent="0.25">
      <c r="I151" s="1"/>
      <c r="L151" s="1"/>
      <c r="O151" s="1"/>
    </row>
    <row r="152" spans="7:15" x14ac:dyDescent="0.25">
      <c r="G152" s="166"/>
      <c r="I152" s="1"/>
      <c r="L152" s="1"/>
      <c r="O152" s="1"/>
    </row>
    <row r="153" spans="7:15" x14ac:dyDescent="0.25">
      <c r="G153" s="166"/>
      <c r="I153" s="1"/>
      <c r="L153" s="1"/>
      <c r="O153" s="1"/>
    </row>
    <row r="154" spans="7:15" x14ac:dyDescent="0.25">
      <c r="I154" s="1"/>
      <c r="L154" s="1"/>
      <c r="O154" s="1"/>
    </row>
    <row r="155" spans="7:15" x14ac:dyDescent="0.25">
      <c r="G155" s="166"/>
      <c r="I155" s="1"/>
      <c r="L155" s="1"/>
      <c r="O155" s="1"/>
    </row>
    <row r="156" spans="7:15" x14ac:dyDescent="0.25">
      <c r="I156" s="1"/>
      <c r="L156" s="1"/>
      <c r="O156" s="1"/>
    </row>
    <row r="157" spans="7:15" x14ac:dyDescent="0.25">
      <c r="I157" s="1"/>
      <c r="L157" s="1"/>
      <c r="O157" s="1"/>
    </row>
    <row r="158" spans="7:15" x14ac:dyDescent="0.25">
      <c r="I158" s="1"/>
      <c r="L158" s="1"/>
      <c r="O158" s="1"/>
    </row>
    <row r="159" spans="7:15" x14ac:dyDescent="0.25">
      <c r="I159" s="1"/>
      <c r="L159" s="1"/>
      <c r="O159" s="1"/>
    </row>
    <row r="160" spans="7:15" x14ac:dyDescent="0.25">
      <c r="I160" s="1"/>
      <c r="L160" s="1"/>
      <c r="O160" s="1"/>
    </row>
    <row r="161" spans="7:15" x14ac:dyDescent="0.25">
      <c r="I161" s="1"/>
      <c r="L161" s="1"/>
      <c r="O161" s="1"/>
    </row>
    <row r="162" spans="7:15" x14ac:dyDescent="0.25">
      <c r="I162" s="1"/>
      <c r="L162" s="1"/>
      <c r="O162" s="1"/>
    </row>
    <row r="163" spans="7:15" x14ac:dyDescent="0.25">
      <c r="I163" s="1"/>
      <c r="L163" s="1"/>
      <c r="O163" s="1"/>
    </row>
    <row r="164" spans="7:15" x14ac:dyDescent="0.25">
      <c r="G164" s="166"/>
      <c r="I164" s="1"/>
      <c r="L164" s="1"/>
      <c r="O164" s="1"/>
    </row>
    <row r="165" spans="7:15" x14ac:dyDescent="0.25">
      <c r="I165" s="1"/>
      <c r="L165" s="1"/>
      <c r="O165" s="1"/>
    </row>
    <row r="166" spans="7:15" x14ac:dyDescent="0.25">
      <c r="I166" s="1"/>
      <c r="L166" s="1"/>
      <c r="O166" s="1"/>
    </row>
    <row r="167" spans="7:15" x14ac:dyDescent="0.25">
      <c r="I167" s="1"/>
      <c r="L167" s="1"/>
      <c r="O167" s="1"/>
    </row>
    <row r="168" spans="7:15" x14ac:dyDescent="0.25">
      <c r="I168" s="1"/>
      <c r="L168" s="1"/>
      <c r="O168" s="1"/>
    </row>
    <row r="169" spans="7:15" x14ac:dyDescent="0.25">
      <c r="I169" s="1"/>
      <c r="L169" s="1"/>
      <c r="O169" s="1"/>
    </row>
    <row r="170" spans="7:15" x14ac:dyDescent="0.25">
      <c r="I170" s="1"/>
      <c r="L170" s="1"/>
      <c r="O170" s="1"/>
    </row>
    <row r="171" spans="7:15" x14ac:dyDescent="0.25">
      <c r="I171" s="1"/>
      <c r="L171" s="1"/>
      <c r="O171" s="1"/>
    </row>
    <row r="172" spans="7:15" x14ac:dyDescent="0.25">
      <c r="I172" s="1"/>
      <c r="L172" s="1"/>
      <c r="O172" s="1"/>
    </row>
    <row r="173" spans="7:15" x14ac:dyDescent="0.25">
      <c r="I173" s="1"/>
      <c r="L173" s="1"/>
      <c r="O173" s="1"/>
    </row>
    <row r="174" spans="7:15" x14ac:dyDescent="0.25">
      <c r="I174" s="1"/>
      <c r="L174" s="1"/>
      <c r="O174" s="1"/>
    </row>
    <row r="175" spans="7:15" x14ac:dyDescent="0.25">
      <c r="I175" s="1"/>
      <c r="L175" s="1"/>
      <c r="O175" s="1"/>
    </row>
    <row r="176" spans="7:15" x14ac:dyDescent="0.25">
      <c r="I176" s="1"/>
      <c r="L176" s="1"/>
      <c r="O176" s="1"/>
    </row>
    <row r="177" spans="9:15" x14ac:dyDescent="0.25">
      <c r="I177" s="1"/>
      <c r="L177" s="1"/>
      <c r="O177" s="1"/>
    </row>
    <row r="178" spans="9:15" x14ac:dyDescent="0.25">
      <c r="I178" s="1"/>
      <c r="L178" s="1"/>
      <c r="O178" s="1"/>
    </row>
    <row r="179" spans="9:15" x14ac:dyDescent="0.25">
      <c r="I179" s="1"/>
      <c r="L179" s="1"/>
      <c r="O179" s="1"/>
    </row>
    <row r="180" spans="9:15" x14ac:dyDescent="0.25">
      <c r="I180" s="1"/>
      <c r="L180" s="1"/>
      <c r="O180" s="1"/>
    </row>
    <row r="181" spans="9:15" x14ac:dyDescent="0.25">
      <c r="I181" s="1"/>
      <c r="L181" s="1"/>
      <c r="O181" s="1"/>
    </row>
    <row r="182" spans="9:15" x14ac:dyDescent="0.25">
      <c r="I182" s="1"/>
      <c r="L182" s="1"/>
      <c r="O182" s="1"/>
    </row>
    <row r="183" spans="9:15" x14ac:dyDescent="0.25">
      <c r="I183" s="1"/>
      <c r="L183" s="1"/>
      <c r="O183" s="1"/>
    </row>
    <row r="184" spans="9:15" x14ac:dyDescent="0.25">
      <c r="I184" s="1"/>
      <c r="L184" s="1"/>
      <c r="O184" s="1"/>
    </row>
    <row r="185" spans="9:15" x14ac:dyDescent="0.25">
      <c r="I185" s="1"/>
      <c r="L185" s="1"/>
      <c r="O185" s="1"/>
    </row>
    <row r="186" spans="9:15" x14ac:dyDescent="0.25">
      <c r="I186" s="1"/>
      <c r="L186" s="1"/>
      <c r="O186" s="1"/>
    </row>
    <row r="187" spans="9:15" x14ac:dyDescent="0.25">
      <c r="I187" s="1"/>
      <c r="L187" s="1"/>
      <c r="O187" s="1"/>
    </row>
    <row r="188" spans="9:15" x14ac:dyDescent="0.25">
      <c r="I188" s="1"/>
      <c r="L188" s="1"/>
      <c r="O188" s="1"/>
    </row>
    <row r="189" spans="9:15" x14ac:dyDescent="0.25">
      <c r="I189" s="1"/>
      <c r="L189" s="1"/>
      <c r="O189" s="1"/>
    </row>
    <row r="190" spans="9:15" x14ac:dyDescent="0.25">
      <c r="I190" s="1"/>
      <c r="L190" s="1"/>
      <c r="O190" s="1"/>
    </row>
    <row r="191" spans="9:15" x14ac:dyDescent="0.25">
      <c r="I191" s="1"/>
      <c r="L191" s="1"/>
      <c r="O191" s="1"/>
    </row>
    <row r="192" spans="9:15" x14ac:dyDescent="0.25">
      <c r="I192" s="1"/>
      <c r="L192" s="1"/>
      <c r="O192" s="1"/>
    </row>
    <row r="193" spans="9:15" x14ac:dyDescent="0.25">
      <c r="I193" s="1"/>
      <c r="L193" s="1"/>
      <c r="O193" s="1"/>
    </row>
    <row r="194" spans="9:15" x14ac:dyDescent="0.25">
      <c r="I194" s="1"/>
      <c r="L194" s="1"/>
      <c r="O194" s="1"/>
    </row>
    <row r="195" spans="9:15" x14ac:dyDescent="0.25">
      <c r="I195" s="1"/>
      <c r="L195" s="1"/>
      <c r="O195" s="1"/>
    </row>
    <row r="196" spans="9:15" x14ac:dyDescent="0.25">
      <c r="I196" s="1"/>
      <c r="L196" s="1"/>
      <c r="O196" s="1"/>
    </row>
    <row r="197" spans="9:15" x14ac:dyDescent="0.25">
      <c r="I197" s="1"/>
      <c r="L197" s="1"/>
      <c r="O197" s="1"/>
    </row>
    <row r="198" spans="9:15" x14ac:dyDescent="0.25">
      <c r="I198" s="1"/>
      <c r="L198" s="1"/>
      <c r="O198" s="1"/>
    </row>
    <row r="199" spans="9:15" x14ac:dyDescent="0.25">
      <c r="I199" s="1"/>
      <c r="L199" s="1"/>
      <c r="O199" s="1"/>
    </row>
    <row r="200" spans="9:15" x14ac:dyDescent="0.25">
      <c r="I200" s="1"/>
      <c r="L200" s="1"/>
      <c r="O200" s="1"/>
    </row>
    <row r="201" spans="9:15" x14ac:dyDescent="0.25">
      <c r="I201" s="1"/>
      <c r="L201" s="1"/>
      <c r="O201" s="1"/>
    </row>
    <row r="202" spans="9:15" x14ac:dyDescent="0.25">
      <c r="I202" s="1"/>
      <c r="L202" s="1"/>
      <c r="O202" s="1"/>
    </row>
    <row r="203" spans="9:15" x14ac:dyDescent="0.25">
      <c r="I203" s="1"/>
      <c r="L203" s="1"/>
      <c r="O203" s="1"/>
    </row>
    <row r="204" spans="9:15" x14ac:dyDescent="0.25">
      <c r="I204" s="1"/>
      <c r="L204" s="1"/>
      <c r="O204" s="1"/>
    </row>
    <row r="205" spans="9:15" x14ac:dyDescent="0.25">
      <c r="I205" s="1"/>
      <c r="L205" s="1"/>
      <c r="O205" s="1"/>
    </row>
    <row r="206" spans="9:15" x14ac:dyDescent="0.25">
      <c r="I206" s="1"/>
      <c r="L206" s="1"/>
      <c r="O206" s="1"/>
    </row>
    <row r="207" spans="9:15" x14ac:dyDescent="0.25">
      <c r="I207" s="1"/>
      <c r="L207" s="1"/>
      <c r="O207" s="1"/>
    </row>
    <row r="208" spans="9:15" x14ac:dyDescent="0.25">
      <c r="I208" s="1"/>
      <c r="L208" s="1"/>
      <c r="O208" s="1"/>
    </row>
    <row r="209" spans="9:15" x14ac:dyDescent="0.25">
      <c r="I209" s="1"/>
      <c r="L209" s="1"/>
      <c r="O209" s="1"/>
    </row>
    <row r="210" spans="9:15" x14ac:dyDescent="0.25">
      <c r="I210" s="1"/>
      <c r="L210" s="1"/>
      <c r="O210" s="1"/>
    </row>
    <row r="211" spans="9:15" x14ac:dyDescent="0.25">
      <c r="I211" s="1"/>
      <c r="L211" s="1"/>
      <c r="O211" s="1"/>
    </row>
    <row r="212" spans="9:15" x14ac:dyDescent="0.25">
      <c r="I212" s="1"/>
      <c r="L212" s="1"/>
      <c r="O212" s="1"/>
    </row>
    <row r="213" spans="9:15" x14ac:dyDescent="0.25">
      <c r="I213" s="1"/>
      <c r="L213" s="1"/>
      <c r="O213" s="1"/>
    </row>
    <row r="214" spans="9:15" x14ac:dyDescent="0.25">
      <c r="I214" s="1"/>
      <c r="L214" s="1"/>
      <c r="O214" s="1"/>
    </row>
    <row r="215" spans="9:15" x14ac:dyDescent="0.25">
      <c r="I215" s="1"/>
      <c r="L215" s="1"/>
      <c r="O215" s="1"/>
    </row>
    <row r="216" spans="9:15" x14ac:dyDescent="0.25">
      <c r="I216" s="1"/>
      <c r="L216" s="1"/>
      <c r="O216" s="1"/>
    </row>
    <row r="217" spans="9:15" x14ac:dyDescent="0.25">
      <c r="I217" s="1"/>
      <c r="L217" s="1"/>
      <c r="O217" s="1"/>
    </row>
    <row r="218" spans="9:15" x14ac:dyDescent="0.25">
      <c r="I218" s="1"/>
      <c r="L218" s="1"/>
      <c r="O218" s="1"/>
    </row>
    <row r="219" spans="9:15" x14ac:dyDescent="0.25">
      <c r="I219" s="1"/>
      <c r="L219" s="1"/>
      <c r="O219" s="1"/>
    </row>
    <row r="220" spans="9:15" x14ac:dyDescent="0.25">
      <c r="I220" s="1"/>
      <c r="L220" s="1"/>
      <c r="O220" s="1"/>
    </row>
    <row r="221" spans="9:15" x14ac:dyDescent="0.25">
      <c r="I221" s="1"/>
      <c r="L221" s="1"/>
      <c r="O221" s="1"/>
    </row>
    <row r="222" spans="9:15" x14ac:dyDescent="0.25">
      <c r="I222" s="1"/>
      <c r="L222" s="1"/>
      <c r="O222" s="1"/>
    </row>
    <row r="223" spans="9:15" x14ac:dyDescent="0.25">
      <c r="I223" s="1"/>
      <c r="L223" s="1"/>
      <c r="O223" s="1"/>
    </row>
    <row r="224" spans="9:15" x14ac:dyDescent="0.25">
      <c r="I224" s="1"/>
      <c r="L224" s="1"/>
      <c r="O224" s="1"/>
    </row>
    <row r="225" spans="9:15" x14ac:dyDescent="0.25">
      <c r="I225" s="1"/>
      <c r="L225" s="1"/>
      <c r="O225" s="1"/>
    </row>
    <row r="226" spans="9:15" x14ac:dyDescent="0.25">
      <c r="I226" s="1"/>
      <c r="L226" s="1"/>
      <c r="O226" s="1"/>
    </row>
    <row r="227" spans="9:15" x14ac:dyDescent="0.25">
      <c r="I227" s="1"/>
      <c r="L227" s="1"/>
      <c r="O227" s="1"/>
    </row>
    <row r="228" spans="9:15" x14ac:dyDescent="0.25">
      <c r="I228" s="1"/>
      <c r="L228" s="1"/>
      <c r="O228" s="1"/>
    </row>
    <row r="229" spans="9:15" x14ac:dyDescent="0.25">
      <c r="I229" s="1"/>
      <c r="L229" s="1"/>
      <c r="O229" s="1"/>
    </row>
    <row r="230" spans="9:15" x14ac:dyDescent="0.25">
      <c r="I230" s="1"/>
      <c r="L230" s="1"/>
      <c r="O230" s="1"/>
    </row>
    <row r="231" spans="9:15" x14ac:dyDescent="0.25">
      <c r="I231" s="1"/>
      <c r="L231" s="1"/>
      <c r="O231" s="1"/>
    </row>
    <row r="232" spans="9:15" x14ac:dyDescent="0.25">
      <c r="I232" s="1"/>
      <c r="L232" s="1"/>
      <c r="O232" s="1"/>
    </row>
    <row r="233" spans="9:15" x14ac:dyDescent="0.25">
      <c r="I233" s="1"/>
      <c r="L233" s="1"/>
      <c r="O233" s="1"/>
    </row>
    <row r="234" spans="9:15" x14ac:dyDescent="0.25">
      <c r="I234" s="1"/>
      <c r="L234" s="1"/>
      <c r="O234" s="1"/>
    </row>
    <row r="235" spans="9:15" x14ac:dyDescent="0.25">
      <c r="I235" s="1"/>
      <c r="L235" s="1"/>
      <c r="O235" s="1"/>
    </row>
    <row r="236" spans="9:15" x14ac:dyDescent="0.25">
      <c r="I236" s="1"/>
      <c r="L236" s="1"/>
      <c r="O236" s="1"/>
    </row>
    <row r="237" spans="9:15" x14ac:dyDescent="0.25">
      <c r="I237" s="1"/>
      <c r="L237" s="1"/>
      <c r="O237" s="1"/>
    </row>
    <row r="238" spans="9:15" x14ac:dyDescent="0.25">
      <c r="I238" s="1"/>
      <c r="L238" s="1"/>
      <c r="O238" s="1"/>
    </row>
    <row r="239" spans="9:15" x14ac:dyDescent="0.25">
      <c r="I239" s="1"/>
      <c r="L239" s="1"/>
      <c r="O239" s="1"/>
    </row>
    <row r="240" spans="9:15" x14ac:dyDescent="0.25">
      <c r="I240" s="1"/>
      <c r="L240" s="1"/>
      <c r="O240" s="1"/>
    </row>
    <row r="241" spans="9:15" x14ac:dyDescent="0.25">
      <c r="I241" s="1"/>
      <c r="L241" s="1"/>
      <c r="O241" s="1"/>
    </row>
    <row r="242" spans="9:15" x14ac:dyDescent="0.25">
      <c r="I242" s="1"/>
      <c r="L242" s="1"/>
      <c r="O242" s="1"/>
    </row>
    <row r="243" spans="9:15" x14ac:dyDescent="0.25">
      <c r="I243" s="1"/>
      <c r="L243" s="1"/>
      <c r="O243" s="1"/>
    </row>
    <row r="244" spans="9:15" x14ac:dyDescent="0.25">
      <c r="I244" s="1"/>
      <c r="L244" s="1"/>
      <c r="O244" s="1"/>
    </row>
    <row r="245" spans="9:15" x14ac:dyDescent="0.25">
      <c r="I245" s="1"/>
      <c r="L245" s="1"/>
      <c r="O245" s="1"/>
    </row>
    <row r="246" spans="9:15" x14ac:dyDescent="0.25">
      <c r="I246" s="1"/>
      <c r="L246" s="1"/>
      <c r="O246" s="1"/>
    </row>
    <row r="247" spans="9:15" x14ac:dyDescent="0.25">
      <c r="I247" s="1"/>
      <c r="L247" s="1"/>
      <c r="O247" s="1"/>
    </row>
    <row r="248" spans="9:15" x14ac:dyDescent="0.25">
      <c r="I248" s="1"/>
      <c r="L248" s="1"/>
      <c r="O248" s="1"/>
    </row>
    <row r="249" spans="9:15" x14ac:dyDescent="0.25">
      <c r="I249" s="1"/>
      <c r="L249" s="1"/>
      <c r="O249" s="1"/>
    </row>
    <row r="250" spans="9:15" x14ac:dyDescent="0.25">
      <c r="I250" s="1"/>
      <c r="L250" s="1"/>
      <c r="O250" s="1"/>
    </row>
    <row r="251" spans="9:15" x14ac:dyDescent="0.25">
      <c r="I251" s="1"/>
      <c r="L251" s="1"/>
      <c r="O251" s="1"/>
    </row>
    <row r="252" spans="9:15" x14ac:dyDescent="0.25">
      <c r="I252" s="1"/>
      <c r="L252" s="1"/>
      <c r="O252" s="1"/>
    </row>
    <row r="253" spans="9:15" x14ac:dyDescent="0.25">
      <c r="I253" s="1"/>
      <c r="L253" s="1"/>
      <c r="O253" s="1"/>
    </row>
    <row r="254" spans="9:15" x14ac:dyDescent="0.25">
      <c r="I254" s="1"/>
      <c r="L254" s="1"/>
      <c r="O254" s="1"/>
    </row>
    <row r="255" spans="9:15" x14ac:dyDescent="0.25">
      <c r="I255" s="1"/>
      <c r="L255" s="1"/>
      <c r="O255" s="1"/>
    </row>
    <row r="256" spans="9:15" x14ac:dyDescent="0.25">
      <c r="I256" s="1"/>
      <c r="L256" s="1"/>
      <c r="O256" s="1"/>
    </row>
    <row r="257" spans="9:15" x14ac:dyDescent="0.25">
      <c r="I257" s="1"/>
      <c r="L257" s="1"/>
      <c r="O257" s="1"/>
    </row>
    <row r="258" spans="9:15" x14ac:dyDescent="0.25">
      <c r="I258" s="1"/>
      <c r="L258" s="1"/>
      <c r="O258" s="1"/>
    </row>
    <row r="259" spans="9:15" x14ac:dyDescent="0.25">
      <c r="I259" s="1"/>
      <c r="L259" s="1"/>
      <c r="O259" s="1"/>
    </row>
    <row r="260" spans="9:15" x14ac:dyDescent="0.25">
      <c r="I260" s="1"/>
      <c r="L260" s="1"/>
      <c r="O260" s="1"/>
    </row>
    <row r="261" spans="9:15" x14ac:dyDescent="0.25">
      <c r="I261" s="1"/>
      <c r="L261" s="1"/>
      <c r="O261" s="1"/>
    </row>
    <row r="262" spans="9:15" x14ac:dyDescent="0.25">
      <c r="I262" s="1"/>
      <c r="L262" s="1"/>
      <c r="O262" s="1"/>
    </row>
    <row r="263" spans="9:15" x14ac:dyDescent="0.25">
      <c r="I263" s="1"/>
      <c r="L263" s="1"/>
      <c r="O263" s="1"/>
    </row>
    <row r="264" spans="9:15" x14ac:dyDescent="0.25">
      <c r="I264" s="1"/>
      <c r="L264" s="1"/>
      <c r="O264" s="1"/>
    </row>
    <row r="265" spans="9:15" x14ac:dyDescent="0.25">
      <c r="I265" s="1"/>
      <c r="L265" s="1"/>
      <c r="O265" s="1"/>
    </row>
    <row r="266" spans="9:15" x14ac:dyDescent="0.25">
      <c r="I266" s="1"/>
      <c r="L266" s="1"/>
      <c r="O266" s="1"/>
    </row>
    <row r="267" spans="9:15" x14ac:dyDescent="0.25">
      <c r="I267" s="1"/>
      <c r="L267" s="1"/>
      <c r="O267" s="1"/>
    </row>
    <row r="268" spans="9:15" x14ac:dyDescent="0.25">
      <c r="I268" s="1"/>
      <c r="L268" s="1"/>
      <c r="O268" s="1"/>
    </row>
    <row r="269" spans="9:15" x14ac:dyDescent="0.25">
      <c r="I269" s="1"/>
      <c r="L269" s="1"/>
      <c r="O269" s="1"/>
    </row>
    <row r="270" spans="9:15" x14ac:dyDescent="0.25">
      <c r="I270" s="1"/>
      <c r="L270" s="1"/>
      <c r="O270" s="1"/>
    </row>
    <row r="271" spans="9:15" x14ac:dyDescent="0.25">
      <c r="I271" s="1"/>
      <c r="L271" s="1"/>
      <c r="O271" s="1"/>
    </row>
    <row r="272" spans="9:15" x14ac:dyDescent="0.25">
      <c r="I272" s="1"/>
      <c r="L272" s="1"/>
      <c r="O272" s="1"/>
    </row>
    <row r="273" spans="9:15" x14ac:dyDescent="0.25">
      <c r="I273" s="1"/>
      <c r="L273" s="1"/>
      <c r="O273" s="1"/>
    </row>
    <row r="274" spans="9:15" x14ac:dyDescent="0.25">
      <c r="I274" s="1"/>
      <c r="L274" s="1"/>
      <c r="O274" s="1"/>
    </row>
    <row r="275" spans="9:15" x14ac:dyDescent="0.25">
      <c r="I275" s="1"/>
      <c r="L275" s="1"/>
      <c r="O275" s="1"/>
    </row>
    <row r="276" spans="9:15" x14ac:dyDescent="0.25">
      <c r="I276" s="1"/>
      <c r="L276" s="1"/>
      <c r="O276" s="1"/>
    </row>
    <row r="277" spans="9:15" x14ac:dyDescent="0.25">
      <c r="I277" s="1"/>
      <c r="L277" s="1"/>
      <c r="O277" s="1"/>
    </row>
    <row r="278" spans="9:15" x14ac:dyDescent="0.25">
      <c r="I278" s="1"/>
      <c r="L278" s="1"/>
      <c r="O278" s="1"/>
    </row>
    <row r="279" spans="9:15" x14ac:dyDescent="0.25">
      <c r="I279" s="1"/>
      <c r="L279" s="1"/>
      <c r="O279" s="1"/>
    </row>
    <row r="280" spans="9:15" x14ac:dyDescent="0.25">
      <c r="I280" s="1"/>
      <c r="L280" s="1"/>
      <c r="O280" s="1"/>
    </row>
    <row r="281" spans="9:15" x14ac:dyDescent="0.25">
      <c r="I281" s="1"/>
      <c r="L281" s="1"/>
      <c r="O281" s="1"/>
    </row>
    <row r="282" spans="9:15" x14ac:dyDescent="0.25">
      <c r="I282" s="1"/>
      <c r="L282" s="1"/>
      <c r="O282" s="1"/>
    </row>
    <row r="283" spans="9:15" x14ac:dyDescent="0.25">
      <c r="I283" s="1"/>
      <c r="L283" s="1"/>
      <c r="O283" s="1"/>
    </row>
    <row r="284" spans="9:15" x14ac:dyDescent="0.25">
      <c r="I284" s="1"/>
      <c r="L284" s="1"/>
      <c r="O284" s="1"/>
    </row>
    <row r="285" spans="9:15" x14ac:dyDescent="0.25">
      <c r="I285" s="1"/>
      <c r="L285" s="1"/>
      <c r="O285" s="1"/>
    </row>
    <row r="286" spans="9:15" x14ac:dyDescent="0.25">
      <c r="I286" s="1"/>
      <c r="L286" s="1"/>
      <c r="O286" s="1"/>
    </row>
    <row r="287" spans="9:15" x14ac:dyDescent="0.25">
      <c r="I287" s="1"/>
      <c r="L287" s="1"/>
      <c r="O287" s="1"/>
    </row>
    <row r="288" spans="9:15" x14ac:dyDescent="0.25">
      <c r="I288" s="1"/>
      <c r="L288" s="1"/>
      <c r="O288" s="1"/>
    </row>
    <row r="289" spans="9:15" x14ac:dyDescent="0.25">
      <c r="I289" s="1"/>
      <c r="L289" s="1"/>
      <c r="O289" s="1"/>
    </row>
    <row r="290" spans="9:15" x14ac:dyDescent="0.25">
      <c r="I290" s="1"/>
      <c r="L290" s="1"/>
      <c r="O290" s="1"/>
    </row>
    <row r="291" spans="9:15" x14ac:dyDescent="0.25">
      <c r="I291" s="1"/>
      <c r="L291" s="1"/>
      <c r="O291" s="1"/>
    </row>
    <row r="292" spans="9:15" x14ac:dyDescent="0.25">
      <c r="I292" s="1"/>
      <c r="L292" s="1"/>
      <c r="O292" s="1"/>
    </row>
    <row r="293" spans="9:15" x14ac:dyDescent="0.25">
      <c r="I293" s="1"/>
      <c r="L293" s="1"/>
      <c r="O293" s="1"/>
    </row>
    <row r="294" spans="9:15" x14ac:dyDescent="0.25">
      <c r="I294" s="1"/>
      <c r="L294" s="1"/>
      <c r="O294" s="1"/>
    </row>
    <row r="295" spans="9:15" x14ac:dyDescent="0.25">
      <c r="I295" s="1"/>
      <c r="L295" s="1"/>
      <c r="O295" s="1"/>
    </row>
    <row r="296" spans="9:15" x14ac:dyDescent="0.25">
      <c r="I296" s="1"/>
      <c r="L296" s="1"/>
      <c r="O296" s="1"/>
    </row>
    <row r="297" spans="9:15" x14ac:dyDescent="0.25">
      <c r="I297" s="1"/>
      <c r="L297" s="1"/>
      <c r="O297" s="1"/>
    </row>
    <row r="298" spans="9:15" x14ac:dyDescent="0.25">
      <c r="I298" s="1"/>
      <c r="L298" s="1"/>
      <c r="O298" s="1"/>
    </row>
    <row r="299" spans="9:15" x14ac:dyDescent="0.25">
      <c r="I299" s="1"/>
      <c r="L299" s="1"/>
      <c r="O299" s="1"/>
    </row>
    <row r="300" spans="9:15" x14ac:dyDescent="0.25">
      <c r="I300" s="1"/>
      <c r="L300" s="1"/>
      <c r="O300" s="1"/>
    </row>
    <row r="301" spans="9:15" x14ac:dyDescent="0.25">
      <c r="I301" s="1"/>
      <c r="L301" s="1"/>
      <c r="O301" s="1"/>
    </row>
    <row r="302" spans="9:15" x14ac:dyDescent="0.25">
      <c r="I302" s="1"/>
      <c r="L302" s="1"/>
      <c r="O302" s="1"/>
    </row>
    <row r="303" spans="9:15" x14ac:dyDescent="0.25">
      <c r="I303" s="1"/>
      <c r="L303" s="1"/>
      <c r="O303" s="1"/>
    </row>
    <row r="304" spans="9:15" x14ac:dyDescent="0.25">
      <c r="I304" s="1"/>
      <c r="L304" s="1"/>
      <c r="O304" s="1"/>
    </row>
    <row r="305" spans="9:15" x14ac:dyDescent="0.25">
      <c r="I305" s="1"/>
      <c r="L305" s="1"/>
      <c r="O305" s="1"/>
    </row>
    <row r="306" spans="9:15" x14ac:dyDescent="0.25">
      <c r="I306" s="1"/>
      <c r="L306" s="1"/>
      <c r="O306" s="1"/>
    </row>
    <row r="307" spans="9:15" x14ac:dyDescent="0.25">
      <c r="I307" s="1"/>
      <c r="L307" s="1"/>
      <c r="O307" s="1"/>
    </row>
    <row r="308" spans="9:15" x14ac:dyDescent="0.25">
      <c r="I308" s="1"/>
      <c r="L308" s="1"/>
      <c r="O308" s="1"/>
    </row>
    <row r="309" spans="9:15" x14ac:dyDescent="0.25">
      <c r="I309" s="1"/>
      <c r="L309" s="1"/>
      <c r="O309" s="1"/>
    </row>
    <row r="310" spans="9:15" x14ac:dyDescent="0.25">
      <c r="I310" s="1"/>
      <c r="L310" s="1"/>
      <c r="O310" s="1"/>
    </row>
    <row r="311" spans="9:15" x14ac:dyDescent="0.25">
      <c r="I311" s="1"/>
      <c r="L311" s="1"/>
      <c r="O311" s="1"/>
    </row>
    <row r="312" spans="9:15" x14ac:dyDescent="0.25">
      <c r="I312" s="1"/>
      <c r="L312" s="1"/>
      <c r="O312" s="1"/>
    </row>
    <row r="313" spans="9:15" x14ac:dyDescent="0.25">
      <c r="I313" s="1"/>
      <c r="L313" s="1"/>
      <c r="O313" s="1"/>
    </row>
    <row r="314" spans="9:15" x14ac:dyDescent="0.25">
      <c r="I314" s="1"/>
      <c r="L314" s="1"/>
      <c r="O314" s="1"/>
    </row>
    <row r="315" spans="9:15" x14ac:dyDescent="0.25">
      <c r="I315" s="1"/>
      <c r="L315" s="1"/>
      <c r="O315" s="1"/>
    </row>
    <row r="316" spans="9:15" x14ac:dyDescent="0.25">
      <c r="I316" s="1"/>
      <c r="L316" s="1"/>
      <c r="O316" s="1"/>
    </row>
    <row r="317" spans="9:15" x14ac:dyDescent="0.25">
      <c r="I317" s="1"/>
      <c r="L317" s="1"/>
      <c r="O317" s="1"/>
    </row>
    <row r="318" spans="9:15" x14ac:dyDescent="0.25">
      <c r="I318" s="1"/>
      <c r="L318" s="1"/>
      <c r="O318" s="1"/>
    </row>
    <row r="319" spans="9:15" x14ac:dyDescent="0.25">
      <c r="I319" s="1"/>
      <c r="L319" s="1"/>
      <c r="O319" s="1"/>
    </row>
    <row r="320" spans="9:15" x14ac:dyDescent="0.25">
      <c r="I320" s="1"/>
      <c r="L320" s="1"/>
      <c r="O320" s="1"/>
    </row>
    <row r="321" spans="9:15" x14ac:dyDescent="0.25">
      <c r="I321" s="1"/>
      <c r="L321" s="1"/>
      <c r="O321" s="1"/>
    </row>
    <row r="322" spans="9:15" x14ac:dyDescent="0.25">
      <c r="I322" s="1"/>
      <c r="L322" s="1"/>
      <c r="O322" s="1"/>
    </row>
    <row r="323" spans="9:15" x14ac:dyDescent="0.25">
      <c r="I323" s="1"/>
      <c r="L323" s="1"/>
      <c r="O323" s="1"/>
    </row>
    <row r="324" spans="9:15" x14ac:dyDescent="0.25">
      <c r="I324" s="1"/>
      <c r="L324" s="1"/>
      <c r="O324" s="1"/>
    </row>
    <row r="325" spans="9:15" x14ac:dyDescent="0.25">
      <c r="I325" s="1"/>
      <c r="L325" s="1"/>
      <c r="O325" s="1"/>
    </row>
  </sheetData>
  <autoFilter ref="A10:T62"/>
  <mergeCells count="20">
    <mergeCell ref="Q1:T1"/>
    <mergeCell ref="Q2:T2"/>
    <mergeCell ref="A3:Q3"/>
    <mergeCell ref="A5:R5"/>
    <mergeCell ref="A7:A9"/>
    <mergeCell ref="B7:B9"/>
    <mergeCell ref="C7:C9"/>
    <mergeCell ref="D7:D9"/>
    <mergeCell ref="E7:E9"/>
    <mergeCell ref="F7:F9"/>
    <mergeCell ref="G7:G9"/>
    <mergeCell ref="H7:J8"/>
    <mergeCell ref="K7:M8"/>
    <mergeCell ref="N7:P8"/>
    <mergeCell ref="Q7:Q9"/>
    <mergeCell ref="R7:R9"/>
    <mergeCell ref="S7:S9"/>
    <mergeCell ref="T7:T9"/>
    <mergeCell ref="V7:X8"/>
    <mergeCell ref="A11:T11"/>
  </mergeCells>
  <conditionalFormatting sqref="V11:X62">
    <cfRule type="expression" dxfId="2" priority="2">
      <formula>AND(V11&lt;-20,V11&lt;0)</formula>
    </cfRule>
    <cfRule type="expression" dxfId="1" priority="3">
      <formula>AND(V11&gt;20,V11&gt;0)</formula>
    </cfRule>
  </conditionalFormatting>
  <conditionalFormatting sqref="R12:R62">
    <cfRule type="cellIs" dxfId="0" priority="4" operator="greaterThan">
      <formula>0</formula>
    </cfRule>
  </conditionalFormatting>
  <pageMargins left="0.25" right="0.25" top="0.75" bottom="0.75" header="0.511811023622047" footer="0.511811023622047"/>
  <pageSetup paperSize="9" scale="35"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1241</TotalTime>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18</vt:i4>
      </vt:variant>
    </vt:vector>
  </HeadingPairs>
  <TitlesOfParts>
    <vt:vector size="25" baseType="lpstr">
      <vt:lpstr>не брать</vt:lpstr>
      <vt:lpstr>общий расчет1 </vt:lpstr>
      <vt:lpstr>общий расчет(до РГС)</vt:lpstr>
      <vt:lpstr>общий расчет (после РГС)...</vt:lpstr>
      <vt:lpstr>Материалы Подряд.+Давальч.мат</vt:lpstr>
      <vt:lpstr>Матер. и Оборуд</vt:lpstr>
      <vt:lpstr>Оборудование</vt:lpstr>
      <vt:lpstr>'Матер. и Оборуд'!_FilterDatabase</vt:lpstr>
      <vt:lpstr>'Материалы Подряд.+Давальч.мат'!_FilterDatabase</vt:lpstr>
      <vt:lpstr>'не брать'!_FilterDatabase</vt:lpstr>
      <vt:lpstr>Оборудование!_FilterDatabase</vt:lpstr>
      <vt:lpstr>'общий расчет (после РГС)...'!_FilterDatabase</vt:lpstr>
      <vt:lpstr>'общий расчет(до РГС)'!_FilterDatabase</vt:lpstr>
      <vt:lpstr>'общий расчет1 '!_FilterDatabase</vt:lpstr>
      <vt:lpstr>'не брать'!_ftnref1</vt:lpstr>
      <vt:lpstr>'общий расчет (после РГС)...'!_ftnref1</vt:lpstr>
      <vt:lpstr>'общий расчет(до РГС)'!_ftnref1</vt:lpstr>
      <vt:lpstr>'общий расчет1 '!_ftnref1</vt:lpstr>
      <vt:lpstr>'Матер. и Оборуд'!Print_Area</vt:lpstr>
      <vt:lpstr>'Материалы Подряд.+Давальч.мат'!Print_Area</vt:lpstr>
      <vt:lpstr>'не брать'!Print_Area</vt:lpstr>
      <vt:lpstr>Оборудование!Print_Area</vt:lpstr>
      <vt:lpstr>'общий расчет (после РГС)...'!Print_Area</vt:lpstr>
      <vt:lpstr>'общий расчет(до РГС)'!Print_Area</vt:lpstr>
      <vt:lpstr>'общий расчет1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Громова Ольга Сергеевна</dc:creator>
  <dc:description/>
  <cp:lastModifiedBy>Громова Ольга Сергеевна</cp:lastModifiedBy>
  <cp:revision>28</cp:revision>
  <dcterms:created xsi:type="dcterms:W3CDTF">2015-06-05T18:19:34Z</dcterms:created>
  <dcterms:modified xsi:type="dcterms:W3CDTF">2026-06-02T12:47:57Z</dcterms:modified>
  <dc:language>ru-RU</dc:language>
</cp:coreProperties>
</file>