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never" defaultThemeVersion="124226"/>
  <bookViews>
    <workbookView xWindow="240" yWindow="105" windowWidth="14805" windowHeight="8010" tabRatio="715" activeTab="2"/>
  </bookViews>
  <sheets>
    <sheet name="Данные " sheetId="2" r:id="rId1"/>
    <sheet name="РСС ИП " sheetId="3" r:id="rId2"/>
    <sheet name="Прогнозная стоимость РСС ИП " sheetId="4" r:id="rId3"/>
    <sheet name="УП " sheetId="5" r:id="rId4"/>
    <sheet name="Ф20 " sheetId="7" state="hidden" r:id="rId5"/>
    <sheet name="Т6 НС" sheetId="8" state="hidden" r:id="rId6"/>
    <sheet name="Контроль " sheetId="9" state="hidden" r:id="rId7"/>
    <sheet name="ССР позиции " sheetId="10" r:id="rId8"/>
    <sheet name="ССР " sheetId="11" r:id="rId9"/>
    <sheet name="Дефляторы" sheetId="6" r:id="rId10"/>
    <sheet name="Памятка " sheetId="1" state="hidden" r:id="rId11"/>
    <sheet name="Лот 1 " sheetId="14" state="hidden" r:id="rId12"/>
  </sheets>
  <externalReferences>
    <externalReference r:id="rId13"/>
  </externalReferences>
  <definedNames>
    <definedName name="_xlnm._FilterDatabase" localSheetId="1" hidden="1">'РСС ИП '!$A$12:$AD$1794</definedName>
    <definedName name="_xlnm.Print_Area" localSheetId="6">'Контроль '!$A$1:$N$18</definedName>
    <definedName name="_xlnm.Print_Area" localSheetId="2">'Прогнозная стоимость РСС ИП '!$A$1:$O$26</definedName>
    <definedName name="_xlnm.Print_Area" localSheetId="1">'РСС ИП '!$B$1:$V$1807</definedName>
    <definedName name="_xlnm.Print_Area" localSheetId="8">'ССР '!$A$1:$G$35</definedName>
    <definedName name="_xlnm.Print_Area" localSheetId="3">'УП '!$A$1:$J$33</definedName>
    <definedName name="_xlnm.Print_Area" localSheetId="4">'Ф20 '!$A$1:$X$23</definedName>
  </definedNames>
  <calcPr calcId="162913"/>
</workbook>
</file>

<file path=xl/calcChain.xml><?xml version="1.0" encoding="utf-8"?>
<calcChain xmlns="http://schemas.openxmlformats.org/spreadsheetml/2006/main">
  <c r="Q14" i="4" l="1"/>
  <c r="P11" i="4"/>
  <c r="P12" i="4"/>
  <c r="P13" i="4"/>
  <c r="P14" i="4"/>
  <c r="P15" i="4"/>
  <c r="P16" i="4"/>
  <c r="P17" i="4"/>
  <c r="P10" i="4"/>
  <c r="V9" i="10" l="1"/>
  <c r="P9" i="10"/>
  <c r="E4" i="3"/>
  <c r="L1623" i="3" l="1"/>
  <c r="M1623" i="3" s="1"/>
  <c r="T1623" i="3" s="1"/>
  <c r="U1623" i="3" s="1"/>
  <c r="L1619" i="3"/>
  <c r="L1621" i="3" s="1"/>
  <c r="M1621" i="3" s="1"/>
  <c r="T1621" i="3" s="1"/>
  <c r="U1621" i="3" s="1"/>
  <c r="M1618" i="3"/>
  <c r="T1618" i="3" s="1"/>
  <c r="U1618" i="3" s="1"/>
  <c r="S1615" i="3"/>
  <c r="R1615" i="3"/>
  <c r="Q1615" i="3"/>
  <c r="M1619" i="3" l="1"/>
  <c r="T1619" i="3" s="1"/>
  <c r="U1619" i="3" s="1"/>
  <c r="L1620" i="3"/>
  <c r="M1620" i="3" s="1"/>
  <c r="T1620" i="3" s="1"/>
  <c r="U1620" i="3" s="1"/>
  <c r="Z1618" i="3"/>
  <c r="AC1621" i="3"/>
  <c r="AD1623" i="3"/>
  <c r="G107" i="6"/>
  <c r="F107" i="6"/>
  <c r="E107" i="6"/>
  <c r="D107" i="6"/>
  <c r="C107" i="6"/>
  <c r="C106" i="6"/>
  <c r="H92" i="6"/>
  <c r="I92" i="6" s="1"/>
  <c r="D12" i="6"/>
  <c r="E12" i="6" s="1"/>
  <c r="L1615" i="3" l="1"/>
  <c r="AB1620" i="3"/>
  <c r="AA1619" i="3"/>
  <c r="E106" i="6"/>
  <c r="F12" i="6"/>
  <c r="J92" i="6"/>
  <c r="J107" i="6" s="1"/>
  <c r="I107" i="6"/>
  <c r="D106" i="6"/>
  <c r="H107" i="6"/>
  <c r="L1596" i="3"/>
  <c r="M1596" i="3" s="1"/>
  <c r="L1592" i="3"/>
  <c r="L1593" i="3" s="1"/>
  <c r="M1593" i="3" s="1"/>
  <c r="M1591" i="3"/>
  <c r="T1615" i="3" l="1"/>
  <c r="U1615" i="3" s="1"/>
  <c r="M1615" i="3"/>
  <c r="F106" i="6"/>
  <c r="G12" i="6"/>
  <c r="L1594" i="3"/>
  <c r="M1594" i="3" s="1"/>
  <c r="L1588" i="3"/>
  <c r="M1588" i="3" s="1"/>
  <c r="M1592" i="3"/>
  <c r="L255" i="3"/>
  <c r="M255" i="3" s="1"/>
  <c r="T255" i="3" s="1"/>
  <c r="L251" i="3"/>
  <c r="L253" i="3" s="1"/>
  <c r="M253" i="3" s="1"/>
  <c r="T253" i="3" s="1"/>
  <c r="M250" i="3"/>
  <c r="T250" i="3" s="1"/>
  <c r="S247" i="3"/>
  <c r="R247" i="3"/>
  <c r="Q247" i="3"/>
  <c r="W1615" i="3" l="1"/>
  <c r="X1615" i="3"/>
  <c r="H12" i="6"/>
  <c r="G106" i="6"/>
  <c r="Z250" i="3"/>
  <c r="U250" i="3"/>
  <c r="AC253" i="3"/>
  <c r="U253" i="3"/>
  <c r="AD255" i="3"/>
  <c r="U255" i="3"/>
  <c r="M251" i="3"/>
  <c r="T251" i="3" s="1"/>
  <c r="L252" i="3"/>
  <c r="M252" i="3" s="1"/>
  <c r="T252" i="3" s="1"/>
  <c r="L247" i="3"/>
  <c r="L84" i="3"/>
  <c r="M84" i="3" s="1"/>
  <c r="T84" i="3" s="1"/>
  <c r="L80" i="3"/>
  <c r="L82" i="3" s="1"/>
  <c r="M79" i="3"/>
  <c r="T79" i="3" s="1"/>
  <c r="S76" i="3"/>
  <c r="R76" i="3"/>
  <c r="Q76" i="3"/>
  <c r="I12" i="6" l="1"/>
  <c r="H106" i="6"/>
  <c r="T247" i="3"/>
  <c r="M247" i="3"/>
  <c r="U251" i="3"/>
  <c r="AA251" i="3"/>
  <c r="AB252" i="3"/>
  <c r="U252" i="3"/>
  <c r="M82" i="3"/>
  <c r="T82" i="3" s="1"/>
  <c r="Z79" i="3"/>
  <c r="U79" i="3"/>
  <c r="AC82" i="3"/>
  <c r="U82" i="3"/>
  <c r="AD84" i="3"/>
  <c r="U84" i="3"/>
  <c r="M80" i="3"/>
  <c r="T80" i="3" s="1"/>
  <c r="L81" i="3"/>
  <c r="M81" i="3" s="1"/>
  <c r="T81" i="3" s="1"/>
  <c r="R1807" i="3"/>
  <c r="I106" i="6" l="1"/>
  <c r="J12" i="6"/>
  <c r="J106" i="6" s="1"/>
  <c r="W247" i="3"/>
  <c r="U247" i="3"/>
  <c r="X247" i="3" s="1"/>
  <c r="AB81" i="3"/>
  <c r="U81" i="3"/>
  <c r="U80" i="3"/>
  <c r="AA80" i="3"/>
  <c r="L76" i="3"/>
  <c r="L1632" i="3"/>
  <c r="M1632" i="3" s="1"/>
  <c r="T1632" i="3" s="1"/>
  <c r="L1628" i="3"/>
  <c r="L1629" i="3" s="1"/>
  <c r="M1627" i="3"/>
  <c r="T1627" i="3" s="1"/>
  <c r="S1624" i="3"/>
  <c r="R1624" i="3"/>
  <c r="Q1624" i="3"/>
  <c r="L345" i="3"/>
  <c r="M345" i="3" s="1"/>
  <c r="T345" i="3" s="1"/>
  <c r="L341" i="3"/>
  <c r="M341" i="3" s="1"/>
  <c r="T341" i="3" s="1"/>
  <c r="M340" i="3"/>
  <c r="T340" i="3" s="1"/>
  <c r="S337" i="3"/>
  <c r="R337" i="3"/>
  <c r="Q337" i="3"/>
  <c r="L336" i="3"/>
  <c r="M336" i="3" s="1"/>
  <c r="T336" i="3" s="1"/>
  <c r="L332" i="3"/>
  <c r="L334" i="3" s="1"/>
  <c r="M331" i="3"/>
  <c r="T331" i="3" s="1"/>
  <c r="S328" i="3"/>
  <c r="R328" i="3"/>
  <c r="Q328" i="3"/>
  <c r="T76" i="3" l="1"/>
  <c r="M76" i="3"/>
  <c r="L333" i="3"/>
  <c r="L342" i="3"/>
  <c r="L1630" i="3"/>
  <c r="M1630" i="3" s="1"/>
  <c r="T1630" i="3" s="1"/>
  <c r="L343" i="3"/>
  <c r="M343" i="3" s="1"/>
  <c r="T343" i="3" s="1"/>
  <c r="Z1627" i="3"/>
  <c r="U1627" i="3"/>
  <c r="AD1632" i="3"/>
  <c r="U1632" i="3"/>
  <c r="M1628" i="3"/>
  <c r="T1628" i="3" s="1"/>
  <c r="M1629" i="3"/>
  <c r="T1629" i="3" s="1"/>
  <c r="Z340" i="3"/>
  <c r="U340" i="3"/>
  <c r="U341" i="3"/>
  <c r="AA341" i="3"/>
  <c r="AD345" i="3"/>
  <c r="U345" i="3"/>
  <c r="M342" i="3"/>
  <c r="T342" i="3" s="1"/>
  <c r="M334" i="3"/>
  <c r="T334" i="3" s="1"/>
  <c r="AC334" i="3" s="1"/>
  <c r="Z331" i="3"/>
  <c r="U331" i="3"/>
  <c r="U334" i="3"/>
  <c r="AD336" i="3"/>
  <c r="U336" i="3"/>
  <c r="M332" i="3"/>
  <c r="T332" i="3" s="1"/>
  <c r="M333" i="3"/>
  <c r="T333" i="3" s="1"/>
  <c r="W76" i="3" l="1"/>
  <c r="U76" i="3"/>
  <c r="X76" i="3" s="1"/>
  <c r="AC1630" i="3"/>
  <c r="U1630" i="3"/>
  <c r="U1629" i="3"/>
  <c r="AB1629" i="3"/>
  <c r="U1628" i="3"/>
  <c r="AA1628" i="3"/>
  <c r="L1624" i="3"/>
  <c r="U343" i="3"/>
  <c r="AC343" i="3"/>
  <c r="U342" i="3"/>
  <c r="AB342" i="3"/>
  <c r="L337" i="3"/>
  <c r="AB333" i="3"/>
  <c r="U333" i="3"/>
  <c r="U332" i="3"/>
  <c r="AA332" i="3"/>
  <c r="L328" i="3"/>
  <c r="L399" i="3"/>
  <c r="M399" i="3" s="1"/>
  <c r="T399" i="3" s="1"/>
  <c r="L395" i="3"/>
  <c r="M394" i="3"/>
  <c r="T394" i="3" s="1"/>
  <c r="S391" i="3"/>
  <c r="R391" i="3"/>
  <c r="Q391" i="3"/>
  <c r="L219" i="3"/>
  <c r="M219" i="3" s="1"/>
  <c r="T219" i="3" s="1"/>
  <c r="L215" i="3"/>
  <c r="L216" i="3" s="1"/>
  <c r="M214" i="3"/>
  <c r="T214" i="3" s="1"/>
  <c r="S211" i="3"/>
  <c r="R211" i="3"/>
  <c r="Q211" i="3"/>
  <c r="L210" i="3"/>
  <c r="M210" i="3" s="1"/>
  <c r="T210" i="3" s="1"/>
  <c r="L206" i="3"/>
  <c r="M205" i="3"/>
  <c r="T205" i="3" s="1"/>
  <c r="S202" i="3"/>
  <c r="R202" i="3"/>
  <c r="Q202" i="3"/>
  <c r="L201" i="3"/>
  <c r="M201" i="3" s="1"/>
  <c r="T201" i="3" s="1"/>
  <c r="L197" i="3"/>
  <c r="L198" i="3" s="1"/>
  <c r="M196" i="3"/>
  <c r="T196" i="3" s="1"/>
  <c r="S193" i="3"/>
  <c r="R193" i="3"/>
  <c r="Q193" i="3"/>
  <c r="T1624" i="3" l="1"/>
  <c r="M1624" i="3"/>
  <c r="T337" i="3"/>
  <c r="M337" i="3"/>
  <c r="T328" i="3"/>
  <c r="M328" i="3"/>
  <c r="L207" i="3"/>
  <c r="L199" i="3"/>
  <c r="L217" i="3"/>
  <c r="L397" i="3"/>
  <c r="M397" i="3" s="1"/>
  <c r="T397" i="3" s="1"/>
  <c r="AC397" i="3" s="1"/>
  <c r="L208" i="3"/>
  <c r="M208" i="3" s="1"/>
  <c r="T208" i="3" s="1"/>
  <c r="AC208" i="3" s="1"/>
  <c r="Z394" i="3"/>
  <c r="U394" i="3"/>
  <c r="AD399" i="3"/>
  <c r="U399" i="3"/>
  <c r="M395" i="3"/>
  <c r="T395" i="3" s="1"/>
  <c r="L396" i="3"/>
  <c r="M396" i="3" s="1"/>
  <c r="T396" i="3" s="1"/>
  <c r="M217" i="3"/>
  <c r="T217" i="3" s="1"/>
  <c r="U217" i="3" s="1"/>
  <c r="M216" i="3"/>
  <c r="T216" i="3" s="1"/>
  <c r="M207" i="3"/>
  <c r="T207" i="3" s="1"/>
  <c r="M199" i="3"/>
  <c r="T199" i="3" s="1"/>
  <c r="AC199" i="3" s="1"/>
  <c r="Z214" i="3"/>
  <c r="U214" i="3"/>
  <c r="U210" i="3"/>
  <c r="AD210" i="3"/>
  <c r="U205" i="3"/>
  <c r="Z205" i="3"/>
  <c r="AD219" i="3"/>
  <c r="U219" i="3"/>
  <c r="L211" i="3"/>
  <c r="M215" i="3"/>
  <c r="T215" i="3" s="1"/>
  <c r="M206" i="3"/>
  <c r="T206" i="3" s="1"/>
  <c r="Z196" i="3"/>
  <c r="U196" i="3"/>
  <c r="AD201" i="3"/>
  <c r="U201" i="3"/>
  <c r="M197" i="3"/>
  <c r="T197" i="3" s="1"/>
  <c r="M198" i="3"/>
  <c r="T198" i="3" s="1"/>
  <c r="W1624" i="3" l="1"/>
  <c r="U1624" i="3"/>
  <c r="X1624" i="3" s="1"/>
  <c r="W337" i="3"/>
  <c r="U337" i="3"/>
  <c r="X337" i="3" s="1"/>
  <c r="W328" i="3"/>
  <c r="U328" i="3"/>
  <c r="X328" i="3" s="1"/>
  <c r="AC217" i="3"/>
  <c r="U199" i="3"/>
  <c r="U397" i="3"/>
  <c r="U396" i="3"/>
  <c r="AB396" i="3"/>
  <c r="U395" i="3"/>
  <c r="AA395" i="3"/>
  <c r="L391" i="3"/>
  <c r="U208" i="3"/>
  <c r="L202" i="3"/>
  <c r="T202" i="3" s="1"/>
  <c r="L193" i="3"/>
  <c r="T193" i="3" s="1"/>
  <c r="AB207" i="3"/>
  <c r="U207" i="3"/>
  <c r="T211" i="3"/>
  <c r="M211" i="3"/>
  <c r="U216" i="3"/>
  <c r="AB216" i="3"/>
  <c r="AA206" i="3"/>
  <c r="U206" i="3"/>
  <c r="U215" i="3"/>
  <c r="AA215" i="3"/>
  <c r="U197" i="3"/>
  <c r="AA197" i="3"/>
  <c r="AB198" i="3"/>
  <c r="U198" i="3"/>
  <c r="M202" i="3" l="1"/>
  <c r="M193" i="3"/>
  <c r="T391" i="3"/>
  <c r="M391" i="3"/>
  <c r="W202" i="3"/>
  <c r="U202" i="3"/>
  <c r="X202" i="3" s="1"/>
  <c r="W211" i="3"/>
  <c r="U211" i="3"/>
  <c r="X211" i="3" s="1"/>
  <c r="W193" i="3"/>
  <c r="U193" i="3"/>
  <c r="X193" i="3" s="1"/>
  <c r="W391" i="3" l="1"/>
  <c r="U391" i="3"/>
  <c r="X391" i="3" s="1"/>
  <c r="L192" i="3" l="1"/>
  <c r="M192" i="3" s="1"/>
  <c r="T192" i="3" s="1"/>
  <c r="L188" i="3"/>
  <c r="M187" i="3"/>
  <c r="T187" i="3" s="1"/>
  <c r="S184" i="3"/>
  <c r="R184" i="3"/>
  <c r="Q184" i="3"/>
  <c r="L1542" i="3"/>
  <c r="M1542" i="3" s="1"/>
  <c r="T1542" i="3" s="1"/>
  <c r="L1538" i="3"/>
  <c r="M1537" i="3"/>
  <c r="T1537" i="3" s="1"/>
  <c r="S1534" i="3"/>
  <c r="R1534" i="3"/>
  <c r="Q1534" i="3"/>
  <c r="L1533" i="3"/>
  <c r="M1533" i="3" s="1"/>
  <c r="T1533" i="3" s="1"/>
  <c r="L1529" i="3"/>
  <c r="M1528" i="3"/>
  <c r="T1528" i="3" s="1"/>
  <c r="S1525" i="3"/>
  <c r="R1525" i="3"/>
  <c r="Q1525" i="3"/>
  <c r="L1524" i="3"/>
  <c r="M1524" i="3" s="1"/>
  <c r="T1524" i="3" s="1"/>
  <c r="L1520" i="3"/>
  <c r="M1519" i="3"/>
  <c r="T1519" i="3" s="1"/>
  <c r="S1516" i="3"/>
  <c r="R1516" i="3"/>
  <c r="Q1516" i="3"/>
  <c r="L1515" i="3"/>
  <c r="M1515" i="3" s="1"/>
  <c r="T1515" i="3" s="1"/>
  <c r="L1511" i="3"/>
  <c r="M1510" i="3"/>
  <c r="T1510" i="3" s="1"/>
  <c r="S1507" i="3"/>
  <c r="R1507" i="3"/>
  <c r="Q1507" i="3"/>
  <c r="L1506" i="3"/>
  <c r="L1502" i="3"/>
  <c r="M1501" i="3"/>
  <c r="T1501" i="3" s="1"/>
  <c r="S1498" i="3"/>
  <c r="R1498" i="3"/>
  <c r="Q1498" i="3"/>
  <c r="L1497" i="3"/>
  <c r="M1497" i="3" s="1"/>
  <c r="T1497" i="3" s="1"/>
  <c r="L1493" i="3"/>
  <c r="M1492" i="3"/>
  <c r="T1492" i="3" s="1"/>
  <c r="S1489" i="3"/>
  <c r="R1489" i="3"/>
  <c r="Q1489" i="3"/>
  <c r="L1488" i="3"/>
  <c r="M1488" i="3" s="1"/>
  <c r="T1488" i="3" s="1"/>
  <c r="L1484" i="3"/>
  <c r="M1483" i="3"/>
  <c r="T1483" i="3" s="1"/>
  <c r="S1480" i="3"/>
  <c r="R1480" i="3"/>
  <c r="Q1480" i="3"/>
  <c r="L1470" i="3"/>
  <c r="M1470" i="3" s="1"/>
  <c r="T1470" i="3" s="1"/>
  <c r="L1466" i="3"/>
  <c r="M1465" i="3"/>
  <c r="T1465" i="3" s="1"/>
  <c r="S1462" i="3"/>
  <c r="R1462" i="3"/>
  <c r="Q1462" i="3"/>
  <c r="L1485" i="3" l="1"/>
  <c r="L1504" i="3"/>
  <c r="L190" i="3"/>
  <c r="M190" i="3" s="1"/>
  <c r="T190" i="3" s="1"/>
  <c r="AC190" i="3" s="1"/>
  <c r="L189" i="3"/>
  <c r="M189" i="3" s="1"/>
  <c r="T189" i="3" s="1"/>
  <c r="Z187" i="3"/>
  <c r="U187" i="3"/>
  <c r="AD192" i="3"/>
  <c r="U192" i="3"/>
  <c r="M188" i="3"/>
  <c r="T188" i="3" s="1"/>
  <c r="L1521" i="3"/>
  <c r="L1467" i="3"/>
  <c r="L1494" i="3"/>
  <c r="M1494" i="3" s="1"/>
  <c r="T1494" i="3" s="1"/>
  <c r="L1513" i="3"/>
  <c r="M1513" i="3" s="1"/>
  <c r="T1513" i="3" s="1"/>
  <c r="L1531" i="3"/>
  <c r="M1531" i="3" s="1"/>
  <c r="T1531" i="3" s="1"/>
  <c r="U1531" i="3" s="1"/>
  <c r="L1495" i="3"/>
  <c r="M1495" i="3" s="1"/>
  <c r="T1495" i="3" s="1"/>
  <c r="L1522" i="3"/>
  <c r="M1522" i="3" s="1"/>
  <c r="T1522" i="3" s="1"/>
  <c r="L1468" i="3"/>
  <c r="M1468" i="3" s="1"/>
  <c r="T1468" i="3" s="1"/>
  <c r="L1486" i="3"/>
  <c r="M1486" i="3" s="1"/>
  <c r="T1486" i="3" s="1"/>
  <c r="L1540" i="3"/>
  <c r="M1540" i="3" s="1"/>
  <c r="T1540" i="3" s="1"/>
  <c r="M1504" i="3"/>
  <c r="T1504" i="3" s="1"/>
  <c r="AC1504" i="3" s="1"/>
  <c r="L1503" i="3"/>
  <c r="M1503" i="3" s="1"/>
  <c r="T1503" i="3" s="1"/>
  <c r="AB1503" i="3" s="1"/>
  <c r="Z1537" i="3"/>
  <c r="U1537" i="3"/>
  <c r="AD1542" i="3"/>
  <c r="U1542" i="3"/>
  <c r="M1538" i="3"/>
  <c r="T1538" i="3" s="1"/>
  <c r="L1539" i="3"/>
  <c r="M1539" i="3" s="1"/>
  <c r="T1539" i="3" s="1"/>
  <c r="Z1528" i="3"/>
  <c r="U1528" i="3"/>
  <c r="AD1533" i="3"/>
  <c r="U1533" i="3"/>
  <c r="M1529" i="3"/>
  <c r="T1529" i="3" s="1"/>
  <c r="L1530" i="3"/>
  <c r="M1530" i="3" s="1"/>
  <c r="T1530" i="3" s="1"/>
  <c r="Z1519" i="3"/>
  <c r="U1519" i="3"/>
  <c r="AD1524" i="3"/>
  <c r="U1524" i="3"/>
  <c r="M1520" i="3"/>
  <c r="T1520" i="3" s="1"/>
  <c r="M1521" i="3"/>
  <c r="T1521" i="3" s="1"/>
  <c r="U1501" i="3"/>
  <c r="Z1501" i="3"/>
  <c r="Z1510" i="3"/>
  <c r="U1510" i="3"/>
  <c r="AD1515" i="3"/>
  <c r="U1515" i="3"/>
  <c r="M1506" i="3"/>
  <c r="T1506" i="3" s="1"/>
  <c r="M1511" i="3"/>
  <c r="T1511" i="3" s="1"/>
  <c r="L1512" i="3"/>
  <c r="M1512" i="3" s="1"/>
  <c r="T1512" i="3" s="1"/>
  <c r="M1502" i="3"/>
  <c r="T1502" i="3" s="1"/>
  <c r="Z1492" i="3"/>
  <c r="U1492" i="3"/>
  <c r="AD1497" i="3"/>
  <c r="U1497" i="3"/>
  <c r="M1493" i="3"/>
  <c r="T1493" i="3" s="1"/>
  <c r="Z1483" i="3"/>
  <c r="U1483" i="3"/>
  <c r="AD1488" i="3"/>
  <c r="U1488" i="3"/>
  <c r="M1484" i="3"/>
  <c r="T1484" i="3" s="1"/>
  <c r="M1485" i="3"/>
  <c r="T1485" i="3" s="1"/>
  <c r="Z1465" i="3"/>
  <c r="U1465" i="3"/>
  <c r="AD1470" i="3"/>
  <c r="U1470" i="3"/>
  <c r="M1466" i="3"/>
  <c r="T1466" i="3" s="1"/>
  <c r="M1467" i="3"/>
  <c r="T1467" i="3" s="1"/>
  <c r="L1461" i="3"/>
  <c r="M1461" i="3" s="1"/>
  <c r="T1461" i="3" s="1"/>
  <c r="L1457" i="3"/>
  <c r="M1456" i="3"/>
  <c r="T1456" i="3" s="1"/>
  <c r="S1453" i="3"/>
  <c r="R1453" i="3"/>
  <c r="Q1453" i="3"/>
  <c r="L1452" i="3"/>
  <c r="M1452" i="3" s="1"/>
  <c r="T1452" i="3" s="1"/>
  <c r="L1448" i="3"/>
  <c r="M1447" i="3"/>
  <c r="T1447" i="3" s="1"/>
  <c r="S1444" i="3"/>
  <c r="R1444" i="3"/>
  <c r="Q1444" i="3"/>
  <c r="L1443" i="3"/>
  <c r="L1439" i="3"/>
  <c r="M1438" i="3"/>
  <c r="T1438" i="3" s="1"/>
  <c r="S1435" i="3"/>
  <c r="R1435" i="3"/>
  <c r="Q1435" i="3"/>
  <c r="L1434" i="3"/>
  <c r="M1434" i="3" s="1"/>
  <c r="T1434" i="3" s="1"/>
  <c r="L1430" i="3"/>
  <c r="M1429" i="3"/>
  <c r="T1429" i="3" s="1"/>
  <c r="S1426" i="3"/>
  <c r="R1426" i="3"/>
  <c r="Q1426" i="3"/>
  <c r="L1425" i="3"/>
  <c r="M1425" i="3" s="1"/>
  <c r="T1425" i="3" s="1"/>
  <c r="L1421" i="3"/>
  <c r="M1420" i="3"/>
  <c r="T1420" i="3" s="1"/>
  <c r="S1417" i="3"/>
  <c r="R1417" i="3"/>
  <c r="Q1417" i="3"/>
  <c r="L1416" i="3"/>
  <c r="M1416" i="3" s="1"/>
  <c r="T1416" i="3" s="1"/>
  <c r="L1412" i="3"/>
  <c r="M1411" i="3"/>
  <c r="T1411" i="3" s="1"/>
  <c r="S1408" i="3"/>
  <c r="R1408" i="3"/>
  <c r="Q1408" i="3"/>
  <c r="L1407" i="3"/>
  <c r="M1407" i="3" s="1"/>
  <c r="T1407" i="3" s="1"/>
  <c r="L1403" i="3"/>
  <c r="M1402" i="3"/>
  <c r="T1402" i="3" s="1"/>
  <c r="S1399" i="3"/>
  <c r="R1399" i="3"/>
  <c r="Q1399" i="3"/>
  <c r="U190" i="3" l="1"/>
  <c r="U189" i="3"/>
  <c r="AB189" i="3"/>
  <c r="U188" i="3"/>
  <c r="AA188" i="3"/>
  <c r="L184" i="3"/>
  <c r="AC1531" i="3"/>
  <c r="U1522" i="3"/>
  <c r="AC1522" i="3"/>
  <c r="L1498" i="3"/>
  <c r="T1498" i="3" s="1"/>
  <c r="U1495" i="3"/>
  <c r="AC1495" i="3"/>
  <c r="AC1513" i="3"/>
  <c r="U1513" i="3"/>
  <c r="U1504" i="3"/>
  <c r="AC1486" i="3"/>
  <c r="U1486" i="3"/>
  <c r="U1540" i="3"/>
  <c r="AC1540" i="3"/>
  <c r="L1449" i="3"/>
  <c r="L1450" i="3"/>
  <c r="L1405" i="3"/>
  <c r="M1405" i="3" s="1"/>
  <c r="T1405" i="3" s="1"/>
  <c r="L1404" i="3"/>
  <c r="L1432" i="3"/>
  <c r="M1432" i="3" s="1"/>
  <c r="T1432" i="3" s="1"/>
  <c r="L1423" i="3"/>
  <c r="M1423" i="3" s="1"/>
  <c r="T1423" i="3" s="1"/>
  <c r="L1440" i="3"/>
  <c r="M1440" i="3" s="1"/>
  <c r="T1440" i="3" s="1"/>
  <c r="AB1440" i="3" s="1"/>
  <c r="L1441" i="3"/>
  <c r="L1459" i="3"/>
  <c r="U1503" i="3"/>
  <c r="L1414" i="3"/>
  <c r="M1414" i="3" s="1"/>
  <c r="T1414" i="3" s="1"/>
  <c r="AC1414" i="3" s="1"/>
  <c r="M1441" i="3"/>
  <c r="T1441" i="3" s="1"/>
  <c r="AC1441" i="3" s="1"/>
  <c r="L1480" i="3"/>
  <c r="M1480" i="3" s="1"/>
  <c r="U1539" i="3"/>
  <c r="AB1539" i="3"/>
  <c r="U1538" i="3"/>
  <c r="AA1538" i="3"/>
  <c r="L1534" i="3"/>
  <c r="AB1530" i="3"/>
  <c r="U1530" i="3"/>
  <c r="U1529" i="3"/>
  <c r="AA1529" i="3"/>
  <c r="L1525" i="3"/>
  <c r="AB1521" i="3"/>
  <c r="U1521" i="3"/>
  <c r="U1520" i="3"/>
  <c r="AA1520" i="3"/>
  <c r="L1516" i="3"/>
  <c r="U1511" i="3"/>
  <c r="AA1511" i="3"/>
  <c r="U1502" i="3"/>
  <c r="AA1502" i="3"/>
  <c r="L1507" i="3"/>
  <c r="AB1512" i="3"/>
  <c r="U1512" i="3"/>
  <c r="U1506" i="3"/>
  <c r="AD1506" i="3"/>
  <c r="U1494" i="3"/>
  <c r="AB1494" i="3"/>
  <c r="U1493" i="3"/>
  <c r="AA1493" i="3"/>
  <c r="L1489" i="3"/>
  <c r="AB1485" i="3"/>
  <c r="U1485" i="3"/>
  <c r="T1480" i="3"/>
  <c r="U1484" i="3"/>
  <c r="AA1484" i="3"/>
  <c r="U1468" i="3"/>
  <c r="AC1468" i="3"/>
  <c r="U1466" i="3"/>
  <c r="AA1466" i="3"/>
  <c r="AB1467" i="3"/>
  <c r="U1467" i="3"/>
  <c r="L1462" i="3"/>
  <c r="M1459" i="3"/>
  <c r="T1459" i="3" s="1"/>
  <c r="AC1459" i="3" s="1"/>
  <c r="M1450" i="3"/>
  <c r="T1450" i="3" s="1"/>
  <c r="AC1450" i="3" s="1"/>
  <c r="Z1456" i="3"/>
  <c r="U1456" i="3"/>
  <c r="AD1461" i="3"/>
  <c r="U1461" i="3"/>
  <c r="M1457" i="3"/>
  <c r="T1457" i="3" s="1"/>
  <c r="L1458" i="3"/>
  <c r="M1458" i="3" s="1"/>
  <c r="T1458" i="3" s="1"/>
  <c r="U1438" i="3"/>
  <c r="Z1438" i="3"/>
  <c r="Z1447" i="3"/>
  <c r="U1447" i="3"/>
  <c r="AD1452" i="3"/>
  <c r="U1452" i="3"/>
  <c r="M1443" i="3"/>
  <c r="T1443" i="3" s="1"/>
  <c r="M1448" i="3"/>
  <c r="T1448" i="3" s="1"/>
  <c r="M1449" i="3"/>
  <c r="T1449" i="3" s="1"/>
  <c r="M1439" i="3"/>
  <c r="T1439" i="3" s="1"/>
  <c r="Z1429" i="3"/>
  <c r="U1429" i="3"/>
  <c r="AD1434" i="3"/>
  <c r="U1434" i="3"/>
  <c r="M1430" i="3"/>
  <c r="T1430" i="3" s="1"/>
  <c r="L1431" i="3"/>
  <c r="M1431" i="3" s="1"/>
  <c r="T1431" i="3" s="1"/>
  <c r="Z1420" i="3"/>
  <c r="U1420" i="3"/>
  <c r="AD1425" i="3"/>
  <c r="U1425" i="3"/>
  <c r="M1421" i="3"/>
  <c r="T1421" i="3" s="1"/>
  <c r="L1422" i="3"/>
  <c r="M1422" i="3" s="1"/>
  <c r="T1422" i="3" s="1"/>
  <c r="Z1411" i="3"/>
  <c r="U1411" i="3"/>
  <c r="AD1416" i="3"/>
  <c r="U1416" i="3"/>
  <c r="M1412" i="3"/>
  <c r="T1412" i="3" s="1"/>
  <c r="L1413" i="3"/>
  <c r="M1413" i="3" s="1"/>
  <c r="T1413" i="3" s="1"/>
  <c r="Z1402" i="3"/>
  <c r="U1402" i="3"/>
  <c r="AD1407" i="3"/>
  <c r="U1407" i="3"/>
  <c r="M1403" i="3"/>
  <c r="T1403" i="3" s="1"/>
  <c r="M1404" i="3"/>
  <c r="T1404" i="3" s="1"/>
  <c r="L1380" i="3"/>
  <c r="M1380" i="3" s="1"/>
  <c r="T1380" i="3" s="1"/>
  <c r="L1376" i="3"/>
  <c r="M1375" i="3"/>
  <c r="T1375" i="3" s="1"/>
  <c r="S1372" i="3"/>
  <c r="R1372" i="3"/>
  <c r="Q1372" i="3"/>
  <c r="L1371" i="3"/>
  <c r="M1371" i="3" s="1"/>
  <c r="T1371" i="3" s="1"/>
  <c r="L1367" i="3"/>
  <c r="M1366" i="3"/>
  <c r="T1366" i="3" s="1"/>
  <c r="S1363" i="3"/>
  <c r="R1363" i="3"/>
  <c r="Q1363" i="3"/>
  <c r="L1362" i="3"/>
  <c r="M1362" i="3" s="1"/>
  <c r="T1362" i="3" s="1"/>
  <c r="L1358" i="3"/>
  <c r="M1357" i="3"/>
  <c r="T1357" i="3" s="1"/>
  <c r="S1354" i="3"/>
  <c r="R1354" i="3"/>
  <c r="Q1354" i="3"/>
  <c r="L1353" i="3"/>
  <c r="M1353" i="3" s="1"/>
  <c r="T1353" i="3" s="1"/>
  <c r="L1349" i="3"/>
  <c r="M1348" i="3"/>
  <c r="T1348" i="3" s="1"/>
  <c r="Z1348" i="3" s="1"/>
  <c r="S1345" i="3"/>
  <c r="R1345" i="3"/>
  <c r="Q1345" i="3"/>
  <c r="L1398" i="3"/>
  <c r="M1398" i="3" s="1"/>
  <c r="T1398" i="3" s="1"/>
  <c r="L1394" i="3"/>
  <c r="M1393" i="3"/>
  <c r="T1393" i="3" s="1"/>
  <c r="S1390" i="3"/>
  <c r="R1390" i="3"/>
  <c r="Q1390" i="3"/>
  <c r="L1389" i="3"/>
  <c r="L1385" i="3"/>
  <c r="M1384" i="3"/>
  <c r="T1384" i="3" s="1"/>
  <c r="S1381" i="3"/>
  <c r="R1381" i="3"/>
  <c r="Q1381" i="3"/>
  <c r="L1344" i="3"/>
  <c r="M1344" i="3" s="1"/>
  <c r="T1344" i="3" s="1"/>
  <c r="L1340" i="3"/>
  <c r="M1339" i="3"/>
  <c r="T1339" i="3" s="1"/>
  <c r="S1336" i="3"/>
  <c r="R1336" i="3"/>
  <c r="Q1336" i="3"/>
  <c r="U1441" i="3" l="1"/>
  <c r="U1450" i="3"/>
  <c r="L1360" i="3"/>
  <c r="L1378" i="3"/>
  <c r="T184" i="3"/>
  <c r="M184" i="3"/>
  <c r="M1498" i="3"/>
  <c r="U1440" i="3"/>
  <c r="U1414" i="3"/>
  <c r="L1435" i="3"/>
  <c r="T1435" i="3" s="1"/>
  <c r="U1405" i="3"/>
  <c r="AC1405" i="3"/>
  <c r="AC1432" i="3"/>
  <c r="U1432" i="3"/>
  <c r="L1341" i="3"/>
  <c r="L1387" i="3"/>
  <c r="L1386" i="3"/>
  <c r="L1351" i="3"/>
  <c r="U1459" i="3"/>
  <c r="M1349" i="3"/>
  <c r="T1349" i="3" s="1"/>
  <c r="T1534" i="3"/>
  <c r="M1534" i="3"/>
  <c r="T1525" i="3"/>
  <c r="M1525" i="3"/>
  <c r="T1516" i="3"/>
  <c r="M1516" i="3"/>
  <c r="W1498" i="3"/>
  <c r="U1498" i="3"/>
  <c r="X1498" i="3" s="1"/>
  <c r="T1507" i="3"/>
  <c r="M1507" i="3"/>
  <c r="T1489" i="3"/>
  <c r="M1489" i="3"/>
  <c r="W1480" i="3"/>
  <c r="U1480" i="3"/>
  <c r="X1480" i="3" s="1"/>
  <c r="T1462" i="3"/>
  <c r="M1462" i="3"/>
  <c r="AC1423" i="3"/>
  <c r="U1423" i="3"/>
  <c r="AB1458" i="3"/>
  <c r="U1458" i="3"/>
  <c r="U1457" i="3"/>
  <c r="AA1457" i="3"/>
  <c r="L1453" i="3"/>
  <c r="AB1449" i="3"/>
  <c r="U1449" i="3"/>
  <c r="U1439" i="3"/>
  <c r="AA1439" i="3"/>
  <c r="L1444" i="3"/>
  <c r="U1448" i="3"/>
  <c r="AA1448" i="3"/>
  <c r="M1435" i="3"/>
  <c r="U1443" i="3"/>
  <c r="AD1443" i="3"/>
  <c r="AB1431" i="3"/>
  <c r="U1431" i="3"/>
  <c r="U1430" i="3"/>
  <c r="AA1430" i="3"/>
  <c r="L1426" i="3"/>
  <c r="AB1422" i="3"/>
  <c r="U1422" i="3"/>
  <c r="U1421" i="3"/>
  <c r="AA1421" i="3"/>
  <c r="L1417" i="3"/>
  <c r="U1412" i="3"/>
  <c r="AA1412" i="3"/>
  <c r="U1413" i="3"/>
  <c r="AB1413" i="3"/>
  <c r="L1408" i="3"/>
  <c r="U1404" i="3"/>
  <c r="AB1404" i="3"/>
  <c r="U1403" i="3"/>
  <c r="AA1403" i="3"/>
  <c r="L1399" i="3"/>
  <c r="L1396" i="3"/>
  <c r="M1396" i="3" s="1"/>
  <c r="T1396" i="3" s="1"/>
  <c r="M1389" i="3"/>
  <c r="T1389" i="3" s="1"/>
  <c r="AD1389" i="3" s="1"/>
  <c r="M1387" i="3"/>
  <c r="T1387" i="3" s="1"/>
  <c r="U1387" i="3" s="1"/>
  <c r="M1378" i="3"/>
  <c r="T1378" i="3" s="1"/>
  <c r="AC1378" i="3" s="1"/>
  <c r="L1369" i="3"/>
  <c r="M1369" i="3"/>
  <c r="T1369" i="3" s="1"/>
  <c r="U1369" i="3" s="1"/>
  <c r="L1359" i="3"/>
  <c r="M1359" i="3" s="1"/>
  <c r="T1359" i="3" s="1"/>
  <c r="AB1359" i="3" s="1"/>
  <c r="M1360" i="3"/>
  <c r="T1360" i="3" s="1"/>
  <c r="AC1360" i="3" s="1"/>
  <c r="L1350" i="3"/>
  <c r="M1350" i="3" s="1"/>
  <c r="T1350" i="3" s="1"/>
  <c r="U1350" i="3" s="1"/>
  <c r="M1351" i="3"/>
  <c r="T1351" i="3" s="1"/>
  <c r="U1371" i="3"/>
  <c r="AD1371" i="3"/>
  <c r="U1362" i="3"/>
  <c r="AD1362" i="3"/>
  <c r="U1366" i="3"/>
  <c r="Z1366" i="3"/>
  <c r="Z1375" i="3"/>
  <c r="U1375" i="3"/>
  <c r="AA1349" i="3"/>
  <c r="U1349" i="3"/>
  <c r="U1378" i="3"/>
  <c r="AD1353" i="3"/>
  <c r="U1353" i="3"/>
  <c r="U1357" i="3"/>
  <c r="Z1357" i="3"/>
  <c r="AD1380" i="3"/>
  <c r="U1380" i="3"/>
  <c r="U1348" i="3"/>
  <c r="M1376" i="3"/>
  <c r="T1376" i="3" s="1"/>
  <c r="L1377" i="3"/>
  <c r="M1377" i="3" s="1"/>
  <c r="T1377" i="3" s="1"/>
  <c r="M1367" i="3"/>
  <c r="T1367" i="3" s="1"/>
  <c r="L1368" i="3"/>
  <c r="M1358" i="3"/>
  <c r="T1358" i="3" s="1"/>
  <c r="Z1393" i="3"/>
  <c r="U1393" i="3"/>
  <c r="AD1398" i="3"/>
  <c r="U1398" i="3"/>
  <c r="M1394" i="3"/>
  <c r="T1394" i="3" s="1"/>
  <c r="L1395" i="3"/>
  <c r="M1395" i="3" s="1"/>
  <c r="T1395" i="3" s="1"/>
  <c r="Z1384" i="3"/>
  <c r="U1384" i="3"/>
  <c r="M1385" i="3"/>
  <c r="T1385" i="3" s="1"/>
  <c r="M1386" i="3"/>
  <c r="T1386" i="3" s="1"/>
  <c r="L1342" i="3"/>
  <c r="M1342" i="3" s="1"/>
  <c r="T1342" i="3" s="1"/>
  <c r="Z1339" i="3"/>
  <c r="U1339" i="3"/>
  <c r="AD1344" i="3"/>
  <c r="U1344" i="3"/>
  <c r="M1340" i="3"/>
  <c r="T1340" i="3" s="1"/>
  <c r="M1341" i="3"/>
  <c r="T1341" i="3" s="1"/>
  <c r="L1335" i="3"/>
  <c r="M1335" i="3" s="1"/>
  <c r="T1335" i="3" s="1"/>
  <c r="L1331" i="3"/>
  <c r="M1330" i="3"/>
  <c r="T1330" i="3" s="1"/>
  <c r="S1327" i="3"/>
  <c r="R1327" i="3"/>
  <c r="Q1327" i="3"/>
  <c r="L1326" i="3"/>
  <c r="M1326" i="3" s="1"/>
  <c r="T1326" i="3" s="1"/>
  <c r="L1322" i="3"/>
  <c r="M1321" i="3"/>
  <c r="T1321" i="3" s="1"/>
  <c r="S1318" i="3"/>
  <c r="R1318" i="3"/>
  <c r="Q1318" i="3"/>
  <c r="L1479" i="3"/>
  <c r="M1479" i="3" s="1"/>
  <c r="T1479" i="3" s="1"/>
  <c r="L1317" i="3"/>
  <c r="L1308" i="3"/>
  <c r="M1308" i="3" s="1"/>
  <c r="T1308" i="3" s="1"/>
  <c r="L1299" i="3"/>
  <c r="L1475" i="3"/>
  <c r="L1313" i="3"/>
  <c r="L1314" i="3" s="1"/>
  <c r="L1304" i="3"/>
  <c r="L1306" i="3" s="1"/>
  <c r="L1295" i="3"/>
  <c r="L1297" i="3" s="1"/>
  <c r="M1303" i="3"/>
  <c r="T1303" i="3" s="1"/>
  <c r="S1300" i="3"/>
  <c r="R1300" i="3"/>
  <c r="Q1300" i="3"/>
  <c r="M1294" i="3"/>
  <c r="T1294" i="3" s="1"/>
  <c r="S1291" i="3"/>
  <c r="R1291" i="3"/>
  <c r="Q1291" i="3"/>
  <c r="M1474" i="3"/>
  <c r="T1474" i="3" s="1"/>
  <c r="S1471" i="3"/>
  <c r="R1471" i="3"/>
  <c r="Q1471" i="3"/>
  <c r="M1312" i="3"/>
  <c r="T1312" i="3" s="1"/>
  <c r="S1309" i="3"/>
  <c r="R1309" i="3"/>
  <c r="Q1309" i="3"/>
  <c r="U1360" i="3" l="1"/>
  <c r="W184" i="3"/>
  <c r="U184" i="3"/>
  <c r="X184" i="3" s="1"/>
  <c r="U1359" i="3"/>
  <c r="AC1387" i="3"/>
  <c r="L1324" i="3"/>
  <c r="L1354" i="3"/>
  <c r="M1354" i="3" s="1"/>
  <c r="U1342" i="3"/>
  <c r="AC1342" i="3"/>
  <c r="L1323" i="3"/>
  <c r="L1296" i="3"/>
  <c r="M1296" i="3" s="1"/>
  <c r="T1296" i="3" s="1"/>
  <c r="L1332" i="3"/>
  <c r="L1333" i="3"/>
  <c r="U1389" i="3"/>
  <c r="AC1369" i="3"/>
  <c r="AB1350" i="3"/>
  <c r="L1345" i="3"/>
  <c r="T1345" i="3" s="1"/>
  <c r="W1534" i="3"/>
  <c r="U1534" i="3"/>
  <c r="X1534" i="3" s="1"/>
  <c r="W1525" i="3"/>
  <c r="U1525" i="3"/>
  <c r="X1525" i="3" s="1"/>
  <c r="W1516" i="3"/>
  <c r="U1516" i="3"/>
  <c r="X1516" i="3" s="1"/>
  <c r="W1507" i="3"/>
  <c r="U1507" i="3"/>
  <c r="X1507" i="3" s="1"/>
  <c r="W1489" i="3"/>
  <c r="U1489" i="3"/>
  <c r="X1489" i="3" s="1"/>
  <c r="L1477" i="3"/>
  <c r="M1477" i="3" s="1"/>
  <c r="T1477" i="3" s="1"/>
  <c r="L1476" i="3"/>
  <c r="M1476" i="3" s="1"/>
  <c r="T1476" i="3" s="1"/>
  <c r="W1462" i="3"/>
  <c r="U1462" i="3"/>
  <c r="X1462" i="3" s="1"/>
  <c r="T1453" i="3"/>
  <c r="M1453" i="3"/>
  <c r="W1435" i="3"/>
  <c r="U1435" i="3"/>
  <c r="X1435" i="3" s="1"/>
  <c r="T1444" i="3"/>
  <c r="M1444" i="3"/>
  <c r="T1426" i="3"/>
  <c r="M1426" i="3"/>
  <c r="T1417" i="3"/>
  <c r="M1417" i="3"/>
  <c r="T1408" i="3"/>
  <c r="M1408" i="3"/>
  <c r="T1399" i="3"/>
  <c r="M1399" i="3"/>
  <c r="U1396" i="3"/>
  <c r="AC1396" i="3"/>
  <c r="M1368" i="3"/>
  <c r="T1368" i="3" s="1"/>
  <c r="L1363" i="3"/>
  <c r="U1376" i="3"/>
  <c r="AA1376" i="3"/>
  <c r="AC1351" i="3"/>
  <c r="U1351" i="3"/>
  <c r="AA1358" i="3"/>
  <c r="U1358" i="3"/>
  <c r="U1377" i="3"/>
  <c r="AB1377" i="3"/>
  <c r="AA1367" i="3"/>
  <c r="U1367" i="3"/>
  <c r="L1372" i="3"/>
  <c r="M1345" i="3"/>
  <c r="U1395" i="3"/>
  <c r="AB1395" i="3"/>
  <c r="U1394" i="3"/>
  <c r="AA1394" i="3"/>
  <c r="L1390" i="3"/>
  <c r="AB1386" i="3"/>
  <c r="U1386" i="3"/>
  <c r="U1385" i="3"/>
  <c r="AA1385" i="3"/>
  <c r="L1381" i="3"/>
  <c r="U1340" i="3"/>
  <c r="AA1340" i="3"/>
  <c r="U1341" i="3"/>
  <c r="AB1341" i="3"/>
  <c r="L1336" i="3"/>
  <c r="M1333" i="3"/>
  <c r="T1333" i="3" s="1"/>
  <c r="AC1333" i="3" s="1"/>
  <c r="Z1330" i="3"/>
  <c r="U1330" i="3"/>
  <c r="AD1335" i="3"/>
  <c r="U1335" i="3"/>
  <c r="M1331" i="3"/>
  <c r="T1331" i="3" s="1"/>
  <c r="M1332" i="3"/>
  <c r="T1332" i="3" s="1"/>
  <c r="M1324" i="3"/>
  <c r="T1324" i="3" s="1"/>
  <c r="AC1324" i="3" s="1"/>
  <c r="L1315" i="3"/>
  <c r="M1315" i="3" s="1"/>
  <c r="T1315" i="3" s="1"/>
  <c r="L1305" i="3"/>
  <c r="M1305" i="3" s="1"/>
  <c r="T1305" i="3" s="1"/>
  <c r="Z1321" i="3"/>
  <c r="U1321" i="3"/>
  <c r="AD1326" i="3"/>
  <c r="U1326" i="3"/>
  <c r="M1322" i="3"/>
  <c r="T1322" i="3" s="1"/>
  <c r="M1323" i="3"/>
  <c r="T1323" i="3" s="1"/>
  <c r="M1299" i="3"/>
  <c r="T1299" i="3" s="1"/>
  <c r="U1299" i="3" s="1"/>
  <c r="M1317" i="3"/>
  <c r="T1317" i="3" s="1"/>
  <c r="U1317" i="3" s="1"/>
  <c r="M1306" i="3"/>
  <c r="T1306" i="3" s="1"/>
  <c r="U1306" i="3" s="1"/>
  <c r="M1297" i="3"/>
  <c r="T1297" i="3" s="1"/>
  <c r="AC1297" i="3" s="1"/>
  <c r="Z1303" i="3"/>
  <c r="U1303" i="3"/>
  <c r="AC1306" i="3"/>
  <c r="AD1308" i="3"/>
  <c r="U1308" i="3"/>
  <c r="M1304" i="3"/>
  <c r="T1304" i="3" s="1"/>
  <c r="Z1294" i="3"/>
  <c r="U1294" i="3"/>
  <c r="AD1299" i="3"/>
  <c r="M1295" i="3"/>
  <c r="T1295" i="3" s="1"/>
  <c r="Z1474" i="3"/>
  <c r="U1474" i="3"/>
  <c r="U1312" i="3"/>
  <c r="Z1312" i="3"/>
  <c r="AD1479" i="3"/>
  <c r="U1479" i="3"/>
  <c r="M1475" i="3"/>
  <c r="T1475" i="3" s="1"/>
  <c r="M1313" i="3"/>
  <c r="T1313" i="3" s="1"/>
  <c r="L390" i="3"/>
  <c r="M390" i="3" s="1"/>
  <c r="T390" i="3" s="1"/>
  <c r="L386" i="3"/>
  <c r="M385" i="3"/>
  <c r="T385" i="3" s="1"/>
  <c r="S382" i="3"/>
  <c r="R382" i="3"/>
  <c r="Q382" i="3"/>
  <c r="L381" i="3"/>
  <c r="M381" i="3" s="1"/>
  <c r="T381" i="3" s="1"/>
  <c r="L377" i="3"/>
  <c r="M376" i="3"/>
  <c r="T376" i="3" s="1"/>
  <c r="S373" i="3"/>
  <c r="R373" i="3"/>
  <c r="Q373" i="3"/>
  <c r="L372" i="3"/>
  <c r="M372" i="3" s="1"/>
  <c r="T372" i="3" s="1"/>
  <c r="L368" i="3"/>
  <c r="M367" i="3"/>
  <c r="T367" i="3" s="1"/>
  <c r="S364" i="3"/>
  <c r="R364" i="3"/>
  <c r="Q364" i="3"/>
  <c r="L363" i="3"/>
  <c r="M363" i="3" s="1"/>
  <c r="T363" i="3" s="1"/>
  <c r="L359" i="3"/>
  <c r="M358" i="3"/>
  <c r="T358" i="3" s="1"/>
  <c r="S355" i="3"/>
  <c r="R355" i="3"/>
  <c r="Q355" i="3"/>
  <c r="T1354" i="3" l="1"/>
  <c r="U1333" i="3"/>
  <c r="L378" i="3"/>
  <c r="U1324" i="3"/>
  <c r="L370" i="3"/>
  <c r="M370" i="3" s="1"/>
  <c r="T370" i="3" s="1"/>
  <c r="AC370" i="3" s="1"/>
  <c r="AC1477" i="3"/>
  <c r="U1477" i="3"/>
  <c r="W1453" i="3"/>
  <c r="U1453" i="3"/>
  <c r="X1453" i="3" s="1"/>
  <c r="W1444" i="3"/>
  <c r="U1444" i="3"/>
  <c r="X1444" i="3" s="1"/>
  <c r="W1426" i="3"/>
  <c r="U1426" i="3"/>
  <c r="X1426" i="3" s="1"/>
  <c r="W1417" i="3"/>
  <c r="U1417" i="3"/>
  <c r="X1417" i="3" s="1"/>
  <c r="W1408" i="3"/>
  <c r="U1408" i="3"/>
  <c r="X1408" i="3" s="1"/>
  <c r="W1399" i="3"/>
  <c r="U1399" i="3"/>
  <c r="X1399" i="3" s="1"/>
  <c r="T1372" i="3"/>
  <c r="M1372" i="3"/>
  <c r="W1345" i="3"/>
  <c r="U1345" i="3"/>
  <c r="X1345" i="3" s="1"/>
  <c r="AB1368" i="3"/>
  <c r="U1368" i="3"/>
  <c r="W1354" i="3"/>
  <c r="U1354" i="3"/>
  <c r="X1354" i="3" s="1"/>
  <c r="T1363" i="3"/>
  <c r="M1363" i="3"/>
  <c r="T1390" i="3"/>
  <c r="M1390" i="3"/>
  <c r="T1381" i="3"/>
  <c r="M1381" i="3"/>
  <c r="T1336" i="3"/>
  <c r="M1336" i="3"/>
  <c r="U1332" i="3"/>
  <c r="AB1332" i="3"/>
  <c r="U1331" i="3"/>
  <c r="AA1331" i="3"/>
  <c r="L1327" i="3"/>
  <c r="AC1315" i="3"/>
  <c r="U1315" i="3"/>
  <c r="AD1317" i="3"/>
  <c r="AB1323" i="3"/>
  <c r="U1323" i="3"/>
  <c r="U1322" i="3"/>
  <c r="AA1322" i="3"/>
  <c r="L1318" i="3"/>
  <c r="U1297" i="3"/>
  <c r="L1300" i="3"/>
  <c r="M1300" i="3" s="1"/>
  <c r="U1305" i="3"/>
  <c r="AB1305" i="3"/>
  <c r="U1304" i="3"/>
  <c r="AA1304" i="3"/>
  <c r="AB1296" i="3"/>
  <c r="U1296" i="3"/>
  <c r="U1295" i="3"/>
  <c r="AA1295" i="3"/>
  <c r="L1291" i="3"/>
  <c r="U1313" i="3"/>
  <c r="AA1313" i="3"/>
  <c r="U1475" i="3"/>
  <c r="AA1475" i="3"/>
  <c r="AB1476" i="3"/>
  <c r="U1476" i="3"/>
  <c r="M1314" i="3"/>
  <c r="T1314" i="3" s="1"/>
  <c r="L1309" i="3"/>
  <c r="L1471" i="3"/>
  <c r="L379" i="3"/>
  <c r="M379" i="3" s="1"/>
  <c r="T379" i="3" s="1"/>
  <c r="L388" i="3"/>
  <c r="M388" i="3" s="1"/>
  <c r="T388" i="3" s="1"/>
  <c r="U388" i="3" s="1"/>
  <c r="Z385" i="3"/>
  <c r="U385" i="3"/>
  <c r="AD390" i="3"/>
  <c r="U390" i="3"/>
  <c r="M386" i="3"/>
  <c r="T386" i="3" s="1"/>
  <c r="L387" i="3"/>
  <c r="M387" i="3" s="1"/>
  <c r="T387" i="3" s="1"/>
  <c r="L361" i="3"/>
  <c r="M361" i="3" s="1"/>
  <c r="T361" i="3" s="1"/>
  <c r="U361" i="3" s="1"/>
  <c r="Z376" i="3"/>
  <c r="U376" i="3"/>
  <c r="AD381" i="3"/>
  <c r="U381" i="3"/>
  <c r="M377" i="3"/>
  <c r="T377" i="3" s="1"/>
  <c r="M378" i="3"/>
  <c r="T378" i="3" s="1"/>
  <c r="Z367" i="3"/>
  <c r="U367" i="3"/>
  <c r="AD372" i="3"/>
  <c r="U372" i="3"/>
  <c r="M368" i="3"/>
  <c r="T368" i="3" s="1"/>
  <c r="L369" i="3"/>
  <c r="M369" i="3" s="1"/>
  <c r="T369" i="3" s="1"/>
  <c r="Z358" i="3"/>
  <c r="U358" i="3"/>
  <c r="AD363" i="3"/>
  <c r="U363" i="3"/>
  <c r="M359" i="3"/>
  <c r="T359" i="3" s="1"/>
  <c r="L360" i="3"/>
  <c r="M360" i="3" s="1"/>
  <c r="T360" i="3" s="1"/>
  <c r="U379" i="3" l="1"/>
  <c r="AC379" i="3"/>
  <c r="T1300" i="3"/>
  <c r="W1300" i="3" s="1"/>
  <c r="AC388" i="3"/>
  <c r="W1363" i="3"/>
  <c r="U1363" i="3"/>
  <c r="X1363" i="3" s="1"/>
  <c r="W1372" i="3"/>
  <c r="U1372" i="3"/>
  <c r="X1372" i="3" s="1"/>
  <c r="W1390" i="3"/>
  <c r="U1390" i="3"/>
  <c r="X1390" i="3" s="1"/>
  <c r="W1381" i="3"/>
  <c r="U1381" i="3"/>
  <c r="X1381" i="3" s="1"/>
  <c r="W1336" i="3"/>
  <c r="U1336" i="3"/>
  <c r="X1336" i="3" s="1"/>
  <c r="T1327" i="3"/>
  <c r="M1327" i="3"/>
  <c r="T1318" i="3"/>
  <c r="M1318" i="3"/>
  <c r="T1291" i="3"/>
  <c r="M1291" i="3"/>
  <c r="T1471" i="3"/>
  <c r="M1471" i="3"/>
  <c r="T1309" i="3"/>
  <c r="M1309" i="3"/>
  <c r="AB1314" i="3"/>
  <c r="U1314" i="3"/>
  <c r="U370" i="3"/>
  <c r="AC361" i="3"/>
  <c r="L373" i="3"/>
  <c r="M373" i="3" s="1"/>
  <c r="U387" i="3"/>
  <c r="AB387" i="3"/>
  <c r="U386" i="3"/>
  <c r="AA386" i="3"/>
  <c r="L382" i="3"/>
  <c r="U378" i="3"/>
  <c r="AB378" i="3"/>
  <c r="U377" i="3"/>
  <c r="AA377" i="3"/>
  <c r="U369" i="3"/>
  <c r="AB369" i="3"/>
  <c r="U368" i="3"/>
  <c r="AA368" i="3"/>
  <c r="L364" i="3"/>
  <c r="U359" i="3"/>
  <c r="AA359" i="3"/>
  <c r="U360" i="3"/>
  <c r="AB360" i="3"/>
  <c r="L355" i="3"/>
  <c r="U1300" i="3" l="1"/>
  <c r="X1300" i="3" s="1"/>
  <c r="W1327" i="3"/>
  <c r="U1327" i="3"/>
  <c r="X1327" i="3" s="1"/>
  <c r="W1318" i="3"/>
  <c r="U1318" i="3"/>
  <c r="X1318" i="3" s="1"/>
  <c r="W1291" i="3"/>
  <c r="U1291" i="3"/>
  <c r="X1291" i="3" s="1"/>
  <c r="W1309" i="3"/>
  <c r="U1309" i="3"/>
  <c r="X1309" i="3" s="1"/>
  <c r="W1471" i="3"/>
  <c r="U1471" i="3"/>
  <c r="X1471" i="3" s="1"/>
  <c r="T373" i="3"/>
  <c r="U373" i="3" s="1"/>
  <c r="X373" i="3" s="1"/>
  <c r="T382" i="3"/>
  <c r="M382" i="3"/>
  <c r="T364" i="3"/>
  <c r="M364" i="3"/>
  <c r="T355" i="3"/>
  <c r="M355" i="3"/>
  <c r="W373" i="3" l="1"/>
  <c r="W382" i="3"/>
  <c r="U382" i="3"/>
  <c r="X382" i="3" s="1"/>
  <c r="W364" i="3"/>
  <c r="U364" i="3"/>
  <c r="X364" i="3" s="1"/>
  <c r="W355" i="3"/>
  <c r="U355" i="3"/>
  <c r="X355" i="3" s="1"/>
  <c r="L89" i="3" l="1"/>
  <c r="L1794" i="3" l="1"/>
  <c r="L1785" i="3"/>
  <c r="L1776" i="3"/>
  <c r="L1767" i="3"/>
  <c r="L1758" i="3"/>
  <c r="L1749" i="3"/>
  <c r="L1740" i="3"/>
  <c r="L1731" i="3"/>
  <c r="M1731" i="3" s="1"/>
  <c r="T1731" i="3" s="1"/>
  <c r="L1722" i="3"/>
  <c r="L1713" i="3"/>
  <c r="L1704" i="3"/>
  <c r="L1695" i="3"/>
  <c r="M1695" i="3" s="1"/>
  <c r="T1695" i="3" s="1"/>
  <c r="L1686" i="3"/>
  <c r="L1677" i="3"/>
  <c r="L1668" i="3"/>
  <c r="L1659" i="3"/>
  <c r="L1650" i="3"/>
  <c r="L1641" i="3"/>
  <c r="L1614" i="3"/>
  <c r="L1605" i="3"/>
  <c r="M1605" i="3" s="1"/>
  <c r="T1605" i="3" s="1"/>
  <c r="L1587" i="3"/>
  <c r="L1578" i="3"/>
  <c r="L1569" i="3"/>
  <c r="L1560" i="3"/>
  <c r="L1551" i="3"/>
  <c r="L1290" i="3"/>
  <c r="L1281" i="3"/>
  <c r="M1281" i="3" s="1"/>
  <c r="T1281" i="3" s="1"/>
  <c r="AD1281" i="3" s="1"/>
  <c r="L1272" i="3"/>
  <c r="L1263" i="3"/>
  <c r="L1254" i="3"/>
  <c r="L1245" i="3"/>
  <c r="M1245" i="3" s="1"/>
  <c r="T1245" i="3" s="1"/>
  <c r="L1236" i="3"/>
  <c r="L1227" i="3"/>
  <c r="L1218" i="3"/>
  <c r="L1209" i="3"/>
  <c r="L1200" i="3"/>
  <c r="L1191" i="3"/>
  <c r="L1182" i="3"/>
  <c r="L1173" i="3"/>
  <c r="L1164" i="3"/>
  <c r="L1155" i="3"/>
  <c r="L1146" i="3"/>
  <c r="L1137" i="3"/>
  <c r="L1128" i="3"/>
  <c r="L1119" i="3"/>
  <c r="L1110" i="3"/>
  <c r="L1101" i="3"/>
  <c r="M1101" i="3" s="1"/>
  <c r="T1101" i="3" s="1"/>
  <c r="L1092" i="3"/>
  <c r="L1083" i="3"/>
  <c r="L1074" i="3"/>
  <c r="L1065" i="3"/>
  <c r="M1065" i="3" s="1"/>
  <c r="T1065" i="3" s="1"/>
  <c r="L1056" i="3"/>
  <c r="L1047" i="3"/>
  <c r="L1038" i="3"/>
  <c r="L1029" i="3"/>
  <c r="M1029" i="3" s="1"/>
  <c r="T1029" i="3" s="1"/>
  <c r="AD1029" i="3" s="1"/>
  <c r="L1020" i="3"/>
  <c r="L1011" i="3"/>
  <c r="L1002" i="3"/>
  <c r="L993" i="3"/>
  <c r="M993" i="3" s="1"/>
  <c r="T993" i="3" s="1"/>
  <c r="L984" i="3"/>
  <c r="L975" i="3"/>
  <c r="L966" i="3"/>
  <c r="L957" i="3"/>
  <c r="L948" i="3"/>
  <c r="L939" i="3"/>
  <c r="L930" i="3"/>
  <c r="L921" i="3"/>
  <c r="M921" i="3" s="1"/>
  <c r="T921" i="3" s="1"/>
  <c r="L912" i="3"/>
  <c r="L903" i="3"/>
  <c r="L894" i="3"/>
  <c r="L885" i="3"/>
  <c r="M885" i="3" s="1"/>
  <c r="T885" i="3" s="1"/>
  <c r="U885" i="3" s="1"/>
  <c r="L876" i="3"/>
  <c r="L867" i="3"/>
  <c r="L858" i="3"/>
  <c r="L849" i="3"/>
  <c r="M849" i="3" s="1"/>
  <c r="T849" i="3" s="1"/>
  <c r="L840" i="3"/>
  <c r="L831" i="3"/>
  <c r="L822" i="3"/>
  <c r="L813" i="3"/>
  <c r="M813" i="3" s="1"/>
  <c r="T813" i="3" s="1"/>
  <c r="L804" i="3"/>
  <c r="L795" i="3"/>
  <c r="L786" i="3"/>
  <c r="L777" i="3"/>
  <c r="M777" i="3" s="1"/>
  <c r="T777" i="3" s="1"/>
  <c r="L768" i="3"/>
  <c r="L759" i="3"/>
  <c r="L750" i="3"/>
  <c r="L741" i="3"/>
  <c r="M741" i="3" s="1"/>
  <c r="T741" i="3" s="1"/>
  <c r="L732" i="3"/>
  <c r="L723" i="3"/>
  <c r="L714" i="3"/>
  <c r="L705" i="3"/>
  <c r="M705" i="3" s="1"/>
  <c r="T705" i="3" s="1"/>
  <c r="L696" i="3"/>
  <c r="L687" i="3"/>
  <c r="L678" i="3"/>
  <c r="L669" i="3"/>
  <c r="M669" i="3" s="1"/>
  <c r="T669" i="3" s="1"/>
  <c r="L660" i="3"/>
  <c r="L651" i="3"/>
  <c r="L642" i="3"/>
  <c r="L633" i="3"/>
  <c r="M633" i="3" s="1"/>
  <c r="T633" i="3" s="1"/>
  <c r="L624" i="3"/>
  <c r="L615" i="3"/>
  <c r="L606" i="3"/>
  <c r="L597" i="3"/>
  <c r="L588" i="3"/>
  <c r="L579" i="3"/>
  <c r="L570" i="3"/>
  <c r="L561" i="3"/>
  <c r="L552" i="3"/>
  <c r="L543" i="3"/>
  <c r="L534" i="3"/>
  <c r="L525" i="3"/>
  <c r="L516" i="3"/>
  <c r="L507" i="3"/>
  <c r="L498" i="3"/>
  <c r="L462" i="3"/>
  <c r="L453" i="3"/>
  <c r="M453" i="3" s="1"/>
  <c r="T453" i="3" s="1"/>
  <c r="L444" i="3"/>
  <c r="L426" i="3"/>
  <c r="L417" i="3"/>
  <c r="L408" i="3"/>
  <c r="L354" i="3"/>
  <c r="L327" i="3"/>
  <c r="M327" i="3" s="1"/>
  <c r="T327" i="3" s="1"/>
  <c r="AD327" i="3" s="1"/>
  <c r="L318" i="3"/>
  <c r="L309" i="3"/>
  <c r="L300" i="3"/>
  <c r="L291" i="3"/>
  <c r="M291" i="3" s="1"/>
  <c r="T291" i="3" s="1"/>
  <c r="L282" i="3"/>
  <c r="L273" i="3"/>
  <c r="L264" i="3"/>
  <c r="L246" i="3"/>
  <c r="M246" i="3" s="1"/>
  <c r="T246" i="3" s="1"/>
  <c r="L237" i="3"/>
  <c r="L228" i="3"/>
  <c r="L183" i="3"/>
  <c r="L174" i="3"/>
  <c r="L165" i="3"/>
  <c r="L156" i="3"/>
  <c r="L147" i="3"/>
  <c r="L138" i="3"/>
  <c r="L129" i="3"/>
  <c r="L120" i="3"/>
  <c r="L111" i="3"/>
  <c r="L102" i="3"/>
  <c r="M102" i="3" s="1"/>
  <c r="T102" i="3" s="1"/>
  <c r="L93" i="3"/>
  <c r="L75" i="3"/>
  <c r="L66" i="3"/>
  <c r="L57" i="3"/>
  <c r="L48" i="3"/>
  <c r="L39" i="3"/>
  <c r="L30" i="3"/>
  <c r="L21" i="3"/>
  <c r="M1794" i="3"/>
  <c r="T1794" i="3" s="1"/>
  <c r="L1790" i="3"/>
  <c r="M1789" i="3"/>
  <c r="T1789" i="3" s="1"/>
  <c r="S1786" i="3"/>
  <c r="R1786" i="3"/>
  <c r="Q1786" i="3"/>
  <c r="M1785" i="3"/>
  <c r="T1785" i="3" s="1"/>
  <c r="L1781" i="3"/>
  <c r="M1780" i="3"/>
  <c r="T1780" i="3" s="1"/>
  <c r="U1780" i="3" s="1"/>
  <c r="S1777" i="3"/>
  <c r="R1777" i="3"/>
  <c r="Q1777" i="3"/>
  <c r="M1776" i="3"/>
  <c r="T1776" i="3" s="1"/>
  <c r="AD1776" i="3" s="1"/>
  <c r="L1772" i="3"/>
  <c r="M1771" i="3"/>
  <c r="T1771" i="3" s="1"/>
  <c r="Z1771" i="3" s="1"/>
  <c r="S1768" i="3"/>
  <c r="R1768" i="3"/>
  <c r="Q1768" i="3"/>
  <c r="L1763" i="3"/>
  <c r="M1762" i="3"/>
  <c r="T1762" i="3" s="1"/>
  <c r="S1759" i="3"/>
  <c r="R1759" i="3"/>
  <c r="Q1759" i="3"/>
  <c r="M1758" i="3"/>
  <c r="T1758" i="3" s="1"/>
  <c r="L1754" i="3"/>
  <c r="L1756" i="3" s="1"/>
  <c r="M1753" i="3"/>
  <c r="T1753" i="3" s="1"/>
  <c r="S1750" i="3"/>
  <c r="R1750" i="3"/>
  <c r="Q1750" i="3"/>
  <c r="M1749" i="3"/>
  <c r="T1749" i="3" s="1"/>
  <c r="U1749" i="3" s="1"/>
  <c r="L1745" i="3"/>
  <c r="M1744" i="3"/>
  <c r="T1744" i="3" s="1"/>
  <c r="S1741" i="3"/>
  <c r="R1741" i="3"/>
  <c r="Q1741" i="3"/>
  <c r="M1740" i="3"/>
  <c r="T1740" i="3" s="1"/>
  <c r="AD1740" i="3" s="1"/>
  <c r="L1736" i="3"/>
  <c r="M1735" i="3"/>
  <c r="T1735" i="3" s="1"/>
  <c r="Z1735" i="3" s="1"/>
  <c r="S1732" i="3"/>
  <c r="R1732" i="3"/>
  <c r="Q1732" i="3"/>
  <c r="L1727" i="3"/>
  <c r="M1726" i="3"/>
  <c r="T1726" i="3" s="1"/>
  <c r="S1723" i="3"/>
  <c r="R1723" i="3"/>
  <c r="Q1723" i="3"/>
  <c r="M1722" i="3"/>
  <c r="T1722" i="3" s="1"/>
  <c r="L1718" i="3"/>
  <c r="L1720" i="3" s="1"/>
  <c r="M1717" i="3"/>
  <c r="T1717" i="3" s="1"/>
  <c r="S1714" i="3"/>
  <c r="R1714" i="3"/>
  <c r="Q1714" i="3"/>
  <c r="L1709" i="3"/>
  <c r="M1708" i="3"/>
  <c r="T1708" i="3" s="1"/>
  <c r="U1708" i="3" s="1"/>
  <c r="S1705" i="3"/>
  <c r="R1705" i="3"/>
  <c r="Q1705" i="3"/>
  <c r="M1704" i="3"/>
  <c r="T1704" i="3" s="1"/>
  <c r="L1700" i="3"/>
  <c r="M1699" i="3"/>
  <c r="T1699" i="3" s="1"/>
  <c r="S1696" i="3"/>
  <c r="R1696" i="3"/>
  <c r="Q1696" i="3"/>
  <c r="L1691" i="3"/>
  <c r="M1690" i="3"/>
  <c r="T1690" i="3" s="1"/>
  <c r="S1687" i="3"/>
  <c r="R1687" i="3"/>
  <c r="Q1687" i="3"/>
  <c r="M1686" i="3"/>
  <c r="T1686" i="3" s="1"/>
  <c r="L1682" i="3"/>
  <c r="M1681" i="3"/>
  <c r="T1681" i="3" s="1"/>
  <c r="S1678" i="3"/>
  <c r="R1678" i="3"/>
  <c r="Q1678" i="3"/>
  <c r="M1677" i="3"/>
  <c r="T1677" i="3" s="1"/>
  <c r="U1677" i="3" s="1"/>
  <c r="L1673" i="3"/>
  <c r="L1674" i="3" s="1"/>
  <c r="M1672" i="3"/>
  <c r="T1672" i="3" s="1"/>
  <c r="U1672" i="3" s="1"/>
  <c r="S1669" i="3"/>
  <c r="R1669" i="3"/>
  <c r="Q1669" i="3"/>
  <c r="M1668" i="3"/>
  <c r="T1668" i="3" s="1"/>
  <c r="L1664" i="3"/>
  <c r="M1663" i="3"/>
  <c r="T1663" i="3" s="1"/>
  <c r="Z1663" i="3" s="1"/>
  <c r="S1660" i="3"/>
  <c r="R1660" i="3"/>
  <c r="Q1660" i="3"/>
  <c r="L1655" i="3"/>
  <c r="M1654" i="3"/>
  <c r="T1654" i="3" s="1"/>
  <c r="S1651" i="3"/>
  <c r="R1651" i="3"/>
  <c r="Q1651" i="3"/>
  <c r="M1650" i="3"/>
  <c r="T1650" i="3" s="1"/>
  <c r="L1646" i="3"/>
  <c r="L1648" i="3" s="1"/>
  <c r="M1645" i="3"/>
  <c r="T1645" i="3" s="1"/>
  <c r="S1642" i="3"/>
  <c r="R1642" i="3"/>
  <c r="Q1642" i="3"/>
  <c r="M1641" i="3"/>
  <c r="T1641" i="3" s="1"/>
  <c r="L1637" i="3"/>
  <c r="M1636" i="3"/>
  <c r="T1636" i="3" s="1"/>
  <c r="U1636" i="3" s="1"/>
  <c r="S1633" i="3"/>
  <c r="R1633" i="3"/>
  <c r="Q1633" i="3"/>
  <c r="M1614" i="3"/>
  <c r="T1614" i="3" s="1"/>
  <c r="AD1614" i="3" s="1"/>
  <c r="L1610" i="3"/>
  <c r="M1609" i="3"/>
  <c r="T1609" i="3" s="1"/>
  <c r="S1606" i="3"/>
  <c r="R1606" i="3"/>
  <c r="Q1606" i="3"/>
  <c r="L1601" i="3"/>
  <c r="L1603" i="3" s="1"/>
  <c r="M1600" i="3"/>
  <c r="T1600" i="3" s="1"/>
  <c r="Z1600" i="3" s="1"/>
  <c r="S1597" i="3"/>
  <c r="R1597" i="3"/>
  <c r="Q1597" i="3"/>
  <c r="T1596" i="3"/>
  <c r="T1591" i="3"/>
  <c r="S1588" i="3"/>
  <c r="R1588" i="3"/>
  <c r="Q1588" i="3"/>
  <c r="M1587" i="3"/>
  <c r="T1587" i="3" s="1"/>
  <c r="L1583" i="3"/>
  <c r="M1582" i="3"/>
  <c r="T1582" i="3" s="1"/>
  <c r="S1579" i="3"/>
  <c r="R1579" i="3"/>
  <c r="Q1579" i="3"/>
  <c r="L1574" i="3"/>
  <c r="M1573" i="3"/>
  <c r="T1573" i="3" s="1"/>
  <c r="S1570" i="3"/>
  <c r="R1570" i="3"/>
  <c r="Q1570" i="3"/>
  <c r="L1565" i="3"/>
  <c r="M1564" i="3"/>
  <c r="T1564" i="3" s="1"/>
  <c r="Z1564" i="3" s="1"/>
  <c r="S1561" i="3"/>
  <c r="R1561" i="3"/>
  <c r="Q1561" i="3"/>
  <c r="M1560" i="3"/>
  <c r="T1560" i="3" s="1"/>
  <c r="L1556" i="3"/>
  <c r="M1555" i="3"/>
  <c r="T1555" i="3" s="1"/>
  <c r="S1552" i="3"/>
  <c r="R1552" i="3"/>
  <c r="Q1552" i="3"/>
  <c r="M1551" i="3"/>
  <c r="T1551" i="3" s="1"/>
  <c r="L1547" i="3"/>
  <c r="M1546" i="3"/>
  <c r="T1546" i="3" s="1"/>
  <c r="S1543" i="3"/>
  <c r="R1543" i="3"/>
  <c r="Q1543" i="3"/>
  <c r="M1290" i="3"/>
  <c r="T1290" i="3" s="1"/>
  <c r="U1290" i="3" s="1"/>
  <c r="L1286" i="3"/>
  <c r="M1285" i="3"/>
  <c r="T1285" i="3" s="1"/>
  <c r="U1285" i="3" s="1"/>
  <c r="S1282" i="3"/>
  <c r="R1282" i="3"/>
  <c r="Q1282" i="3"/>
  <c r="L1277" i="3"/>
  <c r="M1276" i="3"/>
  <c r="T1276" i="3" s="1"/>
  <c r="Z1276" i="3" s="1"/>
  <c r="S1273" i="3"/>
  <c r="R1273" i="3"/>
  <c r="Q1273" i="3"/>
  <c r="M1272" i="3"/>
  <c r="T1272" i="3" s="1"/>
  <c r="L1268" i="3"/>
  <c r="M1267" i="3"/>
  <c r="T1267" i="3" s="1"/>
  <c r="S1264" i="3"/>
  <c r="R1264" i="3"/>
  <c r="Q1264" i="3"/>
  <c r="M1263" i="3"/>
  <c r="T1263" i="3" s="1"/>
  <c r="L1259" i="3"/>
  <c r="L1261" i="3" s="1"/>
  <c r="M1258" i="3"/>
  <c r="T1258" i="3" s="1"/>
  <c r="S1255" i="3"/>
  <c r="R1255" i="3"/>
  <c r="Q1255" i="3"/>
  <c r="M1254" i="3"/>
  <c r="T1254" i="3" s="1"/>
  <c r="L1250" i="3"/>
  <c r="M1249" i="3"/>
  <c r="T1249" i="3" s="1"/>
  <c r="U1249" i="3" s="1"/>
  <c r="S1246" i="3"/>
  <c r="R1246" i="3"/>
  <c r="Q1246" i="3"/>
  <c r="L1241" i="3"/>
  <c r="M1240" i="3"/>
  <c r="T1240" i="3" s="1"/>
  <c r="Z1240" i="3" s="1"/>
  <c r="S1237" i="3"/>
  <c r="R1237" i="3"/>
  <c r="Q1237" i="3"/>
  <c r="M1236" i="3"/>
  <c r="T1236" i="3" s="1"/>
  <c r="L1232" i="3"/>
  <c r="L1233" i="3" s="1"/>
  <c r="M1231" i="3"/>
  <c r="T1231" i="3" s="1"/>
  <c r="S1228" i="3"/>
  <c r="R1228" i="3"/>
  <c r="Q1228" i="3"/>
  <c r="M1227" i="3"/>
  <c r="T1227" i="3" s="1"/>
  <c r="L1223" i="3"/>
  <c r="M1222" i="3"/>
  <c r="T1222" i="3" s="1"/>
  <c r="S1219" i="3"/>
  <c r="R1219" i="3"/>
  <c r="Q1219" i="3"/>
  <c r="M1218" i="3"/>
  <c r="T1218" i="3" s="1"/>
  <c r="U1218" i="3" s="1"/>
  <c r="L1214" i="3"/>
  <c r="M1213" i="3"/>
  <c r="T1213" i="3" s="1"/>
  <c r="U1213" i="3" s="1"/>
  <c r="S1210" i="3"/>
  <c r="R1210" i="3"/>
  <c r="Q1210" i="3"/>
  <c r="L1205" i="3"/>
  <c r="M1204" i="3"/>
  <c r="T1204" i="3" s="1"/>
  <c r="Z1204" i="3" s="1"/>
  <c r="S1201" i="3"/>
  <c r="R1201" i="3"/>
  <c r="Q1201" i="3"/>
  <c r="M1200" i="3"/>
  <c r="T1200" i="3" s="1"/>
  <c r="L1196" i="3"/>
  <c r="M1195" i="3"/>
  <c r="T1195" i="3" s="1"/>
  <c r="S1192" i="3"/>
  <c r="R1192" i="3"/>
  <c r="Q1192" i="3"/>
  <c r="M1191" i="3"/>
  <c r="T1191" i="3" s="1"/>
  <c r="L1187" i="3"/>
  <c r="M1186" i="3"/>
  <c r="T1186" i="3" s="1"/>
  <c r="S1183" i="3"/>
  <c r="R1183" i="3"/>
  <c r="Q1183" i="3"/>
  <c r="M1182" i="3"/>
  <c r="T1182" i="3" s="1"/>
  <c r="U1182" i="3" s="1"/>
  <c r="L1178" i="3"/>
  <c r="M1177" i="3"/>
  <c r="T1177" i="3" s="1"/>
  <c r="U1177" i="3" s="1"/>
  <c r="S1174" i="3"/>
  <c r="R1174" i="3"/>
  <c r="Q1174" i="3"/>
  <c r="L1169" i="3"/>
  <c r="M1168" i="3"/>
  <c r="T1168" i="3" s="1"/>
  <c r="Z1168" i="3" s="1"/>
  <c r="S1165" i="3"/>
  <c r="R1165" i="3"/>
  <c r="Q1165" i="3"/>
  <c r="M1164" i="3"/>
  <c r="T1164" i="3" s="1"/>
  <c r="L1160" i="3"/>
  <c r="M1159" i="3"/>
  <c r="T1159" i="3" s="1"/>
  <c r="S1156" i="3"/>
  <c r="R1156" i="3"/>
  <c r="Q1156" i="3"/>
  <c r="M1155" i="3"/>
  <c r="T1155" i="3" s="1"/>
  <c r="L1151" i="3"/>
  <c r="M1150" i="3"/>
  <c r="T1150" i="3" s="1"/>
  <c r="S1147" i="3"/>
  <c r="R1147" i="3"/>
  <c r="Q1147" i="3"/>
  <c r="M1146" i="3"/>
  <c r="T1146" i="3" s="1"/>
  <c r="U1146" i="3" s="1"/>
  <c r="L1142" i="3"/>
  <c r="M1141" i="3"/>
  <c r="T1141" i="3" s="1"/>
  <c r="U1141" i="3" s="1"/>
  <c r="S1138" i="3"/>
  <c r="R1138" i="3"/>
  <c r="Q1138" i="3"/>
  <c r="L1133" i="3"/>
  <c r="M1132" i="3"/>
  <c r="T1132" i="3" s="1"/>
  <c r="Z1132" i="3" s="1"/>
  <c r="S1129" i="3"/>
  <c r="R1129" i="3"/>
  <c r="Q1129" i="3"/>
  <c r="M1128" i="3"/>
  <c r="T1128" i="3" s="1"/>
  <c r="L1124" i="3"/>
  <c r="M1123" i="3"/>
  <c r="T1123" i="3" s="1"/>
  <c r="S1120" i="3"/>
  <c r="R1120" i="3"/>
  <c r="Q1120" i="3"/>
  <c r="M1119" i="3"/>
  <c r="T1119" i="3" s="1"/>
  <c r="L1115" i="3"/>
  <c r="L1116" i="3" s="1"/>
  <c r="M1114" i="3"/>
  <c r="T1114" i="3" s="1"/>
  <c r="S1111" i="3"/>
  <c r="R1111" i="3"/>
  <c r="Q1111" i="3"/>
  <c r="L1106" i="3"/>
  <c r="M1105" i="3"/>
  <c r="T1105" i="3" s="1"/>
  <c r="S1102" i="3"/>
  <c r="R1102" i="3"/>
  <c r="Q1102" i="3"/>
  <c r="L1097" i="3"/>
  <c r="M1096" i="3"/>
  <c r="T1096" i="3" s="1"/>
  <c r="Z1096" i="3" s="1"/>
  <c r="S1093" i="3"/>
  <c r="R1093" i="3"/>
  <c r="Q1093" i="3"/>
  <c r="M1092" i="3"/>
  <c r="T1092" i="3" s="1"/>
  <c r="L1088" i="3"/>
  <c r="M1087" i="3"/>
  <c r="T1087" i="3" s="1"/>
  <c r="S1084" i="3"/>
  <c r="R1084" i="3"/>
  <c r="Q1084" i="3"/>
  <c r="M1083" i="3"/>
  <c r="T1083" i="3" s="1"/>
  <c r="L1079" i="3"/>
  <c r="L1081" i="3" s="1"/>
  <c r="M1078" i="3"/>
  <c r="T1078" i="3" s="1"/>
  <c r="S1075" i="3"/>
  <c r="R1075" i="3"/>
  <c r="Q1075" i="3"/>
  <c r="M1074" i="3"/>
  <c r="T1074" i="3" s="1"/>
  <c r="L1070" i="3"/>
  <c r="L1071" i="3" s="1"/>
  <c r="M1069" i="3"/>
  <c r="T1069" i="3" s="1"/>
  <c r="U1069" i="3" s="1"/>
  <c r="S1066" i="3"/>
  <c r="R1066" i="3"/>
  <c r="Q1066" i="3"/>
  <c r="L1061" i="3"/>
  <c r="M1060" i="3"/>
  <c r="T1060" i="3" s="1"/>
  <c r="S1057" i="3"/>
  <c r="R1057" i="3"/>
  <c r="Q1057" i="3"/>
  <c r="M1056" i="3"/>
  <c r="T1056" i="3" s="1"/>
  <c r="L1052" i="3"/>
  <c r="L1053" i="3" s="1"/>
  <c r="M1051" i="3"/>
  <c r="T1051" i="3" s="1"/>
  <c r="S1048" i="3"/>
  <c r="R1048" i="3"/>
  <c r="Q1048" i="3"/>
  <c r="M1047" i="3"/>
  <c r="T1047" i="3" s="1"/>
  <c r="L1043" i="3"/>
  <c r="L1045" i="3" s="1"/>
  <c r="M1042" i="3"/>
  <c r="T1042" i="3" s="1"/>
  <c r="S1039" i="3"/>
  <c r="R1039" i="3"/>
  <c r="Q1039" i="3"/>
  <c r="M1038" i="3"/>
  <c r="T1038" i="3" s="1"/>
  <c r="U1038" i="3" s="1"/>
  <c r="L1034" i="3"/>
  <c r="M1033" i="3"/>
  <c r="T1033" i="3" s="1"/>
  <c r="U1033" i="3" s="1"/>
  <c r="S1030" i="3"/>
  <c r="R1030" i="3"/>
  <c r="Q1030" i="3"/>
  <c r="L1025" i="3"/>
  <c r="L1027" i="3" s="1"/>
  <c r="M1024" i="3"/>
  <c r="T1024" i="3" s="1"/>
  <c r="Z1024" i="3" s="1"/>
  <c r="S1021" i="3"/>
  <c r="R1021" i="3"/>
  <c r="Q1021" i="3"/>
  <c r="M1020" i="3"/>
  <c r="T1020" i="3" s="1"/>
  <c r="L1016" i="3"/>
  <c r="L1017" i="3" s="1"/>
  <c r="M1015" i="3"/>
  <c r="T1015" i="3" s="1"/>
  <c r="S1012" i="3"/>
  <c r="R1012" i="3"/>
  <c r="Q1012" i="3"/>
  <c r="M1011" i="3"/>
  <c r="T1011" i="3" s="1"/>
  <c r="L1007" i="3"/>
  <c r="M1006" i="3"/>
  <c r="T1006" i="3" s="1"/>
  <c r="S1003" i="3"/>
  <c r="R1003" i="3"/>
  <c r="Q1003" i="3"/>
  <c r="M1002" i="3"/>
  <c r="T1002" i="3" s="1"/>
  <c r="U1002" i="3" s="1"/>
  <c r="L998" i="3"/>
  <c r="M997" i="3"/>
  <c r="T997" i="3" s="1"/>
  <c r="S994" i="3"/>
  <c r="R994" i="3"/>
  <c r="Q994" i="3"/>
  <c r="L989" i="3"/>
  <c r="M988" i="3"/>
  <c r="T988" i="3" s="1"/>
  <c r="Z988" i="3" s="1"/>
  <c r="S985" i="3"/>
  <c r="R985" i="3"/>
  <c r="Q985" i="3"/>
  <c r="M984" i="3"/>
  <c r="T984" i="3" s="1"/>
  <c r="L980" i="3"/>
  <c r="M979" i="3"/>
  <c r="T979" i="3" s="1"/>
  <c r="S976" i="3"/>
  <c r="R976" i="3"/>
  <c r="Q976" i="3"/>
  <c r="M975" i="3"/>
  <c r="T975" i="3" s="1"/>
  <c r="L971" i="3"/>
  <c r="L973" i="3" s="1"/>
  <c r="M970" i="3"/>
  <c r="T970" i="3" s="1"/>
  <c r="S967" i="3"/>
  <c r="R967" i="3"/>
  <c r="Q967" i="3"/>
  <c r="L962" i="3"/>
  <c r="M961" i="3"/>
  <c r="T961" i="3" s="1"/>
  <c r="U961" i="3" s="1"/>
  <c r="S958" i="3"/>
  <c r="R958" i="3"/>
  <c r="Q958" i="3"/>
  <c r="L953" i="3"/>
  <c r="M952" i="3"/>
  <c r="T952" i="3" s="1"/>
  <c r="Z952" i="3" s="1"/>
  <c r="S949" i="3"/>
  <c r="R949" i="3"/>
  <c r="Q949" i="3"/>
  <c r="M948" i="3"/>
  <c r="T948" i="3" s="1"/>
  <c r="L944" i="3"/>
  <c r="M943" i="3"/>
  <c r="T943" i="3" s="1"/>
  <c r="Z943" i="3" s="1"/>
  <c r="S940" i="3"/>
  <c r="R940" i="3"/>
  <c r="Q940" i="3"/>
  <c r="M939" i="3"/>
  <c r="T939" i="3" s="1"/>
  <c r="L935" i="3"/>
  <c r="M934" i="3"/>
  <c r="T934" i="3" s="1"/>
  <c r="S931" i="3"/>
  <c r="R931" i="3"/>
  <c r="Q931" i="3"/>
  <c r="M930" i="3"/>
  <c r="T930" i="3" s="1"/>
  <c r="L926" i="3"/>
  <c r="L928" i="3" s="1"/>
  <c r="M925" i="3"/>
  <c r="T925" i="3" s="1"/>
  <c r="S922" i="3"/>
  <c r="R922" i="3"/>
  <c r="Q922" i="3"/>
  <c r="L917" i="3"/>
  <c r="M916" i="3"/>
  <c r="T916" i="3" s="1"/>
  <c r="S913" i="3"/>
  <c r="R913" i="3"/>
  <c r="Q913" i="3"/>
  <c r="M912" i="3"/>
  <c r="T912" i="3" s="1"/>
  <c r="AD912" i="3" s="1"/>
  <c r="L908" i="3"/>
  <c r="M907" i="3"/>
  <c r="T907" i="3" s="1"/>
  <c r="Z907" i="3" s="1"/>
  <c r="S904" i="3"/>
  <c r="R904" i="3"/>
  <c r="Q904" i="3"/>
  <c r="M903" i="3"/>
  <c r="T903" i="3" s="1"/>
  <c r="L899" i="3"/>
  <c r="M898" i="3"/>
  <c r="T898" i="3" s="1"/>
  <c r="S895" i="3"/>
  <c r="R895" i="3"/>
  <c r="Q895" i="3"/>
  <c r="M894" i="3"/>
  <c r="T894" i="3" s="1"/>
  <c r="L890" i="3"/>
  <c r="M889" i="3"/>
  <c r="T889" i="3" s="1"/>
  <c r="S886" i="3"/>
  <c r="R886" i="3"/>
  <c r="Q886" i="3"/>
  <c r="L881" i="3"/>
  <c r="L883" i="3" s="1"/>
  <c r="M880" i="3"/>
  <c r="T880" i="3" s="1"/>
  <c r="U880" i="3" s="1"/>
  <c r="S877" i="3"/>
  <c r="R877" i="3"/>
  <c r="Q877" i="3"/>
  <c r="M876" i="3"/>
  <c r="T876" i="3" s="1"/>
  <c r="L872" i="3"/>
  <c r="M871" i="3"/>
  <c r="T871" i="3" s="1"/>
  <c r="Z871" i="3" s="1"/>
  <c r="S868" i="3"/>
  <c r="R868" i="3"/>
  <c r="Q868" i="3"/>
  <c r="M867" i="3"/>
  <c r="T867" i="3" s="1"/>
  <c r="L863" i="3"/>
  <c r="L865" i="3" s="1"/>
  <c r="M862" i="3"/>
  <c r="T862" i="3" s="1"/>
  <c r="S859" i="3"/>
  <c r="R859" i="3"/>
  <c r="Q859" i="3"/>
  <c r="M858" i="3"/>
  <c r="T858" i="3" s="1"/>
  <c r="L854" i="3"/>
  <c r="M853" i="3"/>
  <c r="T853" i="3" s="1"/>
  <c r="S850" i="3"/>
  <c r="R850" i="3"/>
  <c r="Q850" i="3"/>
  <c r="L845" i="3"/>
  <c r="M844" i="3"/>
  <c r="T844" i="3" s="1"/>
  <c r="U844" i="3" s="1"/>
  <c r="S841" i="3"/>
  <c r="R841" i="3"/>
  <c r="Q841" i="3"/>
  <c r="M840" i="3"/>
  <c r="T840" i="3" s="1"/>
  <c r="AD840" i="3" s="1"/>
  <c r="L836" i="3"/>
  <c r="M835" i="3"/>
  <c r="T835" i="3" s="1"/>
  <c r="S832" i="3"/>
  <c r="R832" i="3"/>
  <c r="Q832" i="3"/>
  <c r="M831" i="3"/>
  <c r="T831" i="3" s="1"/>
  <c r="L827" i="3"/>
  <c r="M826" i="3"/>
  <c r="T826" i="3" s="1"/>
  <c r="S823" i="3"/>
  <c r="R823" i="3"/>
  <c r="Q823" i="3"/>
  <c r="M822" i="3"/>
  <c r="T822" i="3" s="1"/>
  <c r="L818" i="3"/>
  <c r="M817" i="3"/>
  <c r="T817" i="3" s="1"/>
  <c r="S814" i="3"/>
  <c r="R814" i="3"/>
  <c r="Q814" i="3"/>
  <c r="L809" i="3"/>
  <c r="M808" i="3"/>
  <c r="T808" i="3" s="1"/>
  <c r="U808" i="3" s="1"/>
  <c r="S805" i="3"/>
  <c r="R805" i="3"/>
  <c r="Q805" i="3"/>
  <c r="M804" i="3"/>
  <c r="T804" i="3" s="1"/>
  <c r="AD804" i="3" s="1"/>
  <c r="L800" i="3"/>
  <c r="M799" i="3"/>
  <c r="T799" i="3" s="1"/>
  <c r="Z799" i="3" s="1"/>
  <c r="S796" i="3"/>
  <c r="R796" i="3"/>
  <c r="Q796" i="3"/>
  <c r="M795" i="3"/>
  <c r="T795" i="3" s="1"/>
  <c r="L791" i="3"/>
  <c r="M790" i="3"/>
  <c r="T790" i="3" s="1"/>
  <c r="S787" i="3"/>
  <c r="R787" i="3"/>
  <c r="Q787" i="3"/>
  <c r="M786" i="3"/>
  <c r="T786" i="3" s="1"/>
  <c r="L782" i="3"/>
  <c r="L784" i="3" s="1"/>
  <c r="M781" i="3"/>
  <c r="T781" i="3" s="1"/>
  <c r="S778" i="3"/>
  <c r="R778" i="3"/>
  <c r="Q778" i="3"/>
  <c r="L773" i="3"/>
  <c r="M772" i="3"/>
  <c r="T772" i="3" s="1"/>
  <c r="S769" i="3"/>
  <c r="R769" i="3"/>
  <c r="Q769" i="3"/>
  <c r="L764" i="3"/>
  <c r="M763" i="3"/>
  <c r="T763" i="3" s="1"/>
  <c r="U763" i="3" s="1"/>
  <c r="S760" i="3"/>
  <c r="R760" i="3"/>
  <c r="Q760" i="3"/>
  <c r="M759" i="3"/>
  <c r="T759" i="3" s="1"/>
  <c r="AD759" i="3" s="1"/>
  <c r="L755" i="3"/>
  <c r="M754" i="3"/>
  <c r="T754" i="3" s="1"/>
  <c r="Z754" i="3" s="1"/>
  <c r="S751" i="3"/>
  <c r="R751" i="3"/>
  <c r="Q751" i="3"/>
  <c r="M750" i="3"/>
  <c r="T750" i="3" s="1"/>
  <c r="L746" i="3"/>
  <c r="M745" i="3"/>
  <c r="T745" i="3" s="1"/>
  <c r="S742" i="3"/>
  <c r="R742" i="3"/>
  <c r="Q742" i="3"/>
  <c r="L737" i="3"/>
  <c r="L739" i="3" s="1"/>
  <c r="M736" i="3"/>
  <c r="T736" i="3" s="1"/>
  <c r="S733" i="3"/>
  <c r="R733" i="3"/>
  <c r="Q733" i="3"/>
  <c r="L728" i="3"/>
  <c r="M727" i="3"/>
  <c r="T727" i="3" s="1"/>
  <c r="U727" i="3" s="1"/>
  <c r="S724" i="3"/>
  <c r="R724" i="3"/>
  <c r="Q724" i="3"/>
  <c r="M723" i="3"/>
  <c r="T723" i="3" s="1"/>
  <c r="AD723" i="3" s="1"/>
  <c r="L719" i="3"/>
  <c r="M718" i="3"/>
  <c r="T718" i="3" s="1"/>
  <c r="Z718" i="3" s="1"/>
  <c r="S715" i="3"/>
  <c r="R715" i="3"/>
  <c r="Q715" i="3"/>
  <c r="M714" i="3"/>
  <c r="T714" i="3" s="1"/>
  <c r="L710" i="3"/>
  <c r="L711" i="3" s="1"/>
  <c r="M709" i="3"/>
  <c r="T709" i="3" s="1"/>
  <c r="S706" i="3"/>
  <c r="R706" i="3"/>
  <c r="Q706" i="3"/>
  <c r="L701" i="3"/>
  <c r="L703" i="3" s="1"/>
  <c r="M700" i="3"/>
  <c r="T700" i="3" s="1"/>
  <c r="S697" i="3"/>
  <c r="R697" i="3"/>
  <c r="Q697" i="3"/>
  <c r="L692" i="3"/>
  <c r="M691" i="3"/>
  <c r="T691" i="3" s="1"/>
  <c r="S688" i="3"/>
  <c r="R688" i="3"/>
  <c r="Q688" i="3"/>
  <c r="M687" i="3"/>
  <c r="T687" i="3" s="1"/>
  <c r="AD687" i="3" s="1"/>
  <c r="L683" i="3"/>
  <c r="M682" i="3"/>
  <c r="T682" i="3" s="1"/>
  <c r="Z682" i="3" s="1"/>
  <c r="S679" i="3"/>
  <c r="R679" i="3"/>
  <c r="Q679" i="3"/>
  <c r="M678" i="3"/>
  <c r="T678" i="3" s="1"/>
  <c r="L674" i="3"/>
  <c r="M673" i="3"/>
  <c r="T673" i="3" s="1"/>
  <c r="S670" i="3"/>
  <c r="R670" i="3"/>
  <c r="Q670" i="3"/>
  <c r="L665" i="3"/>
  <c r="L667" i="3" s="1"/>
  <c r="M664" i="3"/>
  <c r="T664" i="3" s="1"/>
  <c r="S661" i="3"/>
  <c r="R661" i="3"/>
  <c r="Q661" i="3"/>
  <c r="L656" i="3"/>
  <c r="M655" i="3"/>
  <c r="T655" i="3" s="1"/>
  <c r="U655" i="3" s="1"/>
  <c r="S652" i="3"/>
  <c r="R652" i="3"/>
  <c r="Q652" i="3"/>
  <c r="M651" i="3"/>
  <c r="T651" i="3" s="1"/>
  <c r="L647" i="3"/>
  <c r="M646" i="3"/>
  <c r="T646" i="3" s="1"/>
  <c r="S643" i="3"/>
  <c r="R643" i="3"/>
  <c r="Q643" i="3"/>
  <c r="M642" i="3"/>
  <c r="T642" i="3" s="1"/>
  <c r="L638" i="3"/>
  <c r="L640" i="3" s="1"/>
  <c r="M637" i="3"/>
  <c r="T637" i="3" s="1"/>
  <c r="S634" i="3"/>
  <c r="R634" i="3"/>
  <c r="Q634" i="3"/>
  <c r="L629" i="3"/>
  <c r="L631" i="3" s="1"/>
  <c r="M628" i="3"/>
  <c r="T628" i="3" s="1"/>
  <c r="S625" i="3"/>
  <c r="R625" i="3"/>
  <c r="Q625" i="3"/>
  <c r="L620" i="3"/>
  <c r="L622" i="3" s="1"/>
  <c r="M619" i="3"/>
  <c r="T619" i="3" s="1"/>
  <c r="U619" i="3" s="1"/>
  <c r="S616" i="3"/>
  <c r="R616" i="3"/>
  <c r="Q616" i="3"/>
  <c r="M615" i="3"/>
  <c r="T615" i="3" s="1"/>
  <c r="AD615" i="3" s="1"/>
  <c r="L611" i="3"/>
  <c r="M610" i="3"/>
  <c r="T610" i="3" s="1"/>
  <c r="S607" i="3"/>
  <c r="R607" i="3"/>
  <c r="Q607" i="3"/>
  <c r="M606" i="3"/>
  <c r="T606" i="3" s="1"/>
  <c r="L602" i="3"/>
  <c r="M601" i="3"/>
  <c r="T601" i="3" s="1"/>
  <c r="S598" i="3"/>
  <c r="R598" i="3"/>
  <c r="Q598" i="3"/>
  <c r="M597" i="3"/>
  <c r="T597" i="3" s="1"/>
  <c r="L593" i="3"/>
  <c r="M592" i="3"/>
  <c r="T592" i="3" s="1"/>
  <c r="S589" i="3"/>
  <c r="R589" i="3"/>
  <c r="Q589" i="3"/>
  <c r="M588" i="3"/>
  <c r="T588" i="3" s="1"/>
  <c r="U588" i="3" s="1"/>
  <c r="L584" i="3"/>
  <c r="M583" i="3"/>
  <c r="T583" i="3" s="1"/>
  <c r="U583" i="3" s="1"/>
  <c r="S580" i="3"/>
  <c r="R580" i="3"/>
  <c r="Q580" i="3"/>
  <c r="M579" i="3"/>
  <c r="T579" i="3" s="1"/>
  <c r="AD579" i="3" s="1"/>
  <c r="L575" i="3"/>
  <c r="M574" i="3"/>
  <c r="T574" i="3" s="1"/>
  <c r="Z574" i="3" s="1"/>
  <c r="S571" i="3"/>
  <c r="R571" i="3"/>
  <c r="Q571" i="3"/>
  <c r="M570" i="3"/>
  <c r="T570" i="3" s="1"/>
  <c r="L566" i="3"/>
  <c r="L567" i="3" s="1"/>
  <c r="M565" i="3"/>
  <c r="T565" i="3" s="1"/>
  <c r="S562" i="3"/>
  <c r="R562" i="3"/>
  <c r="Q562" i="3"/>
  <c r="M561" i="3"/>
  <c r="T561" i="3" s="1"/>
  <c r="L557" i="3"/>
  <c r="L559" i="3" s="1"/>
  <c r="M556" i="3"/>
  <c r="T556" i="3" s="1"/>
  <c r="S553" i="3"/>
  <c r="R553" i="3"/>
  <c r="Q553" i="3"/>
  <c r="M552" i="3"/>
  <c r="T552" i="3" s="1"/>
  <c r="U552" i="3" s="1"/>
  <c r="L548" i="3"/>
  <c r="M547" i="3"/>
  <c r="T547" i="3" s="1"/>
  <c r="S544" i="3"/>
  <c r="R544" i="3"/>
  <c r="Q544" i="3"/>
  <c r="M543" i="3"/>
  <c r="T543" i="3" s="1"/>
  <c r="AD543" i="3" s="1"/>
  <c r="L539" i="3"/>
  <c r="M538" i="3"/>
  <c r="T538" i="3" s="1"/>
  <c r="Z538" i="3" s="1"/>
  <c r="S535" i="3"/>
  <c r="R535" i="3"/>
  <c r="Q535" i="3"/>
  <c r="M534" i="3"/>
  <c r="T534" i="3" s="1"/>
  <c r="L530" i="3"/>
  <c r="L531" i="3" s="1"/>
  <c r="M529" i="3"/>
  <c r="T529" i="3" s="1"/>
  <c r="S526" i="3"/>
  <c r="R526" i="3"/>
  <c r="Q526" i="3"/>
  <c r="M525" i="3"/>
  <c r="T525" i="3" s="1"/>
  <c r="L521" i="3"/>
  <c r="M520" i="3"/>
  <c r="T520" i="3" s="1"/>
  <c r="S517" i="3"/>
  <c r="R517" i="3"/>
  <c r="Q517" i="3"/>
  <c r="M516" i="3"/>
  <c r="T516" i="3" s="1"/>
  <c r="U516" i="3" s="1"/>
  <c r="L512" i="3"/>
  <c r="M511" i="3"/>
  <c r="T511" i="3" s="1"/>
  <c r="U511" i="3" s="1"/>
  <c r="S508" i="3"/>
  <c r="R508" i="3"/>
  <c r="Q508" i="3"/>
  <c r="M507" i="3"/>
  <c r="T507" i="3" s="1"/>
  <c r="L503" i="3"/>
  <c r="M502" i="3"/>
  <c r="T502" i="3" s="1"/>
  <c r="Z502" i="3" s="1"/>
  <c r="S499" i="3"/>
  <c r="R499" i="3"/>
  <c r="Q499" i="3"/>
  <c r="M498" i="3"/>
  <c r="T498" i="3" s="1"/>
  <c r="L494" i="3"/>
  <c r="L496" i="3" s="1"/>
  <c r="M493" i="3"/>
  <c r="T493" i="3" s="1"/>
  <c r="S490" i="3"/>
  <c r="R490" i="3"/>
  <c r="Q490" i="3"/>
  <c r="M484" i="3"/>
  <c r="T484" i="3" s="1"/>
  <c r="S481" i="3"/>
  <c r="Q481" i="3"/>
  <c r="L489" i="3"/>
  <c r="M475" i="3"/>
  <c r="T475" i="3" s="1"/>
  <c r="S472" i="3"/>
  <c r="Q472" i="3"/>
  <c r="L480" i="3"/>
  <c r="M466" i="3"/>
  <c r="T466" i="3" s="1"/>
  <c r="S463" i="3"/>
  <c r="Q463" i="3"/>
  <c r="L471" i="3"/>
  <c r="M462" i="3"/>
  <c r="T462" i="3" s="1"/>
  <c r="L458" i="3"/>
  <c r="M457" i="3"/>
  <c r="T457" i="3" s="1"/>
  <c r="S454" i="3"/>
  <c r="R454" i="3"/>
  <c r="Q454" i="3"/>
  <c r="L449" i="3"/>
  <c r="M448" i="3"/>
  <c r="T448" i="3" s="1"/>
  <c r="U448" i="3" s="1"/>
  <c r="S445" i="3"/>
  <c r="R445" i="3"/>
  <c r="Q445" i="3"/>
  <c r="M444" i="3"/>
  <c r="T444" i="3" s="1"/>
  <c r="AD444" i="3" s="1"/>
  <c r="L440" i="3"/>
  <c r="M439" i="3"/>
  <c r="T439" i="3" s="1"/>
  <c r="Z439" i="3" s="1"/>
  <c r="S436" i="3"/>
  <c r="R436" i="3"/>
  <c r="Q436" i="3"/>
  <c r="M430" i="3"/>
  <c r="T430" i="3" s="1"/>
  <c r="S427" i="3"/>
  <c r="Q427" i="3"/>
  <c r="L431" i="3"/>
  <c r="M426" i="3"/>
  <c r="T426" i="3" s="1"/>
  <c r="L422" i="3"/>
  <c r="M421" i="3"/>
  <c r="T421" i="3" s="1"/>
  <c r="U421" i="3" s="1"/>
  <c r="S418" i="3"/>
  <c r="R418" i="3"/>
  <c r="Q418" i="3"/>
  <c r="M417" i="3"/>
  <c r="T417" i="3" s="1"/>
  <c r="AD417" i="3" s="1"/>
  <c r="L413" i="3"/>
  <c r="M412" i="3"/>
  <c r="T412" i="3" s="1"/>
  <c r="Z412" i="3" s="1"/>
  <c r="S409" i="3"/>
  <c r="R409" i="3"/>
  <c r="Q409" i="3"/>
  <c r="M408" i="3"/>
  <c r="T408" i="3" s="1"/>
  <c r="L404" i="3"/>
  <c r="M403" i="3"/>
  <c r="T403" i="3" s="1"/>
  <c r="S400" i="3"/>
  <c r="R400" i="3"/>
  <c r="Q400" i="3"/>
  <c r="M354" i="3"/>
  <c r="T354" i="3" s="1"/>
  <c r="U354" i="3" s="1"/>
  <c r="L350" i="3"/>
  <c r="M349" i="3"/>
  <c r="T349" i="3" s="1"/>
  <c r="U349" i="3" s="1"/>
  <c r="S346" i="3"/>
  <c r="R346" i="3"/>
  <c r="Q346" i="3"/>
  <c r="L323" i="3"/>
  <c r="M322" i="3"/>
  <c r="T322" i="3" s="1"/>
  <c r="Z322" i="3" s="1"/>
  <c r="S319" i="3"/>
  <c r="R319" i="3"/>
  <c r="Q319" i="3"/>
  <c r="M318" i="3"/>
  <c r="T318" i="3" s="1"/>
  <c r="L314" i="3"/>
  <c r="M313" i="3"/>
  <c r="T313" i="3" s="1"/>
  <c r="S310" i="3"/>
  <c r="R310" i="3"/>
  <c r="Q310" i="3"/>
  <c r="M309" i="3"/>
  <c r="T309" i="3" s="1"/>
  <c r="L305" i="3"/>
  <c r="L307" i="3" s="1"/>
  <c r="M304" i="3"/>
  <c r="T304" i="3" s="1"/>
  <c r="S301" i="3"/>
  <c r="R301" i="3"/>
  <c r="Q301" i="3"/>
  <c r="M300" i="3"/>
  <c r="T300" i="3" s="1"/>
  <c r="U300" i="3" s="1"/>
  <c r="L296" i="3"/>
  <c r="M295" i="3"/>
  <c r="T295" i="3" s="1"/>
  <c r="U295" i="3" s="1"/>
  <c r="S292" i="3"/>
  <c r="R292" i="3"/>
  <c r="Q292" i="3"/>
  <c r="L287" i="3"/>
  <c r="M286" i="3"/>
  <c r="T286" i="3" s="1"/>
  <c r="Z286" i="3" s="1"/>
  <c r="S283" i="3"/>
  <c r="R283" i="3"/>
  <c r="Q283" i="3"/>
  <c r="M282" i="3"/>
  <c r="T282" i="3" s="1"/>
  <c r="L278" i="3"/>
  <c r="M277" i="3"/>
  <c r="T277" i="3" s="1"/>
  <c r="S274" i="3"/>
  <c r="R274" i="3"/>
  <c r="Q274" i="3"/>
  <c r="M273" i="3"/>
  <c r="T273" i="3" s="1"/>
  <c r="L269" i="3"/>
  <c r="L271" i="3" s="1"/>
  <c r="M268" i="3"/>
  <c r="T268" i="3" s="1"/>
  <c r="S265" i="3"/>
  <c r="R265" i="3"/>
  <c r="Q265" i="3"/>
  <c r="M264" i="3"/>
  <c r="T264" i="3" s="1"/>
  <c r="U264" i="3" s="1"/>
  <c r="L260" i="3"/>
  <c r="M259" i="3"/>
  <c r="T259" i="3" s="1"/>
  <c r="U259" i="3" s="1"/>
  <c r="S256" i="3"/>
  <c r="R256" i="3"/>
  <c r="Q256" i="3"/>
  <c r="L242" i="3"/>
  <c r="L244" i="3" s="1"/>
  <c r="M241" i="3"/>
  <c r="T241" i="3" s="1"/>
  <c r="Z241" i="3" s="1"/>
  <c r="S238" i="3"/>
  <c r="R238" i="3"/>
  <c r="Q238" i="3"/>
  <c r="M237" i="3"/>
  <c r="T237" i="3" s="1"/>
  <c r="L233" i="3"/>
  <c r="L234" i="3" s="1"/>
  <c r="M234" i="3" s="1"/>
  <c r="T234" i="3" s="1"/>
  <c r="M232" i="3"/>
  <c r="T232" i="3" s="1"/>
  <c r="S229" i="3"/>
  <c r="R229" i="3"/>
  <c r="Q229" i="3"/>
  <c r="M228" i="3"/>
  <c r="T228" i="3" s="1"/>
  <c r="L224" i="3"/>
  <c r="L225" i="3" s="1"/>
  <c r="M223" i="3"/>
  <c r="T223" i="3" s="1"/>
  <c r="S220" i="3"/>
  <c r="R220" i="3"/>
  <c r="Q220" i="3"/>
  <c r="M183" i="3"/>
  <c r="T183" i="3" s="1"/>
  <c r="U183" i="3" s="1"/>
  <c r="L179" i="3"/>
  <c r="M178" i="3"/>
  <c r="T178" i="3" s="1"/>
  <c r="U178" i="3" s="1"/>
  <c r="S175" i="3"/>
  <c r="R175" i="3"/>
  <c r="Q175" i="3"/>
  <c r="L170" i="3"/>
  <c r="L171" i="3" s="1"/>
  <c r="M169" i="3"/>
  <c r="T169" i="3" s="1"/>
  <c r="Z169" i="3" s="1"/>
  <c r="S166" i="3"/>
  <c r="R166" i="3"/>
  <c r="Q166" i="3"/>
  <c r="M165" i="3"/>
  <c r="T165" i="3" s="1"/>
  <c r="L161" i="3"/>
  <c r="M160" i="3"/>
  <c r="T160" i="3" s="1"/>
  <c r="S157" i="3"/>
  <c r="R157" i="3"/>
  <c r="Q157" i="3"/>
  <c r="M156" i="3"/>
  <c r="T156" i="3" s="1"/>
  <c r="L152" i="3"/>
  <c r="L154" i="3" s="1"/>
  <c r="M151" i="3"/>
  <c r="T151" i="3" s="1"/>
  <c r="S148" i="3"/>
  <c r="R148" i="3"/>
  <c r="Q148" i="3"/>
  <c r="M147" i="3"/>
  <c r="T147" i="3" s="1"/>
  <c r="U147" i="3" s="1"/>
  <c r="L143" i="3"/>
  <c r="M142" i="3"/>
  <c r="T142" i="3" s="1"/>
  <c r="U142" i="3" s="1"/>
  <c r="S139" i="3"/>
  <c r="R139" i="3"/>
  <c r="Q139" i="3"/>
  <c r="M138" i="3"/>
  <c r="T138" i="3" s="1"/>
  <c r="AD138" i="3" s="1"/>
  <c r="L134" i="3"/>
  <c r="L136" i="3" s="1"/>
  <c r="M133" i="3"/>
  <c r="T133" i="3" s="1"/>
  <c r="Z133" i="3" s="1"/>
  <c r="S130" i="3"/>
  <c r="R130" i="3"/>
  <c r="Q130" i="3"/>
  <c r="M129" i="3"/>
  <c r="T129" i="3" s="1"/>
  <c r="L125" i="3"/>
  <c r="M124" i="3"/>
  <c r="T124" i="3" s="1"/>
  <c r="S121" i="3"/>
  <c r="R121" i="3"/>
  <c r="Q121" i="3"/>
  <c r="M120" i="3"/>
  <c r="T120" i="3" s="1"/>
  <c r="L116" i="3"/>
  <c r="M115" i="3"/>
  <c r="T115" i="3" s="1"/>
  <c r="S112" i="3"/>
  <c r="R112" i="3"/>
  <c r="Q112" i="3"/>
  <c r="M111" i="3"/>
  <c r="T111" i="3" s="1"/>
  <c r="U111" i="3" s="1"/>
  <c r="L107" i="3"/>
  <c r="L109" i="3" s="1"/>
  <c r="M106" i="3"/>
  <c r="T106" i="3" s="1"/>
  <c r="U106" i="3" s="1"/>
  <c r="S103" i="3"/>
  <c r="R103" i="3"/>
  <c r="Q103" i="3"/>
  <c r="L98" i="3"/>
  <c r="M97" i="3"/>
  <c r="T97" i="3" s="1"/>
  <c r="Z97" i="3" s="1"/>
  <c r="S94" i="3"/>
  <c r="R94" i="3"/>
  <c r="Q94" i="3"/>
  <c r="M93" i="3"/>
  <c r="T93" i="3" s="1"/>
  <c r="M88" i="3"/>
  <c r="T88" i="3" s="1"/>
  <c r="S85" i="3"/>
  <c r="R85" i="3"/>
  <c r="Q85" i="3"/>
  <c r="L71" i="3"/>
  <c r="M70" i="3"/>
  <c r="T70" i="3" s="1"/>
  <c r="S67" i="3"/>
  <c r="R67" i="3"/>
  <c r="Q67" i="3"/>
  <c r="L62" i="3"/>
  <c r="L64" i="3" s="1"/>
  <c r="M61" i="3"/>
  <c r="T61" i="3" s="1"/>
  <c r="U61" i="3" s="1"/>
  <c r="S58" i="3"/>
  <c r="R58" i="3"/>
  <c r="Q58" i="3"/>
  <c r="L53" i="3"/>
  <c r="L54" i="3" s="1"/>
  <c r="M52" i="3"/>
  <c r="T52" i="3" s="1"/>
  <c r="Z52" i="3" s="1"/>
  <c r="S49" i="3"/>
  <c r="R49" i="3"/>
  <c r="Q49" i="3"/>
  <c r="L44" i="3"/>
  <c r="M43" i="3"/>
  <c r="T43" i="3" s="1"/>
  <c r="S40" i="3"/>
  <c r="R40" i="3"/>
  <c r="Q40" i="3"/>
  <c r="M39" i="3"/>
  <c r="T39" i="3" s="1"/>
  <c r="L35" i="3"/>
  <c r="L37" i="3" s="1"/>
  <c r="M34" i="3"/>
  <c r="T34" i="3" s="1"/>
  <c r="S31" i="3"/>
  <c r="R31" i="3"/>
  <c r="Q31" i="3"/>
  <c r="M30" i="3"/>
  <c r="T30" i="3" s="1"/>
  <c r="U30" i="3" s="1"/>
  <c r="L26" i="3"/>
  <c r="M25" i="3"/>
  <c r="T25" i="3" s="1"/>
  <c r="U25" i="3" s="1"/>
  <c r="S22" i="3"/>
  <c r="R22" i="3"/>
  <c r="Q22" i="3"/>
  <c r="L17" i="3"/>
  <c r="L19" i="3" s="1"/>
  <c r="M16" i="3"/>
  <c r="T16" i="3" s="1"/>
  <c r="Z16" i="3" s="1"/>
  <c r="S13" i="3"/>
  <c r="R13" i="3"/>
  <c r="Q13" i="3"/>
  <c r="L1611" i="3" l="1"/>
  <c r="L1612" i="3"/>
  <c r="M1612" i="3" s="1"/>
  <c r="T1612" i="3" s="1"/>
  <c r="L1710" i="3"/>
  <c r="L1711" i="3"/>
  <c r="L1738" i="3"/>
  <c r="M1738" i="3" s="1"/>
  <c r="T1738" i="3" s="1"/>
  <c r="L1548" i="3"/>
  <c r="L1549" i="3"/>
  <c r="M1565" i="3"/>
  <c r="T1565" i="3" s="1"/>
  <c r="L1567" i="3"/>
  <c r="T1594" i="3"/>
  <c r="L1692" i="3"/>
  <c r="L1693" i="3"/>
  <c r="L1575" i="3"/>
  <c r="L1576" i="3"/>
  <c r="L1638" i="3"/>
  <c r="L1639" i="3"/>
  <c r="M1655" i="3"/>
  <c r="T1655" i="3" s="1"/>
  <c r="L1657" i="3"/>
  <c r="L1702" i="3"/>
  <c r="M1702" i="3" s="1"/>
  <c r="T1702" i="3" s="1"/>
  <c r="L1747" i="3"/>
  <c r="M1747" i="3" s="1"/>
  <c r="T1747" i="3" s="1"/>
  <c r="M1763" i="3"/>
  <c r="T1763" i="3" s="1"/>
  <c r="L1764" i="3"/>
  <c r="L1558" i="3"/>
  <c r="L1557" i="3"/>
  <c r="L1584" i="3"/>
  <c r="L1585" i="3"/>
  <c r="L1665" i="3"/>
  <c r="L1666" i="3"/>
  <c r="L1683" i="3"/>
  <c r="L1684" i="3"/>
  <c r="M1727" i="3"/>
  <c r="T1727" i="3" s="1"/>
  <c r="L1729" i="3"/>
  <c r="L1774" i="3"/>
  <c r="L1773" i="3"/>
  <c r="M1773" i="3" s="1"/>
  <c r="T1773" i="3" s="1"/>
  <c r="L1792" i="3"/>
  <c r="L1783" i="3"/>
  <c r="M1783" i="3" s="1"/>
  <c r="T1783" i="3" s="1"/>
  <c r="L1765" i="3"/>
  <c r="L1675" i="3"/>
  <c r="M1675" i="3" s="1"/>
  <c r="T1675" i="3" s="1"/>
  <c r="L1243" i="3"/>
  <c r="L1279" i="3"/>
  <c r="M1692" i="3"/>
  <c r="T1692" i="3" s="1"/>
  <c r="L1099" i="3"/>
  <c r="L1602" i="3"/>
  <c r="L1170" i="3"/>
  <c r="M782" i="3"/>
  <c r="T782" i="3" s="1"/>
  <c r="L415" i="3"/>
  <c r="L414" i="3"/>
  <c r="M431" i="3"/>
  <c r="T431" i="3" s="1"/>
  <c r="L441" i="3"/>
  <c r="L442" i="3"/>
  <c r="L612" i="3"/>
  <c r="M612" i="3" s="1"/>
  <c r="T612" i="3" s="1"/>
  <c r="L613" i="3"/>
  <c r="L747" i="3"/>
  <c r="L748" i="3"/>
  <c r="L801" i="3"/>
  <c r="M801" i="3" s="1"/>
  <c r="T801" i="3" s="1"/>
  <c r="L802" i="3"/>
  <c r="Z880" i="3"/>
  <c r="L918" i="3"/>
  <c r="L919" i="3"/>
  <c r="L1008" i="3"/>
  <c r="L1009" i="3"/>
  <c r="L1090" i="3"/>
  <c r="M1090" i="3" s="1"/>
  <c r="T1090" i="3" s="1"/>
  <c r="L1152" i="3"/>
  <c r="L1153" i="3"/>
  <c r="L1207" i="3"/>
  <c r="L1206" i="3"/>
  <c r="L1287" i="3"/>
  <c r="L1288" i="3"/>
  <c r="M1288" i="3" s="1"/>
  <c r="T1288" i="3" s="1"/>
  <c r="U1663" i="3"/>
  <c r="L1171" i="3"/>
  <c r="L514" i="3"/>
  <c r="M514" i="3" s="1"/>
  <c r="T514" i="3" s="1"/>
  <c r="L586" i="3"/>
  <c r="M586" i="3" s="1"/>
  <c r="T586" i="3" s="1"/>
  <c r="L604" i="3"/>
  <c r="M604" i="3" s="1"/>
  <c r="T604" i="3" s="1"/>
  <c r="L684" i="3"/>
  <c r="M684" i="3" s="1"/>
  <c r="T684" i="3" s="1"/>
  <c r="L685" i="3"/>
  <c r="L729" i="3"/>
  <c r="L730" i="3"/>
  <c r="L765" i="3"/>
  <c r="L766" i="3"/>
  <c r="L946" i="3"/>
  <c r="M946" i="3" s="1"/>
  <c r="T946" i="3" s="1"/>
  <c r="L991" i="3"/>
  <c r="M991" i="3" s="1"/>
  <c r="T991" i="3" s="1"/>
  <c r="L1036" i="3"/>
  <c r="M1036" i="3" s="1"/>
  <c r="T1036" i="3" s="1"/>
  <c r="L1134" i="3"/>
  <c r="L1135" i="3"/>
  <c r="L1179" i="3"/>
  <c r="L1180" i="3"/>
  <c r="L1216" i="3"/>
  <c r="M1216" i="3" s="1"/>
  <c r="T1216" i="3" s="1"/>
  <c r="M1268" i="3"/>
  <c r="T1268" i="3" s="1"/>
  <c r="L1270" i="3"/>
  <c r="U1740" i="3"/>
  <c r="L405" i="3"/>
  <c r="M405" i="3" s="1"/>
  <c r="T405" i="3" s="1"/>
  <c r="L406" i="3"/>
  <c r="L424" i="3"/>
  <c r="M424" i="3" s="1"/>
  <c r="T424" i="3" s="1"/>
  <c r="L451" i="3"/>
  <c r="M451" i="3" s="1"/>
  <c r="T451" i="3" s="1"/>
  <c r="M602" i="3"/>
  <c r="T602" i="3" s="1"/>
  <c r="L648" i="3"/>
  <c r="M648" i="3" s="1"/>
  <c r="T648" i="3" s="1"/>
  <c r="L649" i="3"/>
  <c r="L774" i="3"/>
  <c r="L775" i="3"/>
  <c r="L793" i="3"/>
  <c r="M793" i="3" s="1"/>
  <c r="T793" i="3" s="1"/>
  <c r="L792" i="3"/>
  <c r="L856" i="3"/>
  <c r="L855" i="3"/>
  <c r="L1000" i="3"/>
  <c r="M1000" i="3" s="1"/>
  <c r="T1000" i="3" s="1"/>
  <c r="L1144" i="3"/>
  <c r="M1144" i="3" s="1"/>
  <c r="T1144" i="3" s="1"/>
  <c r="L1162" i="3"/>
  <c r="M1162" i="3" s="1"/>
  <c r="T1162" i="3" s="1"/>
  <c r="L1198" i="3"/>
  <c r="M1198" i="3" s="1"/>
  <c r="T1198" i="3" s="1"/>
  <c r="Z1636" i="3"/>
  <c r="L829" i="3"/>
  <c r="M829" i="3" s="1"/>
  <c r="T829" i="3" s="1"/>
  <c r="L459" i="3"/>
  <c r="L460" i="3"/>
  <c r="L504" i="3"/>
  <c r="M504" i="3" s="1"/>
  <c r="T504" i="3" s="1"/>
  <c r="L505" i="3"/>
  <c r="L523" i="3"/>
  <c r="L522" i="3"/>
  <c r="L540" i="3"/>
  <c r="L541" i="3"/>
  <c r="L576" i="3"/>
  <c r="L577" i="3"/>
  <c r="L594" i="3"/>
  <c r="L595" i="3"/>
  <c r="L676" i="3"/>
  <c r="M676" i="3" s="1"/>
  <c r="T676" i="3" s="1"/>
  <c r="L675" i="3"/>
  <c r="L693" i="3"/>
  <c r="L694" i="3"/>
  <c r="L720" i="3"/>
  <c r="L721" i="3"/>
  <c r="L757" i="3"/>
  <c r="L756" i="3"/>
  <c r="M756" i="3" s="1"/>
  <c r="T756" i="3" s="1"/>
  <c r="L819" i="3"/>
  <c r="L820" i="3"/>
  <c r="L936" i="3"/>
  <c r="L937" i="3"/>
  <c r="L955" i="3"/>
  <c r="L954" i="3"/>
  <c r="L981" i="3"/>
  <c r="L982" i="3"/>
  <c r="M982" i="3" s="1"/>
  <c r="T982" i="3" s="1"/>
  <c r="L1063" i="3"/>
  <c r="M1063" i="3" s="1"/>
  <c r="T1063" i="3" s="1"/>
  <c r="L1189" i="3"/>
  <c r="L1188" i="3"/>
  <c r="L1225" i="3"/>
  <c r="L1224" i="3"/>
  <c r="L1252" i="3"/>
  <c r="M1252" i="3" s="1"/>
  <c r="T1252" i="3" s="1"/>
  <c r="L1234" i="3"/>
  <c r="AD1218" i="3"/>
  <c r="M1196" i="3"/>
  <c r="T1196" i="3" s="1"/>
  <c r="M1180" i="3"/>
  <c r="T1180" i="3" s="1"/>
  <c r="Z1141" i="3"/>
  <c r="L1126" i="3"/>
  <c r="M1126" i="3" s="1"/>
  <c r="T1126" i="3" s="1"/>
  <c r="L1117" i="3"/>
  <c r="M1117" i="3" s="1"/>
  <c r="T1117" i="3" s="1"/>
  <c r="M1106" i="3"/>
  <c r="T1106" i="3" s="1"/>
  <c r="L1108" i="3"/>
  <c r="M1099" i="3"/>
  <c r="T1099" i="3" s="1"/>
  <c r="U1099" i="3" s="1"/>
  <c r="L1072" i="3"/>
  <c r="M1072" i="3" s="1"/>
  <c r="T1072" i="3" s="1"/>
  <c r="L1054" i="3"/>
  <c r="M1054" i="3" s="1"/>
  <c r="T1054" i="3" s="1"/>
  <c r="M1052" i="3"/>
  <c r="T1052" i="3" s="1"/>
  <c r="L1026" i="3"/>
  <c r="L1018" i="3"/>
  <c r="M1018" i="3" s="1"/>
  <c r="T1018" i="3" s="1"/>
  <c r="L963" i="3"/>
  <c r="L964" i="3"/>
  <c r="Z961" i="3"/>
  <c r="L909" i="3"/>
  <c r="L910" i="3"/>
  <c r="L901" i="3"/>
  <c r="M901" i="3" s="1"/>
  <c r="T901" i="3" s="1"/>
  <c r="L891" i="3"/>
  <c r="L892" i="3"/>
  <c r="L873" i="3"/>
  <c r="L874" i="3"/>
  <c r="L846" i="3"/>
  <c r="L847" i="3"/>
  <c r="L837" i="3"/>
  <c r="M837" i="3" s="1"/>
  <c r="T837" i="3" s="1"/>
  <c r="L838" i="3"/>
  <c r="M827" i="3"/>
  <c r="T827" i="3" s="1"/>
  <c r="L811" i="3"/>
  <c r="M811" i="3" s="1"/>
  <c r="T811" i="3" s="1"/>
  <c r="M755" i="3"/>
  <c r="T755" i="3" s="1"/>
  <c r="L712" i="3"/>
  <c r="M712" i="3" s="1"/>
  <c r="T712" i="3" s="1"/>
  <c r="L702" i="3"/>
  <c r="U687" i="3"/>
  <c r="L657" i="3"/>
  <c r="L658" i="3"/>
  <c r="U574" i="3"/>
  <c r="L568" i="3"/>
  <c r="M568" i="3" s="1"/>
  <c r="T568" i="3" s="1"/>
  <c r="L550" i="3"/>
  <c r="M550" i="3" s="1"/>
  <c r="T550" i="3" s="1"/>
  <c r="L532" i="3"/>
  <c r="M532" i="3" s="1"/>
  <c r="T532" i="3" s="1"/>
  <c r="U543" i="3"/>
  <c r="Z610" i="3"/>
  <c r="U610" i="3"/>
  <c r="M406" i="3"/>
  <c r="T406" i="3" s="1"/>
  <c r="AC406" i="3" s="1"/>
  <c r="Z421" i="3"/>
  <c r="L485" i="3"/>
  <c r="L487" i="3" s="1"/>
  <c r="U943" i="3"/>
  <c r="U1168" i="3"/>
  <c r="M1232" i="3"/>
  <c r="T1232" i="3" s="1"/>
  <c r="R481" i="3"/>
  <c r="M505" i="3"/>
  <c r="T505" i="3" s="1"/>
  <c r="U505" i="3" s="1"/>
  <c r="U615" i="3"/>
  <c r="M638" i="3"/>
  <c r="T638" i="3" s="1"/>
  <c r="Z655" i="3"/>
  <c r="M683" i="3"/>
  <c r="T683" i="3" s="1"/>
  <c r="M720" i="3"/>
  <c r="T720" i="3" s="1"/>
  <c r="U1024" i="3"/>
  <c r="U52" i="3"/>
  <c r="M442" i="3"/>
  <c r="T442" i="3" s="1"/>
  <c r="M611" i="3"/>
  <c r="T611" i="3" s="1"/>
  <c r="M1088" i="3"/>
  <c r="T1088" i="3" s="1"/>
  <c r="M1160" i="3"/>
  <c r="T1160" i="3" s="1"/>
  <c r="Z1177" i="3"/>
  <c r="U1240" i="3"/>
  <c r="L1269" i="3"/>
  <c r="M1269" i="3" s="1"/>
  <c r="T1269" i="3" s="1"/>
  <c r="M1700" i="3"/>
  <c r="T1700" i="3" s="1"/>
  <c r="U1771" i="3"/>
  <c r="U718" i="3"/>
  <c r="M746" i="3"/>
  <c r="T746" i="3" s="1"/>
  <c r="M791" i="3"/>
  <c r="T791" i="3" s="1"/>
  <c r="M802" i="3"/>
  <c r="T802" i="3" s="1"/>
  <c r="Z844" i="3"/>
  <c r="U907" i="3"/>
  <c r="Z1033" i="3"/>
  <c r="M1124" i="3"/>
  <c r="T1124" i="3" s="1"/>
  <c r="U1614" i="3"/>
  <c r="Z1672" i="3"/>
  <c r="Z1105" i="3"/>
  <c r="U1105" i="3"/>
  <c r="Z1573" i="3"/>
  <c r="U1573" i="3"/>
  <c r="Z646" i="3"/>
  <c r="U646" i="3"/>
  <c r="AA1106" i="3"/>
  <c r="U1106" i="3"/>
  <c r="M1233" i="3"/>
  <c r="T1233" i="3" s="1"/>
  <c r="L298" i="3"/>
  <c r="L297" i="3"/>
  <c r="L315" i="3"/>
  <c r="L316" i="3"/>
  <c r="M316" i="3" s="1"/>
  <c r="T316" i="3" s="1"/>
  <c r="U439" i="3"/>
  <c r="L476" i="3"/>
  <c r="L478" i="3" s="1"/>
  <c r="Z511" i="3"/>
  <c r="M530" i="3"/>
  <c r="T530" i="3" s="1"/>
  <c r="M541" i="3"/>
  <c r="T541" i="3" s="1"/>
  <c r="U541" i="3" s="1"/>
  <c r="M674" i="3"/>
  <c r="T674" i="3" s="1"/>
  <c r="U682" i="3"/>
  <c r="M710" i="3"/>
  <c r="T710" i="3" s="1"/>
  <c r="M747" i="3"/>
  <c r="T747" i="3" s="1"/>
  <c r="U747" i="3" s="1"/>
  <c r="U754" i="3"/>
  <c r="L783" i="3"/>
  <c r="M783" i="3" s="1"/>
  <c r="T783" i="3" s="1"/>
  <c r="U783" i="3" s="1"/>
  <c r="U799" i="3"/>
  <c r="L828" i="3"/>
  <c r="M828" i="3" s="1"/>
  <c r="T828" i="3" s="1"/>
  <c r="U828" i="3" s="1"/>
  <c r="M838" i="3"/>
  <c r="T838" i="3" s="1"/>
  <c r="U838" i="3" s="1"/>
  <c r="M863" i="3"/>
  <c r="T863" i="3" s="1"/>
  <c r="M874" i="3"/>
  <c r="T874" i="3" s="1"/>
  <c r="U874" i="3" s="1"/>
  <c r="M899" i="3"/>
  <c r="T899" i="3" s="1"/>
  <c r="M935" i="3"/>
  <c r="T935" i="3" s="1"/>
  <c r="M944" i="3"/>
  <c r="T944" i="3" s="1"/>
  <c r="U952" i="3"/>
  <c r="M1016" i="3"/>
  <c r="T1016" i="3" s="1"/>
  <c r="M1115" i="3"/>
  <c r="T1115" i="3" s="1"/>
  <c r="U1132" i="3"/>
  <c r="L1161" i="3"/>
  <c r="M1161" i="3" s="1"/>
  <c r="T1161" i="3" s="1"/>
  <c r="L1197" i="3"/>
  <c r="M1197" i="3" s="1"/>
  <c r="T1197" i="3" s="1"/>
  <c r="Z1213" i="3"/>
  <c r="M1234" i="3"/>
  <c r="T1234" i="3" s="1"/>
  <c r="AC1234" i="3" s="1"/>
  <c r="Z1285" i="3"/>
  <c r="M1556" i="3"/>
  <c r="T1556" i="3" s="1"/>
  <c r="U1564" i="3"/>
  <c r="M1574" i="3"/>
  <c r="T1574" i="3" s="1"/>
  <c r="T1592" i="3"/>
  <c r="U1600" i="3"/>
  <c r="L55" i="3"/>
  <c r="M415" i="3"/>
  <c r="T415" i="3" s="1"/>
  <c r="U415" i="3" s="1"/>
  <c r="M1243" i="3"/>
  <c r="T1243" i="3" s="1"/>
  <c r="U1243" i="3" s="1"/>
  <c r="L585" i="3"/>
  <c r="L639" i="3"/>
  <c r="M639" i="3" s="1"/>
  <c r="T639" i="3" s="1"/>
  <c r="L1125" i="3"/>
  <c r="M1125" i="3" s="1"/>
  <c r="T1125" i="3" s="1"/>
  <c r="U1125" i="3" s="1"/>
  <c r="M1557" i="3"/>
  <c r="T1557" i="3" s="1"/>
  <c r="U1557" i="3" s="1"/>
  <c r="L117" i="3"/>
  <c r="L118" i="3"/>
  <c r="L280" i="3"/>
  <c r="M280" i="3" s="1"/>
  <c r="T280" i="3" s="1"/>
  <c r="M404" i="3"/>
  <c r="T404" i="3" s="1"/>
  <c r="R472" i="3"/>
  <c r="M494" i="3"/>
  <c r="T494" i="3" s="1"/>
  <c r="M531" i="3"/>
  <c r="T531" i="3" s="1"/>
  <c r="U531" i="3" s="1"/>
  <c r="M566" i="3"/>
  <c r="T566" i="3" s="1"/>
  <c r="M577" i="3"/>
  <c r="T577" i="3" s="1"/>
  <c r="M647" i="3"/>
  <c r="T647" i="3" s="1"/>
  <c r="M719" i="3"/>
  <c r="T719" i="3" s="1"/>
  <c r="L864" i="3"/>
  <c r="M864" i="3" s="1"/>
  <c r="T864" i="3" s="1"/>
  <c r="U864" i="3" s="1"/>
  <c r="M910" i="3"/>
  <c r="T910" i="3" s="1"/>
  <c r="AC910" i="3" s="1"/>
  <c r="M980" i="3"/>
  <c r="T980" i="3" s="1"/>
  <c r="M1027" i="3"/>
  <c r="T1027" i="3" s="1"/>
  <c r="AD1146" i="3"/>
  <c r="L181" i="3"/>
  <c r="L262" i="3"/>
  <c r="L495" i="3"/>
  <c r="M495" i="3" s="1"/>
  <c r="T495" i="3" s="1"/>
  <c r="L549" i="3"/>
  <c r="L1737" i="3"/>
  <c r="L900" i="3"/>
  <c r="M900" i="3" s="1"/>
  <c r="T900" i="3" s="1"/>
  <c r="U900" i="3" s="1"/>
  <c r="L945" i="3"/>
  <c r="M945" i="3" s="1"/>
  <c r="T945" i="3" s="1"/>
  <c r="AB945" i="3" s="1"/>
  <c r="L1566" i="3"/>
  <c r="L46" i="3"/>
  <c r="L45" i="3"/>
  <c r="L99" i="3"/>
  <c r="L100" i="3"/>
  <c r="M181" i="3"/>
  <c r="T181" i="3" s="1"/>
  <c r="L325" i="3"/>
  <c r="L324" i="3"/>
  <c r="M324" i="3" s="1"/>
  <c r="T324" i="3" s="1"/>
  <c r="AD1182" i="3"/>
  <c r="U1204" i="3"/>
  <c r="Z1249" i="3"/>
  <c r="U1276" i="3"/>
  <c r="M1601" i="3"/>
  <c r="T1601" i="3" s="1"/>
  <c r="AA1601" i="3" s="1"/>
  <c r="M1666" i="3"/>
  <c r="T1666" i="3" s="1"/>
  <c r="U1666" i="3" s="1"/>
  <c r="L1701" i="3"/>
  <c r="Z1708" i="3"/>
  <c r="M1774" i="3"/>
  <c r="T1774" i="3" s="1"/>
  <c r="L226" i="3"/>
  <c r="L435" i="3"/>
  <c r="L433" i="3" s="1"/>
  <c r="L603" i="3"/>
  <c r="M603" i="3" s="1"/>
  <c r="T603" i="3" s="1"/>
  <c r="M675" i="3"/>
  <c r="T675" i="3" s="1"/>
  <c r="U675" i="3" s="1"/>
  <c r="L1143" i="3"/>
  <c r="M1143" i="3" s="1"/>
  <c r="T1143" i="3" s="1"/>
  <c r="L1746" i="3"/>
  <c r="M954" i="3"/>
  <c r="T954" i="3" s="1"/>
  <c r="L145" i="3"/>
  <c r="M145" i="3" s="1"/>
  <c r="T145" i="3" s="1"/>
  <c r="L163" i="3"/>
  <c r="M163" i="3" s="1"/>
  <c r="T163" i="3" s="1"/>
  <c r="L288" i="3"/>
  <c r="M288" i="3" s="1"/>
  <c r="T288" i="3" s="1"/>
  <c r="L289" i="3"/>
  <c r="L352" i="3"/>
  <c r="M352" i="3" s="1"/>
  <c r="T352" i="3" s="1"/>
  <c r="L91" i="3"/>
  <c r="M91" i="3" s="1"/>
  <c r="T91" i="3" s="1"/>
  <c r="AC91" i="3" s="1"/>
  <c r="L127" i="3"/>
  <c r="M127" i="3" s="1"/>
  <c r="T127" i="3" s="1"/>
  <c r="L513" i="3"/>
  <c r="L1089" i="3"/>
  <c r="M1089" i="3" s="1"/>
  <c r="T1089" i="3" s="1"/>
  <c r="U1089" i="3" s="1"/>
  <c r="M765" i="3"/>
  <c r="T765" i="3" s="1"/>
  <c r="M1611" i="3"/>
  <c r="T1611" i="3" s="1"/>
  <c r="U322" i="3"/>
  <c r="M314" i="3"/>
  <c r="T314" i="3" s="1"/>
  <c r="M315" i="3"/>
  <c r="T315" i="3" s="1"/>
  <c r="AB315" i="3" s="1"/>
  <c r="Z295" i="3"/>
  <c r="M278" i="3"/>
  <c r="T278" i="3" s="1"/>
  <c r="L279" i="3"/>
  <c r="M279" i="3" s="1"/>
  <c r="T279" i="3" s="1"/>
  <c r="L261" i="3"/>
  <c r="M262" i="3"/>
  <c r="T262" i="3" s="1"/>
  <c r="L180" i="3"/>
  <c r="U169" i="3"/>
  <c r="M174" i="3"/>
  <c r="T174" i="3" s="1"/>
  <c r="AD174" i="3" s="1"/>
  <c r="L172" i="3"/>
  <c r="M172" i="3" s="1"/>
  <c r="T172" i="3" s="1"/>
  <c r="L162" i="3"/>
  <c r="M162" i="3" s="1"/>
  <c r="T162" i="3" s="1"/>
  <c r="AB162" i="3" s="1"/>
  <c r="M161" i="3"/>
  <c r="T161" i="3" s="1"/>
  <c r="L153" i="3"/>
  <c r="M233" i="3"/>
  <c r="T233" i="3" s="1"/>
  <c r="L235" i="3"/>
  <c r="M235" i="3" s="1"/>
  <c r="T235" i="3" s="1"/>
  <c r="Z142" i="3"/>
  <c r="M136" i="3"/>
  <c r="T136" i="3" s="1"/>
  <c r="AC136" i="3" s="1"/>
  <c r="L135" i="3"/>
  <c r="M125" i="3"/>
  <c r="T125" i="3" s="1"/>
  <c r="L126" i="3"/>
  <c r="M126" i="3" s="1"/>
  <c r="T126" i="3" s="1"/>
  <c r="AB126" i="3" s="1"/>
  <c r="Z106" i="3"/>
  <c r="M89" i="3"/>
  <c r="T89" i="3" s="1"/>
  <c r="AA89" i="3" s="1"/>
  <c r="M75" i="3"/>
  <c r="T75" i="3" s="1"/>
  <c r="L73" i="3"/>
  <c r="M66" i="3"/>
  <c r="T66" i="3" s="1"/>
  <c r="U66" i="3" s="1"/>
  <c r="M64" i="3"/>
  <c r="T64" i="3" s="1"/>
  <c r="M55" i="3"/>
  <c r="T55" i="3" s="1"/>
  <c r="U55" i="3" s="1"/>
  <c r="M48" i="3"/>
  <c r="T48" i="3" s="1"/>
  <c r="M46" i="3"/>
  <c r="T46" i="3" s="1"/>
  <c r="AC46" i="3" s="1"/>
  <c r="M44" i="3"/>
  <c r="T44" i="3" s="1"/>
  <c r="AA44" i="3" s="1"/>
  <c r="M45" i="3"/>
  <c r="T45" i="3" s="1"/>
  <c r="AB45" i="3" s="1"/>
  <c r="L28" i="3"/>
  <c r="M28" i="3" s="1"/>
  <c r="T28" i="3" s="1"/>
  <c r="U241" i="3"/>
  <c r="L243" i="3"/>
  <c r="M243" i="3" s="1"/>
  <c r="T243" i="3" s="1"/>
  <c r="U16" i="3"/>
  <c r="M19" i="3"/>
  <c r="T19" i="3" s="1"/>
  <c r="U19" i="3" s="1"/>
  <c r="L18" i="3"/>
  <c r="U136" i="3"/>
  <c r="AD246" i="3"/>
  <c r="U246" i="3"/>
  <c r="AD102" i="3"/>
  <c r="U102" i="3"/>
  <c r="AD291" i="3"/>
  <c r="U291" i="3"/>
  <c r="U453" i="3"/>
  <c r="AD453" i="3"/>
  <c r="M748" i="3"/>
  <c r="T748" i="3" s="1"/>
  <c r="AC748" i="3" s="1"/>
  <c r="L742" i="3"/>
  <c r="AD993" i="3"/>
  <c r="U993" i="3"/>
  <c r="M1173" i="3"/>
  <c r="T1173" i="3" s="1"/>
  <c r="M1171" i="3"/>
  <c r="T1171" i="3" s="1"/>
  <c r="U1171" i="3" s="1"/>
  <c r="M1567" i="3"/>
  <c r="T1567" i="3" s="1"/>
  <c r="M1566" i="3"/>
  <c r="T1566" i="3" s="1"/>
  <c r="AB1566" i="3" s="1"/>
  <c r="M1659" i="3"/>
  <c r="T1659" i="3" s="1"/>
  <c r="L1656" i="3"/>
  <c r="M1656" i="3" s="1"/>
  <c r="T1656" i="3" s="1"/>
  <c r="M100" i="3"/>
  <c r="T100" i="3" s="1"/>
  <c r="U100" i="3" s="1"/>
  <c r="L130" i="3"/>
  <c r="M325" i="3"/>
  <c r="T325" i="3" s="1"/>
  <c r="M414" i="3"/>
  <c r="T414" i="3" s="1"/>
  <c r="AB414" i="3" s="1"/>
  <c r="U417" i="3"/>
  <c r="U495" i="3"/>
  <c r="U603" i="3"/>
  <c r="M1206" i="3"/>
  <c r="T1206" i="3" s="1"/>
  <c r="U1785" i="3"/>
  <c r="AD1785" i="3"/>
  <c r="U234" i="3"/>
  <c r="U813" i="3"/>
  <c r="AD813" i="3"/>
  <c r="U921" i="3"/>
  <c r="AD921" i="3"/>
  <c r="M1137" i="3"/>
  <c r="T1137" i="3" s="1"/>
  <c r="M1135" i="3"/>
  <c r="T1135" i="3" s="1"/>
  <c r="M1209" i="3"/>
  <c r="T1209" i="3" s="1"/>
  <c r="M1207" i="3"/>
  <c r="T1207" i="3" s="1"/>
  <c r="M21" i="3"/>
  <c r="T21" i="3" s="1"/>
  <c r="AD21" i="3" s="1"/>
  <c r="AD30" i="3"/>
  <c r="L13" i="3"/>
  <c r="T13" i="3" s="1"/>
  <c r="W13" i="3" s="1"/>
  <c r="M57" i="3"/>
  <c r="T57" i="3" s="1"/>
  <c r="AD66" i="3"/>
  <c r="AD183" i="3"/>
  <c r="M244" i="3"/>
  <c r="T244" i="3" s="1"/>
  <c r="U244" i="3" s="1"/>
  <c r="U279" i="3"/>
  <c r="M289" i="3"/>
  <c r="T289" i="3" s="1"/>
  <c r="U289" i="3" s="1"/>
  <c r="L310" i="3"/>
  <c r="M310" i="3" s="1"/>
  <c r="U315" i="3"/>
  <c r="AB531" i="3"/>
  <c r="AC541" i="3"/>
  <c r="AD588" i="3"/>
  <c r="M1134" i="3"/>
  <c r="T1134" i="3" s="1"/>
  <c r="AB1134" i="3" s="1"/>
  <c r="U1269" i="3"/>
  <c r="AB1269" i="3"/>
  <c r="M957" i="3"/>
  <c r="T957" i="3" s="1"/>
  <c r="M955" i="3"/>
  <c r="T955" i="3" s="1"/>
  <c r="U955" i="3" s="1"/>
  <c r="AD1065" i="3"/>
  <c r="U1065" i="3"/>
  <c r="M54" i="3"/>
  <c r="T54" i="3" s="1"/>
  <c r="AB54" i="3" s="1"/>
  <c r="M99" i="3"/>
  <c r="T99" i="3" s="1"/>
  <c r="U99" i="3" s="1"/>
  <c r="L166" i="3"/>
  <c r="T166" i="3" s="1"/>
  <c r="W166" i="3" s="1"/>
  <c r="AD264" i="3"/>
  <c r="AD354" i="3"/>
  <c r="U406" i="3"/>
  <c r="U639" i="3"/>
  <c r="U1254" i="3"/>
  <c r="AD1254" i="3"/>
  <c r="M1279" i="3"/>
  <c r="T1279" i="3" s="1"/>
  <c r="M1569" i="3"/>
  <c r="T1569" i="3" s="1"/>
  <c r="L1728" i="3"/>
  <c r="M1767" i="3"/>
  <c r="T1767" i="3" s="1"/>
  <c r="AD1767" i="3" s="1"/>
  <c r="M847" i="3"/>
  <c r="T847" i="3" s="1"/>
  <c r="L868" i="3"/>
  <c r="M1603" i="3"/>
  <c r="T1603" i="3" s="1"/>
  <c r="AC1603" i="3" s="1"/>
  <c r="M1765" i="3"/>
  <c r="T1765" i="3" s="1"/>
  <c r="AC1765" i="3" s="1"/>
  <c r="U759" i="3"/>
  <c r="M883" i="3"/>
  <c r="T883" i="3" s="1"/>
  <c r="AD1038" i="3"/>
  <c r="L1062" i="3"/>
  <c r="L1098" i="3"/>
  <c r="M1098" i="3" s="1"/>
  <c r="T1098" i="3" s="1"/>
  <c r="U1234" i="3"/>
  <c r="L1242" i="3"/>
  <c r="M1242" i="3" s="1"/>
  <c r="T1242" i="3" s="1"/>
  <c r="AD1290" i="3"/>
  <c r="AC1666" i="3"/>
  <c r="M1729" i="3"/>
  <c r="T1729" i="3" s="1"/>
  <c r="AC1729" i="3" s="1"/>
  <c r="U1776" i="3"/>
  <c r="U804" i="3"/>
  <c r="U840" i="3"/>
  <c r="AC874" i="3"/>
  <c r="AB900" i="3"/>
  <c r="M919" i="3"/>
  <c r="T919" i="3" s="1"/>
  <c r="L990" i="3"/>
  <c r="L1278" i="3"/>
  <c r="M1278" i="3" s="1"/>
  <c r="T1278" i="3" s="1"/>
  <c r="M1657" i="3"/>
  <c r="T1657" i="3" s="1"/>
  <c r="AC1657" i="3" s="1"/>
  <c r="AD408" i="3"/>
  <c r="U408" i="3"/>
  <c r="AD129" i="3"/>
  <c r="U129" i="3"/>
  <c r="AD282" i="3"/>
  <c r="U282" i="3"/>
  <c r="AD93" i="3"/>
  <c r="U93" i="3"/>
  <c r="M13" i="3"/>
  <c r="Z34" i="3"/>
  <c r="U34" i="3"/>
  <c r="AD48" i="3"/>
  <c r="U48" i="3"/>
  <c r="M109" i="3"/>
  <c r="T109" i="3" s="1"/>
  <c r="M154" i="3"/>
  <c r="T154" i="3" s="1"/>
  <c r="M153" i="3"/>
  <c r="T153" i="3" s="1"/>
  <c r="M152" i="3"/>
  <c r="T152" i="3" s="1"/>
  <c r="AB288" i="3"/>
  <c r="U288" i="3"/>
  <c r="M298" i="3"/>
  <c r="T298" i="3" s="1"/>
  <c r="AD309" i="3"/>
  <c r="U309" i="3"/>
  <c r="M523" i="3"/>
  <c r="T523" i="3" s="1"/>
  <c r="M522" i="3"/>
  <c r="T522" i="3" s="1"/>
  <c r="M521" i="3"/>
  <c r="T521" i="3" s="1"/>
  <c r="Z529" i="3"/>
  <c r="U529" i="3"/>
  <c r="U547" i="3"/>
  <c r="Z547" i="3"/>
  <c r="U577" i="3"/>
  <c r="AC577" i="3"/>
  <c r="Z700" i="3"/>
  <c r="U700" i="3"/>
  <c r="Z25" i="3"/>
  <c r="Z43" i="3"/>
  <c r="U43" i="3"/>
  <c r="L49" i="3"/>
  <c r="AC55" i="3"/>
  <c r="Z70" i="3"/>
  <c r="U70" i="3"/>
  <c r="U97" i="3"/>
  <c r="AD111" i="3"/>
  <c r="L121" i="3"/>
  <c r="AA125" i="3"/>
  <c r="U125" i="3"/>
  <c r="M135" i="3"/>
  <c r="T135" i="3" s="1"/>
  <c r="U138" i="3"/>
  <c r="AD156" i="3"/>
  <c r="U156" i="3"/>
  <c r="Z178" i="3"/>
  <c r="AC181" i="3"/>
  <c r="U181" i="3"/>
  <c r="M226" i="3"/>
  <c r="T226" i="3" s="1"/>
  <c r="M225" i="3"/>
  <c r="T225" i="3" s="1"/>
  <c r="M224" i="3"/>
  <c r="T224" i="3" s="1"/>
  <c r="Z232" i="3"/>
  <c r="U232" i="3"/>
  <c r="AB234" i="3"/>
  <c r="Z268" i="3"/>
  <c r="U268" i="3"/>
  <c r="U286" i="3"/>
  <c r="AD300" i="3"/>
  <c r="AA314" i="3"/>
  <c r="U314" i="3"/>
  <c r="Z349" i="3"/>
  <c r="Z403" i="3"/>
  <c r="U403" i="3"/>
  <c r="U412" i="3"/>
  <c r="AD426" i="3"/>
  <c r="U426" i="3"/>
  <c r="M496" i="3"/>
  <c r="T496" i="3" s="1"/>
  <c r="L490" i="3"/>
  <c r="AD498" i="3"/>
  <c r="U498" i="3"/>
  <c r="AD534" i="3"/>
  <c r="U534" i="3"/>
  <c r="AD570" i="3"/>
  <c r="U570" i="3"/>
  <c r="AA602" i="3"/>
  <c r="U602" i="3"/>
  <c r="AB612" i="3"/>
  <c r="U612" i="3"/>
  <c r="M640" i="3"/>
  <c r="T640" i="3" s="1"/>
  <c r="L634" i="3"/>
  <c r="U691" i="3"/>
  <c r="Z691" i="3"/>
  <c r="M766" i="3"/>
  <c r="T766" i="3" s="1"/>
  <c r="M768" i="3"/>
  <c r="T768" i="3" s="1"/>
  <c r="AD777" i="3"/>
  <c r="U777" i="3"/>
  <c r="AD120" i="3"/>
  <c r="U120" i="3"/>
  <c r="AA278" i="3"/>
  <c r="U278" i="3"/>
  <c r="M471" i="3"/>
  <c r="T471" i="3" s="1"/>
  <c r="L467" i="3"/>
  <c r="R463" i="3"/>
  <c r="M37" i="3"/>
  <c r="T37" i="3" s="1"/>
  <c r="L36" i="3"/>
  <c r="M36" i="3" s="1"/>
  <c r="T36" i="3" s="1"/>
  <c r="M35" i="3"/>
  <c r="T35" i="3" s="1"/>
  <c r="M18" i="3"/>
  <c r="T18" i="3" s="1"/>
  <c r="AD39" i="3"/>
  <c r="U39" i="3"/>
  <c r="Z61" i="3"/>
  <c r="M73" i="3"/>
  <c r="T73" i="3" s="1"/>
  <c r="L72" i="3"/>
  <c r="M72" i="3" s="1"/>
  <c r="T72" i="3" s="1"/>
  <c r="M71" i="3"/>
  <c r="T71" i="3" s="1"/>
  <c r="Z88" i="3"/>
  <c r="U88" i="3"/>
  <c r="Z115" i="3"/>
  <c r="U115" i="3"/>
  <c r="U133" i="3"/>
  <c r="AD147" i="3"/>
  <c r="L157" i="3"/>
  <c r="AA161" i="3"/>
  <c r="U161" i="3"/>
  <c r="U174" i="3"/>
  <c r="AD228" i="3"/>
  <c r="U228" i="3"/>
  <c r="Z259" i="3"/>
  <c r="M271" i="3"/>
  <c r="T271" i="3" s="1"/>
  <c r="L270" i="3"/>
  <c r="M270" i="3" s="1"/>
  <c r="T270" i="3" s="1"/>
  <c r="M269" i="3"/>
  <c r="T269" i="3" s="1"/>
  <c r="Z277" i="3"/>
  <c r="U277" i="3"/>
  <c r="AB279" i="3"/>
  <c r="Z304" i="3"/>
  <c r="U304" i="3"/>
  <c r="U327" i="3"/>
  <c r="AC415" i="3"/>
  <c r="Z475" i="3"/>
  <c r="U475" i="3"/>
  <c r="M485" i="3"/>
  <c r="T485" i="3" s="1"/>
  <c r="L621" i="3"/>
  <c r="AD651" i="3"/>
  <c r="U651" i="3"/>
  <c r="AD678" i="3"/>
  <c r="U678" i="3"/>
  <c r="Z160" i="3"/>
  <c r="U160" i="3"/>
  <c r="Z223" i="3"/>
  <c r="U223" i="3"/>
  <c r="AD237" i="3"/>
  <c r="U237" i="3"/>
  <c r="L535" i="3"/>
  <c r="M540" i="3"/>
  <c r="T540" i="3" s="1"/>
  <c r="M711" i="3"/>
  <c r="T711" i="3" s="1"/>
  <c r="L706" i="3"/>
  <c r="L40" i="3"/>
  <c r="U44" i="3"/>
  <c r="AD75" i="3"/>
  <c r="U75" i="3"/>
  <c r="U91" i="3"/>
  <c r="M118" i="3"/>
  <c r="T118" i="3" s="1"/>
  <c r="M117" i="3"/>
  <c r="T117" i="3" s="1"/>
  <c r="M116" i="3"/>
  <c r="T116" i="3" s="1"/>
  <c r="Z124" i="3"/>
  <c r="U124" i="3"/>
  <c r="Z151" i="3"/>
  <c r="U151" i="3"/>
  <c r="AD165" i="3"/>
  <c r="U165" i="3"/>
  <c r="L229" i="3"/>
  <c r="AA233" i="3"/>
  <c r="U233" i="3"/>
  <c r="AB243" i="3"/>
  <c r="U243" i="3"/>
  <c r="AD273" i="3"/>
  <c r="U273" i="3"/>
  <c r="M307" i="3"/>
  <c r="T307" i="3" s="1"/>
  <c r="L306" i="3"/>
  <c r="M306" i="3" s="1"/>
  <c r="T306" i="3" s="1"/>
  <c r="M305" i="3"/>
  <c r="T305" i="3" s="1"/>
  <c r="Z313" i="3"/>
  <c r="U313" i="3"/>
  <c r="AD318" i="3"/>
  <c r="U318" i="3"/>
  <c r="L400" i="3"/>
  <c r="AA404" i="3"/>
  <c r="U404" i="3"/>
  <c r="AA431" i="3"/>
  <c r="U431" i="3"/>
  <c r="U442" i="3"/>
  <c r="AC442" i="3"/>
  <c r="AD507" i="3"/>
  <c r="U507" i="3"/>
  <c r="Z556" i="3"/>
  <c r="U556" i="3"/>
  <c r="M567" i="3"/>
  <c r="T567" i="3" s="1"/>
  <c r="L562" i="3"/>
  <c r="M622" i="3"/>
  <c r="T622" i="3" s="1"/>
  <c r="M624" i="3"/>
  <c r="T624" i="3" s="1"/>
  <c r="AD633" i="3"/>
  <c r="U633" i="3"/>
  <c r="M667" i="3"/>
  <c r="T667" i="3" s="1"/>
  <c r="L666" i="3"/>
  <c r="M666" i="3" s="1"/>
  <c r="T666" i="3" s="1"/>
  <c r="M665" i="3"/>
  <c r="T665" i="3" s="1"/>
  <c r="Z673" i="3"/>
  <c r="U673" i="3"/>
  <c r="AA683" i="3"/>
  <c r="U683" i="3"/>
  <c r="L715" i="3"/>
  <c r="M721" i="3"/>
  <c r="T721" i="3" s="1"/>
  <c r="T742" i="3"/>
  <c r="W742" i="3" s="1"/>
  <c r="M742" i="3"/>
  <c r="AA746" i="3"/>
  <c r="U746" i="3"/>
  <c r="M784" i="3"/>
  <c r="T784" i="3" s="1"/>
  <c r="L778" i="3"/>
  <c r="AC847" i="3"/>
  <c r="U847" i="3"/>
  <c r="AD867" i="3"/>
  <c r="U867" i="3"/>
  <c r="L436" i="3"/>
  <c r="Z457" i="3"/>
  <c r="U457" i="3"/>
  <c r="Z466" i="3"/>
  <c r="U466" i="3"/>
  <c r="M476" i="3"/>
  <c r="T476" i="3" s="1"/>
  <c r="AA494" i="3"/>
  <c r="U494" i="3"/>
  <c r="AB504" i="3"/>
  <c r="U504" i="3"/>
  <c r="AD525" i="3"/>
  <c r="U525" i="3"/>
  <c r="M559" i="3"/>
  <c r="T559" i="3" s="1"/>
  <c r="L558" i="3"/>
  <c r="M558" i="3" s="1"/>
  <c r="T558" i="3" s="1"/>
  <c r="M557" i="3"/>
  <c r="T557" i="3" s="1"/>
  <c r="Z565" i="3"/>
  <c r="U565" i="3"/>
  <c r="L571" i="3"/>
  <c r="Z592" i="3"/>
  <c r="U592" i="3"/>
  <c r="L607" i="3"/>
  <c r="M613" i="3"/>
  <c r="T613" i="3" s="1"/>
  <c r="AA638" i="3"/>
  <c r="U638" i="3"/>
  <c r="AB648" i="3"/>
  <c r="U648" i="3"/>
  <c r="M657" i="3"/>
  <c r="T657" i="3" s="1"/>
  <c r="M658" i="3"/>
  <c r="T658" i="3" s="1"/>
  <c r="M660" i="3"/>
  <c r="T660" i="3" s="1"/>
  <c r="AD669" i="3"/>
  <c r="U669" i="3"/>
  <c r="M703" i="3"/>
  <c r="T703" i="3" s="1"/>
  <c r="M702" i="3"/>
  <c r="T702" i="3" s="1"/>
  <c r="M701" i="3"/>
  <c r="T701" i="3" s="1"/>
  <c r="Z709" i="3"/>
  <c r="U709" i="3"/>
  <c r="AD714" i="3"/>
  <c r="U714" i="3"/>
  <c r="AA719" i="3"/>
  <c r="U719" i="3"/>
  <c r="Z736" i="3"/>
  <c r="U736" i="3"/>
  <c r="L751" i="3"/>
  <c r="M757" i="3"/>
  <c r="T757" i="3" s="1"/>
  <c r="AA782" i="3"/>
  <c r="U782" i="3"/>
  <c r="AD795" i="3"/>
  <c r="U795" i="3"/>
  <c r="U802" i="3"/>
  <c r="AC802" i="3"/>
  <c r="U849" i="3"/>
  <c r="AD849" i="3"/>
  <c r="AD858" i="3"/>
  <c r="U858" i="3"/>
  <c r="M892" i="3"/>
  <c r="T892" i="3" s="1"/>
  <c r="M891" i="3"/>
  <c r="T891" i="3" s="1"/>
  <c r="M890" i="3"/>
  <c r="T890" i="3" s="1"/>
  <c r="U916" i="3"/>
  <c r="Z916" i="3"/>
  <c r="U945" i="3"/>
  <c r="Z835" i="3"/>
  <c r="U835" i="3"/>
  <c r="Z898" i="3"/>
  <c r="U898" i="3"/>
  <c r="AD939" i="3"/>
  <c r="U939" i="3"/>
  <c r="AD1056" i="3"/>
  <c r="U1056" i="3"/>
  <c r="M26" i="3"/>
  <c r="T26" i="3" s="1"/>
  <c r="L27" i="3"/>
  <c r="M62" i="3"/>
  <c r="T62" i="3" s="1"/>
  <c r="L63" i="3"/>
  <c r="M107" i="3"/>
  <c r="T107" i="3" s="1"/>
  <c r="L108" i="3"/>
  <c r="M143" i="3"/>
  <c r="T143" i="3" s="1"/>
  <c r="L144" i="3"/>
  <c r="M179" i="3"/>
  <c r="T179" i="3" s="1"/>
  <c r="M260" i="3"/>
  <c r="T260" i="3" s="1"/>
  <c r="M296" i="3"/>
  <c r="T296" i="3" s="1"/>
  <c r="M350" i="3"/>
  <c r="T350" i="3" s="1"/>
  <c r="L351" i="3"/>
  <c r="M351" i="3" s="1"/>
  <c r="T351" i="3" s="1"/>
  <c r="M422" i="3"/>
  <c r="T422" i="3" s="1"/>
  <c r="L423" i="3"/>
  <c r="M423" i="3" s="1"/>
  <c r="T423" i="3" s="1"/>
  <c r="Z448" i="3"/>
  <c r="M460" i="3"/>
  <c r="T460" i="3" s="1"/>
  <c r="M459" i="3"/>
  <c r="T459" i="3" s="1"/>
  <c r="M458" i="3"/>
  <c r="T458" i="3" s="1"/>
  <c r="M489" i="3"/>
  <c r="T489" i="3" s="1"/>
  <c r="U502" i="3"/>
  <c r="AD516" i="3"/>
  <c r="AA530" i="3"/>
  <c r="U530" i="3"/>
  <c r="AD561" i="3"/>
  <c r="U561" i="3"/>
  <c r="Z583" i="3"/>
  <c r="M595" i="3"/>
  <c r="T595" i="3" s="1"/>
  <c r="M594" i="3"/>
  <c r="T594" i="3" s="1"/>
  <c r="M593" i="3"/>
  <c r="T593" i="3" s="1"/>
  <c r="Z601" i="3"/>
  <c r="U601" i="3"/>
  <c r="AB603" i="3"/>
  <c r="AD606" i="3"/>
  <c r="U606" i="3"/>
  <c r="AA611" i="3"/>
  <c r="U611" i="3"/>
  <c r="Z628" i="3"/>
  <c r="U628" i="3"/>
  <c r="L643" i="3"/>
  <c r="M649" i="3"/>
  <c r="T649" i="3" s="1"/>
  <c r="AA674" i="3"/>
  <c r="U674" i="3"/>
  <c r="M693" i="3"/>
  <c r="T693" i="3" s="1"/>
  <c r="M694" i="3"/>
  <c r="T694" i="3" s="1"/>
  <c r="M696" i="3"/>
  <c r="T696" i="3" s="1"/>
  <c r="AD705" i="3"/>
  <c r="U705" i="3"/>
  <c r="Z727" i="3"/>
  <c r="M739" i="3"/>
  <c r="T739" i="3" s="1"/>
  <c r="L738" i="3"/>
  <c r="M738" i="3" s="1"/>
  <c r="T738" i="3" s="1"/>
  <c r="M737" i="3"/>
  <c r="T737" i="3" s="1"/>
  <c r="Z745" i="3"/>
  <c r="U745" i="3"/>
  <c r="AB747" i="3"/>
  <c r="AD750" i="3"/>
  <c r="U750" i="3"/>
  <c r="AA755" i="3"/>
  <c r="U755" i="3"/>
  <c r="Z772" i="3"/>
  <c r="U772" i="3"/>
  <c r="AA827" i="3"/>
  <c r="U827" i="3"/>
  <c r="AB837" i="3"/>
  <c r="U837" i="3"/>
  <c r="L904" i="3"/>
  <c r="M909" i="3"/>
  <c r="T909" i="3" s="1"/>
  <c r="Z925" i="3"/>
  <c r="U925" i="3"/>
  <c r="M936" i="3"/>
  <c r="T936" i="3" s="1"/>
  <c r="AD984" i="3"/>
  <c r="U984" i="3"/>
  <c r="AD831" i="3"/>
  <c r="U831" i="3"/>
  <c r="AD876" i="3"/>
  <c r="U876" i="3"/>
  <c r="M17" i="3"/>
  <c r="T17" i="3" s="1"/>
  <c r="M53" i="3"/>
  <c r="T53" i="3" s="1"/>
  <c r="M98" i="3"/>
  <c r="T98" i="3" s="1"/>
  <c r="M134" i="3"/>
  <c r="T134" i="3" s="1"/>
  <c r="M170" i="3"/>
  <c r="T170" i="3" s="1"/>
  <c r="M242" i="3"/>
  <c r="T242" i="3" s="1"/>
  <c r="M287" i="3"/>
  <c r="T287" i="3" s="1"/>
  <c r="L319" i="3"/>
  <c r="M323" i="3"/>
  <c r="T323" i="3" s="1"/>
  <c r="M413" i="3"/>
  <c r="T413" i="3" s="1"/>
  <c r="Z430" i="3"/>
  <c r="U430" i="3"/>
  <c r="M441" i="3"/>
  <c r="T441" i="3" s="1"/>
  <c r="U444" i="3"/>
  <c r="AD462" i="3"/>
  <c r="U462" i="3"/>
  <c r="M480" i="3"/>
  <c r="T480" i="3" s="1"/>
  <c r="Z484" i="3"/>
  <c r="U484" i="3"/>
  <c r="Z493" i="3"/>
  <c r="U493" i="3"/>
  <c r="AB495" i="3"/>
  <c r="L499" i="3"/>
  <c r="AC505" i="3"/>
  <c r="Z520" i="3"/>
  <c r="U520" i="3"/>
  <c r="U538" i="3"/>
  <c r="AD552" i="3"/>
  <c r="AA566" i="3"/>
  <c r="U566" i="3"/>
  <c r="M576" i="3"/>
  <c r="T576" i="3" s="1"/>
  <c r="U579" i="3"/>
  <c r="AD597" i="3"/>
  <c r="U597" i="3"/>
  <c r="Z619" i="3"/>
  <c r="M631" i="3"/>
  <c r="T631" i="3" s="1"/>
  <c r="L630" i="3"/>
  <c r="M630" i="3" s="1"/>
  <c r="T630" i="3" s="1"/>
  <c r="M629" i="3"/>
  <c r="T629" i="3" s="1"/>
  <c r="Z637" i="3"/>
  <c r="U637" i="3"/>
  <c r="AB639" i="3"/>
  <c r="AD642" i="3"/>
  <c r="U642" i="3"/>
  <c r="AA647" i="3"/>
  <c r="U647" i="3"/>
  <c r="Z664" i="3"/>
  <c r="U664" i="3"/>
  <c r="L679" i="3"/>
  <c r="M685" i="3"/>
  <c r="T685" i="3" s="1"/>
  <c r="AA710" i="3"/>
  <c r="U710" i="3"/>
  <c r="AB720" i="3"/>
  <c r="U720" i="3"/>
  <c r="U723" i="3"/>
  <c r="M729" i="3"/>
  <c r="T729" i="3" s="1"/>
  <c r="M730" i="3"/>
  <c r="T730" i="3" s="1"/>
  <c r="M732" i="3"/>
  <c r="T732" i="3" s="1"/>
  <c r="AD741" i="3"/>
  <c r="U741" i="3"/>
  <c r="Z763" i="3"/>
  <c r="M775" i="3"/>
  <c r="T775" i="3" s="1"/>
  <c r="M774" i="3"/>
  <c r="T774" i="3" s="1"/>
  <c r="M773" i="3"/>
  <c r="T773" i="3" s="1"/>
  <c r="Z781" i="3"/>
  <c r="U781" i="3"/>
  <c r="AB783" i="3"/>
  <c r="AD786" i="3"/>
  <c r="U786" i="3"/>
  <c r="M792" i="3"/>
  <c r="T792" i="3" s="1"/>
  <c r="L787" i="3"/>
  <c r="M865" i="3"/>
  <c r="T865" i="3" s="1"/>
  <c r="L859" i="3"/>
  <c r="AC883" i="3"/>
  <c r="U883" i="3"/>
  <c r="AD1020" i="3"/>
  <c r="U1020" i="3"/>
  <c r="AD1245" i="3"/>
  <c r="U1245" i="3"/>
  <c r="AB1278" i="3"/>
  <c r="U1278" i="3"/>
  <c r="Z790" i="3"/>
  <c r="U790" i="3"/>
  <c r="L796" i="3"/>
  <c r="Z817" i="3"/>
  <c r="U817" i="3"/>
  <c r="AA863" i="3"/>
  <c r="U863" i="3"/>
  <c r="M873" i="3"/>
  <c r="T873" i="3" s="1"/>
  <c r="AD894" i="3"/>
  <c r="U894" i="3"/>
  <c r="AC919" i="3"/>
  <c r="U919" i="3"/>
  <c r="M928" i="3"/>
  <c r="T928" i="3" s="1"/>
  <c r="L927" i="3"/>
  <c r="M927" i="3" s="1"/>
  <c r="T927" i="3" s="1"/>
  <c r="M926" i="3"/>
  <c r="T926" i="3" s="1"/>
  <c r="Z934" i="3"/>
  <c r="U934" i="3"/>
  <c r="AA1052" i="3"/>
  <c r="U1052" i="3"/>
  <c r="AD1092" i="3"/>
  <c r="U1092" i="3"/>
  <c r="M435" i="3"/>
  <c r="T435" i="3" s="1"/>
  <c r="M449" i="3"/>
  <c r="T449" i="3" s="1"/>
  <c r="L450" i="3"/>
  <c r="M512" i="3"/>
  <c r="T512" i="3" s="1"/>
  <c r="M548" i="3"/>
  <c r="T548" i="3" s="1"/>
  <c r="M584" i="3"/>
  <c r="T584" i="3" s="1"/>
  <c r="M620" i="3"/>
  <c r="T620" i="3" s="1"/>
  <c r="M656" i="3"/>
  <c r="T656" i="3" s="1"/>
  <c r="M692" i="3"/>
  <c r="T692" i="3" s="1"/>
  <c r="M728" i="3"/>
  <c r="T728" i="3" s="1"/>
  <c r="M764" i="3"/>
  <c r="T764" i="3" s="1"/>
  <c r="Z808" i="3"/>
  <c r="M820" i="3"/>
  <c r="T820" i="3" s="1"/>
  <c r="M819" i="3"/>
  <c r="T819" i="3" s="1"/>
  <c r="M818" i="3"/>
  <c r="T818" i="3" s="1"/>
  <c r="Z826" i="3"/>
  <c r="U826" i="3"/>
  <c r="AB828" i="3"/>
  <c r="AC838" i="3"/>
  <c r="Z853" i="3"/>
  <c r="U853" i="3"/>
  <c r="U871" i="3"/>
  <c r="AD885" i="3"/>
  <c r="L895" i="3"/>
  <c r="AA899" i="3"/>
  <c r="U899" i="3"/>
  <c r="U912" i="3"/>
  <c r="AD930" i="3"/>
  <c r="U930" i="3"/>
  <c r="AD957" i="3"/>
  <c r="U957" i="3"/>
  <c r="Z1006" i="3"/>
  <c r="U1006" i="3"/>
  <c r="M1017" i="3"/>
  <c r="T1017" i="3" s="1"/>
  <c r="L1012" i="3"/>
  <c r="Z1060" i="3"/>
  <c r="U1060" i="3"/>
  <c r="AA1232" i="3"/>
  <c r="U1232" i="3"/>
  <c r="R427" i="3"/>
  <c r="M440" i="3"/>
  <c r="T440" i="3" s="1"/>
  <c r="M503" i="3"/>
  <c r="T503" i="3" s="1"/>
  <c r="M539" i="3"/>
  <c r="T539" i="3" s="1"/>
  <c r="M575" i="3"/>
  <c r="T575" i="3" s="1"/>
  <c r="AA791" i="3"/>
  <c r="U791" i="3"/>
  <c r="AB801" i="3"/>
  <c r="U801" i="3"/>
  <c r="AD822" i="3"/>
  <c r="U822" i="3"/>
  <c r="M856" i="3"/>
  <c r="T856" i="3" s="1"/>
  <c r="M855" i="3"/>
  <c r="T855" i="3" s="1"/>
  <c r="M854" i="3"/>
  <c r="T854" i="3" s="1"/>
  <c r="Z862" i="3"/>
  <c r="U862" i="3"/>
  <c r="Z889" i="3"/>
  <c r="U889" i="3"/>
  <c r="AD903" i="3"/>
  <c r="U903" i="3"/>
  <c r="AA935" i="3"/>
  <c r="U935" i="3"/>
  <c r="M973" i="3"/>
  <c r="T973" i="3" s="1"/>
  <c r="L972" i="3"/>
  <c r="M972" i="3" s="1"/>
  <c r="T972" i="3" s="1"/>
  <c r="M971" i="3"/>
  <c r="T971" i="3" s="1"/>
  <c r="Z979" i="3"/>
  <c r="U979" i="3"/>
  <c r="L985" i="3"/>
  <c r="M990" i="3"/>
  <c r="T990" i="3" s="1"/>
  <c r="U997" i="3"/>
  <c r="Z997" i="3"/>
  <c r="U1027" i="3"/>
  <c r="AC1027" i="3"/>
  <c r="U1074" i="3"/>
  <c r="AD1074" i="3"/>
  <c r="AD1083" i="3"/>
  <c r="U1083" i="3"/>
  <c r="AD1101" i="3"/>
  <c r="U1101" i="3"/>
  <c r="M937" i="3"/>
  <c r="T937" i="3" s="1"/>
  <c r="M963" i="3"/>
  <c r="T963" i="3" s="1"/>
  <c r="L958" i="3"/>
  <c r="M964" i="3"/>
  <c r="T964" i="3" s="1"/>
  <c r="M966" i="3"/>
  <c r="T966" i="3" s="1"/>
  <c r="AD975" i="3"/>
  <c r="U975" i="3"/>
  <c r="M1009" i="3"/>
  <c r="T1009" i="3" s="1"/>
  <c r="M1008" i="3"/>
  <c r="T1008" i="3" s="1"/>
  <c r="M1007" i="3"/>
  <c r="T1007" i="3" s="1"/>
  <c r="Z1015" i="3"/>
  <c r="U1015" i="3"/>
  <c r="L1021" i="3"/>
  <c r="Z1042" i="3"/>
  <c r="U1042" i="3"/>
  <c r="L1084" i="3"/>
  <c r="AA1088" i="3"/>
  <c r="U1088" i="3"/>
  <c r="AB1098" i="3"/>
  <c r="U1098" i="3"/>
  <c r="M1108" i="3"/>
  <c r="T1108" i="3" s="1"/>
  <c r="L1107" i="3"/>
  <c r="M1110" i="3"/>
  <c r="T1110" i="3" s="1"/>
  <c r="AD1119" i="3"/>
  <c r="U1119" i="3"/>
  <c r="AD1128" i="3"/>
  <c r="U1128" i="3"/>
  <c r="U1135" i="3"/>
  <c r="AC1135" i="3"/>
  <c r="AD1173" i="3"/>
  <c r="U1173" i="3"/>
  <c r="AB1242" i="3"/>
  <c r="U1242" i="3"/>
  <c r="U1279" i="3"/>
  <c r="AC1279" i="3"/>
  <c r="M809" i="3"/>
  <c r="T809" i="3" s="1"/>
  <c r="L810" i="3"/>
  <c r="M845" i="3"/>
  <c r="T845" i="3" s="1"/>
  <c r="M881" i="3"/>
  <c r="T881" i="3" s="1"/>
  <c r="L882" i="3"/>
  <c r="M917" i="3"/>
  <c r="T917" i="3" s="1"/>
  <c r="AD948" i="3"/>
  <c r="U948" i="3"/>
  <c r="AA980" i="3"/>
  <c r="U980" i="3"/>
  <c r="AD1011" i="3"/>
  <c r="U1011" i="3"/>
  <c r="M1045" i="3"/>
  <c r="T1045" i="3" s="1"/>
  <c r="L1044" i="3"/>
  <c r="M1044" i="3" s="1"/>
  <c r="T1044" i="3" s="1"/>
  <c r="M1043" i="3"/>
  <c r="T1043" i="3" s="1"/>
  <c r="Z1051" i="3"/>
  <c r="U1051" i="3"/>
  <c r="Z1078" i="3"/>
  <c r="U1078" i="3"/>
  <c r="U1096" i="3"/>
  <c r="Z1114" i="3"/>
  <c r="U1114" i="3"/>
  <c r="Z1123" i="3"/>
  <c r="U1123" i="3"/>
  <c r="Z1195" i="3"/>
  <c r="U1195" i="3"/>
  <c r="AD1200" i="3"/>
  <c r="U1200" i="3"/>
  <c r="U1207" i="3"/>
  <c r="AC1207" i="3"/>
  <c r="M1261" i="3"/>
  <c r="T1261" i="3" s="1"/>
  <c r="L1260" i="3"/>
  <c r="M1260" i="3" s="1"/>
  <c r="T1260" i="3" s="1"/>
  <c r="M1259" i="3"/>
  <c r="T1259" i="3" s="1"/>
  <c r="Z1267" i="3"/>
  <c r="U1267" i="3"/>
  <c r="AD1272" i="3"/>
  <c r="U1272" i="3"/>
  <c r="M800" i="3"/>
  <c r="T800" i="3" s="1"/>
  <c r="L832" i="3"/>
  <c r="M836" i="3"/>
  <c r="T836" i="3" s="1"/>
  <c r="M872" i="3"/>
  <c r="T872" i="3" s="1"/>
  <c r="M908" i="3"/>
  <c r="T908" i="3" s="1"/>
  <c r="Z970" i="3"/>
  <c r="U970" i="3"/>
  <c r="U988" i="3"/>
  <c r="AD1002" i="3"/>
  <c r="AA1016" i="3"/>
  <c r="U1016" i="3"/>
  <c r="M1026" i="3"/>
  <c r="T1026" i="3" s="1"/>
  <c r="U1029" i="3"/>
  <c r="AD1047" i="3"/>
  <c r="U1047" i="3"/>
  <c r="Z1069" i="3"/>
  <c r="M1081" i="3"/>
  <c r="T1081" i="3" s="1"/>
  <c r="L1080" i="3"/>
  <c r="M1080" i="3" s="1"/>
  <c r="T1080" i="3" s="1"/>
  <c r="M1079" i="3"/>
  <c r="T1079" i="3" s="1"/>
  <c r="Z1087" i="3"/>
  <c r="U1087" i="3"/>
  <c r="AB1089" i="3"/>
  <c r="L1093" i="3"/>
  <c r="AC1099" i="3"/>
  <c r="AA1160" i="3"/>
  <c r="U1160" i="3"/>
  <c r="M1189" i="3"/>
  <c r="T1189" i="3" s="1"/>
  <c r="M1188" i="3"/>
  <c r="T1188" i="3" s="1"/>
  <c r="M1187" i="3"/>
  <c r="T1187" i="3" s="1"/>
  <c r="Z1150" i="3"/>
  <c r="U1150" i="3"/>
  <c r="M1170" i="3"/>
  <c r="T1170" i="3" s="1"/>
  <c r="AD1191" i="3"/>
  <c r="U1191" i="3"/>
  <c r="Z1222" i="3"/>
  <c r="U1222" i="3"/>
  <c r="AD1263" i="3"/>
  <c r="U1263" i="3"/>
  <c r="AD1551" i="3"/>
  <c r="U1551" i="3"/>
  <c r="AD1650" i="3"/>
  <c r="U1650" i="3"/>
  <c r="M962" i="3"/>
  <c r="T962" i="3" s="1"/>
  <c r="M998" i="3"/>
  <c r="T998" i="3" s="1"/>
  <c r="L999" i="3"/>
  <c r="M1034" i="3"/>
  <c r="T1034" i="3" s="1"/>
  <c r="L1035" i="3"/>
  <c r="M1070" i="3"/>
  <c r="T1070" i="3" s="1"/>
  <c r="AA1124" i="3"/>
  <c r="U1124" i="3"/>
  <c r="M1153" i="3"/>
  <c r="T1153" i="3" s="1"/>
  <c r="M1152" i="3"/>
  <c r="T1152" i="3" s="1"/>
  <c r="M1151" i="3"/>
  <c r="T1151" i="3" s="1"/>
  <c r="Z1159" i="3"/>
  <c r="U1159" i="3"/>
  <c r="AD1164" i="3"/>
  <c r="U1164" i="3"/>
  <c r="L1192" i="3"/>
  <c r="AA1196" i="3"/>
  <c r="U1196" i="3"/>
  <c r="M1225" i="3"/>
  <c r="T1225" i="3" s="1"/>
  <c r="M1224" i="3"/>
  <c r="T1224" i="3" s="1"/>
  <c r="M1223" i="3"/>
  <c r="T1223" i="3" s="1"/>
  <c r="Z1231" i="3"/>
  <c r="U1231" i="3"/>
  <c r="AD1236" i="3"/>
  <c r="U1236" i="3"/>
  <c r="AA1268" i="3"/>
  <c r="U1268" i="3"/>
  <c r="AD1605" i="3"/>
  <c r="U1605" i="3"/>
  <c r="AB1611" i="3"/>
  <c r="U1611" i="3"/>
  <c r="U1641" i="3"/>
  <c r="AD1641" i="3"/>
  <c r="M953" i="3"/>
  <c r="T953" i="3" s="1"/>
  <c r="M989" i="3"/>
  <c r="T989" i="3" s="1"/>
  <c r="M1025" i="3"/>
  <c r="T1025" i="3" s="1"/>
  <c r="M1061" i="3"/>
  <c r="T1061" i="3" s="1"/>
  <c r="M1097" i="3"/>
  <c r="T1097" i="3" s="1"/>
  <c r="U1134" i="3"/>
  <c r="AD1155" i="3"/>
  <c r="U1155" i="3"/>
  <c r="AC1171" i="3"/>
  <c r="Z1186" i="3"/>
  <c r="U1186" i="3"/>
  <c r="AB1206" i="3"/>
  <c r="AD1227" i="3"/>
  <c r="U1227" i="3"/>
  <c r="AC1243" i="3"/>
  <c r="Z1258" i="3"/>
  <c r="U1258" i="3"/>
  <c r="U1281" i="3"/>
  <c r="M1558" i="3"/>
  <c r="T1558" i="3" s="1"/>
  <c r="L1552" i="3"/>
  <c r="AA1592" i="3"/>
  <c r="U1592" i="3"/>
  <c r="AA1556" i="3"/>
  <c r="U1556" i="3"/>
  <c r="Z1582" i="3"/>
  <c r="U1582" i="3"/>
  <c r="AD1668" i="3"/>
  <c r="U1668" i="3"/>
  <c r="M1693" i="3"/>
  <c r="T1693" i="3" s="1"/>
  <c r="M1691" i="3"/>
  <c r="T1691" i="3" s="1"/>
  <c r="M1142" i="3"/>
  <c r="T1142" i="3" s="1"/>
  <c r="M1178" i="3"/>
  <c r="T1178" i="3" s="1"/>
  <c r="M1179" i="3"/>
  <c r="T1179" i="3" s="1"/>
  <c r="M1214" i="3"/>
  <c r="T1214" i="3" s="1"/>
  <c r="L1215" i="3"/>
  <c r="M1215" i="3" s="1"/>
  <c r="T1215" i="3" s="1"/>
  <c r="M1250" i="3"/>
  <c r="T1250" i="3" s="1"/>
  <c r="L1251" i="3"/>
  <c r="M1251" i="3" s="1"/>
  <c r="T1251" i="3" s="1"/>
  <c r="M1286" i="3"/>
  <c r="T1286" i="3" s="1"/>
  <c r="M1287" i="3"/>
  <c r="T1287" i="3" s="1"/>
  <c r="Z1546" i="3"/>
  <c r="U1546" i="3"/>
  <c r="M1585" i="3"/>
  <c r="T1585" i="3" s="1"/>
  <c r="M1584" i="3"/>
  <c r="T1584" i="3" s="1"/>
  <c r="M1583" i="3"/>
  <c r="T1583" i="3" s="1"/>
  <c r="Z1591" i="3"/>
  <c r="U1591" i="3"/>
  <c r="AD1596" i="3"/>
  <c r="U1596" i="3"/>
  <c r="Z1609" i="3"/>
  <c r="U1609" i="3"/>
  <c r="U1657" i="3"/>
  <c r="M1684" i="3"/>
  <c r="T1684" i="3" s="1"/>
  <c r="M1683" i="3"/>
  <c r="T1683" i="3" s="1"/>
  <c r="M1682" i="3"/>
  <c r="T1682" i="3" s="1"/>
  <c r="AD1731" i="3"/>
  <c r="U1731" i="3"/>
  <c r="L1129" i="3"/>
  <c r="M1133" i="3"/>
  <c r="T1133" i="3" s="1"/>
  <c r="M1169" i="3"/>
  <c r="T1169" i="3" s="1"/>
  <c r="M1205" i="3"/>
  <c r="T1205" i="3" s="1"/>
  <c r="L1237" i="3"/>
  <c r="M1241" i="3"/>
  <c r="T1241" i="3" s="1"/>
  <c r="L1273" i="3"/>
  <c r="M1277" i="3"/>
  <c r="T1277" i="3" s="1"/>
  <c r="M1549" i="3"/>
  <c r="T1549" i="3" s="1"/>
  <c r="M1548" i="3"/>
  <c r="T1548" i="3" s="1"/>
  <c r="M1547" i="3"/>
  <c r="T1547" i="3" s="1"/>
  <c r="Z1555" i="3"/>
  <c r="U1555" i="3"/>
  <c r="AB1557" i="3"/>
  <c r="AD1560" i="3"/>
  <c r="U1560" i="3"/>
  <c r="AA1565" i="3"/>
  <c r="U1565" i="3"/>
  <c r="M1576" i="3"/>
  <c r="T1576" i="3" s="1"/>
  <c r="M1578" i="3"/>
  <c r="T1578" i="3" s="1"/>
  <c r="AD1587" i="3"/>
  <c r="U1587" i="3"/>
  <c r="M1639" i="3"/>
  <c r="T1639" i="3" s="1"/>
  <c r="L1651" i="3"/>
  <c r="AA1655" i="3"/>
  <c r="U1655" i="3"/>
  <c r="M1665" i="3"/>
  <c r="T1665" i="3" s="1"/>
  <c r="AD1686" i="3"/>
  <c r="U1686" i="3"/>
  <c r="AA1700" i="3"/>
  <c r="U1700" i="3"/>
  <c r="AD1704" i="3"/>
  <c r="U1704" i="3"/>
  <c r="Z1645" i="3"/>
  <c r="U1645" i="3"/>
  <c r="AD1659" i="3"/>
  <c r="U1659" i="3"/>
  <c r="AD1677" i="3"/>
  <c r="Z1699" i="3"/>
  <c r="U1699" i="3"/>
  <c r="L1696" i="3"/>
  <c r="Z1753" i="3"/>
  <c r="U1753" i="3"/>
  <c r="M1764" i="3"/>
  <c r="T1764" i="3" s="1"/>
  <c r="L1759" i="3"/>
  <c r="M1648" i="3"/>
  <c r="T1648" i="3" s="1"/>
  <c r="L1647" i="3"/>
  <c r="M1647" i="3" s="1"/>
  <c r="T1647" i="3" s="1"/>
  <c r="M1646" i="3"/>
  <c r="T1646" i="3" s="1"/>
  <c r="Z1654" i="3"/>
  <c r="U1654" i="3"/>
  <c r="Z1681" i="3"/>
  <c r="U1681" i="3"/>
  <c r="Z1690" i="3"/>
  <c r="U1690" i="3"/>
  <c r="AD1695" i="3"/>
  <c r="U1695" i="3"/>
  <c r="M1720" i="3"/>
  <c r="T1720" i="3" s="1"/>
  <c r="L1719" i="3"/>
  <c r="M1719" i="3" s="1"/>
  <c r="T1719" i="3" s="1"/>
  <c r="M1718" i="3"/>
  <c r="T1718" i="3" s="1"/>
  <c r="Z1726" i="3"/>
  <c r="U1726" i="3"/>
  <c r="L1732" i="3"/>
  <c r="M1737" i="3"/>
  <c r="T1737" i="3" s="1"/>
  <c r="U1744" i="3"/>
  <c r="Z1744" i="3"/>
  <c r="U1774" i="3"/>
  <c r="AC1774" i="3"/>
  <c r="M1710" i="3"/>
  <c r="T1710" i="3" s="1"/>
  <c r="M1711" i="3"/>
  <c r="T1711" i="3" s="1"/>
  <c r="M1713" i="3"/>
  <c r="T1713" i="3" s="1"/>
  <c r="AD1722" i="3"/>
  <c r="U1722" i="3"/>
  <c r="U1729" i="3"/>
  <c r="M1756" i="3"/>
  <c r="T1756" i="3" s="1"/>
  <c r="L1755" i="3"/>
  <c r="M1755" i="3" s="1"/>
  <c r="T1755" i="3" s="1"/>
  <c r="M1754" i="3"/>
  <c r="T1754" i="3" s="1"/>
  <c r="Z1762" i="3"/>
  <c r="U1762" i="3"/>
  <c r="Z1789" i="3"/>
  <c r="U1789" i="3"/>
  <c r="M1637" i="3"/>
  <c r="T1637" i="3" s="1"/>
  <c r="M1673" i="3"/>
  <c r="T1673" i="3" s="1"/>
  <c r="M1701" i="3"/>
  <c r="T1701" i="3" s="1"/>
  <c r="AA1727" i="3"/>
  <c r="U1727" i="3"/>
  <c r="AD1758" i="3"/>
  <c r="U1758" i="3"/>
  <c r="U1765" i="3"/>
  <c r="Z1780" i="3"/>
  <c r="M1792" i="3"/>
  <c r="T1792" i="3" s="1"/>
  <c r="L1791" i="3"/>
  <c r="M1791" i="3" s="1"/>
  <c r="T1791" i="3" s="1"/>
  <c r="M1790" i="3"/>
  <c r="T1790" i="3" s="1"/>
  <c r="M1610" i="3"/>
  <c r="T1610" i="3" s="1"/>
  <c r="M1664" i="3"/>
  <c r="T1664" i="3" s="1"/>
  <c r="Z1717" i="3"/>
  <c r="U1717" i="3"/>
  <c r="U1735" i="3"/>
  <c r="AD1749" i="3"/>
  <c r="AA1763" i="3"/>
  <c r="U1763" i="3"/>
  <c r="AD1794" i="3"/>
  <c r="U1794" i="3"/>
  <c r="M1709" i="3"/>
  <c r="T1709" i="3" s="1"/>
  <c r="M1745" i="3"/>
  <c r="T1745" i="3" s="1"/>
  <c r="M1781" i="3"/>
  <c r="T1781" i="3" s="1"/>
  <c r="L1782" i="3"/>
  <c r="M1782" i="3" s="1"/>
  <c r="T1782" i="3" s="1"/>
  <c r="M1736" i="3"/>
  <c r="T1736" i="3" s="1"/>
  <c r="L1768" i="3"/>
  <c r="M1772" i="3"/>
  <c r="T1772" i="3" s="1"/>
  <c r="AC1747" i="3" l="1"/>
  <c r="U1747" i="3"/>
  <c r="AC1594" i="3"/>
  <c r="U1594" i="3"/>
  <c r="U162" i="3"/>
  <c r="AB1773" i="3"/>
  <c r="U1773" i="3"/>
  <c r="AC1702" i="3"/>
  <c r="U1702" i="3"/>
  <c r="U1612" i="3"/>
  <c r="AC1612" i="3"/>
  <c r="U1738" i="3"/>
  <c r="AC1738" i="3"/>
  <c r="AC1783" i="3"/>
  <c r="U1783" i="3"/>
  <c r="U1675" i="3"/>
  <c r="AC1675" i="3"/>
  <c r="U1601" i="3"/>
  <c r="U1566" i="3"/>
  <c r="L1561" i="3"/>
  <c r="AC1288" i="3"/>
  <c r="U1288" i="3"/>
  <c r="AB324" i="3"/>
  <c r="U324" i="3"/>
  <c r="U1063" i="3"/>
  <c r="AC1063" i="3"/>
  <c r="AB756" i="3"/>
  <c r="U756" i="3"/>
  <c r="AC793" i="3"/>
  <c r="U793" i="3"/>
  <c r="U126" i="3"/>
  <c r="AC1198" i="3"/>
  <c r="U1198" i="3"/>
  <c r="AC946" i="3"/>
  <c r="U946" i="3"/>
  <c r="AC586" i="3"/>
  <c r="U586" i="3"/>
  <c r="AC982" i="3"/>
  <c r="U982" i="3"/>
  <c r="AC676" i="3"/>
  <c r="U676" i="3"/>
  <c r="AC1162" i="3"/>
  <c r="U1162" i="3"/>
  <c r="U405" i="3"/>
  <c r="AB405" i="3"/>
  <c r="AC1216" i="3"/>
  <c r="U1216" i="3"/>
  <c r="AC514" i="3"/>
  <c r="U514" i="3"/>
  <c r="AC829" i="3"/>
  <c r="U829" i="3"/>
  <c r="AC1144" i="3"/>
  <c r="U1144" i="3"/>
  <c r="AC451" i="3"/>
  <c r="U451" i="3"/>
  <c r="AC1036" i="3"/>
  <c r="U1036" i="3"/>
  <c r="U684" i="3"/>
  <c r="AB684" i="3"/>
  <c r="AC1000" i="3"/>
  <c r="U1000" i="3"/>
  <c r="AC424" i="3"/>
  <c r="U424" i="3"/>
  <c r="AC991" i="3"/>
  <c r="U991" i="3"/>
  <c r="AC604" i="3"/>
  <c r="U604" i="3"/>
  <c r="AC1090" i="3"/>
  <c r="U1090" i="3"/>
  <c r="L469" i="3"/>
  <c r="M469" i="3" s="1"/>
  <c r="T469" i="3" s="1"/>
  <c r="L468" i="3"/>
  <c r="M468" i="3" s="1"/>
  <c r="T468" i="3" s="1"/>
  <c r="AC1252" i="3"/>
  <c r="U1252" i="3"/>
  <c r="AC1180" i="3"/>
  <c r="U1180" i="3"/>
  <c r="L1156" i="3"/>
  <c r="AC1126" i="3"/>
  <c r="U1126" i="3"/>
  <c r="L1120" i="3"/>
  <c r="AB1125" i="3"/>
  <c r="AC1117" i="3"/>
  <c r="U1117" i="3"/>
  <c r="AC1072" i="3"/>
  <c r="U1072" i="3"/>
  <c r="AC1054" i="3"/>
  <c r="U1054" i="3"/>
  <c r="AC1018" i="3"/>
  <c r="U1018" i="3"/>
  <c r="L940" i="3"/>
  <c r="U910" i="3"/>
  <c r="AC901" i="3"/>
  <c r="U901" i="3"/>
  <c r="AB864" i="3"/>
  <c r="U811" i="3"/>
  <c r="AC811" i="3"/>
  <c r="U742" i="3"/>
  <c r="X742" i="3" s="1"/>
  <c r="AC712" i="3"/>
  <c r="U712" i="3"/>
  <c r="AB675" i="3"/>
  <c r="AC568" i="3"/>
  <c r="U568" i="3"/>
  <c r="U550" i="3"/>
  <c r="AC550" i="3"/>
  <c r="AC532" i="3"/>
  <c r="U532" i="3"/>
  <c r="L409" i="3"/>
  <c r="M409" i="3" s="1"/>
  <c r="U414" i="3"/>
  <c r="AC163" i="3"/>
  <c r="U163" i="3"/>
  <c r="AC352" i="3"/>
  <c r="U352" i="3"/>
  <c r="AC145" i="3"/>
  <c r="U145" i="3"/>
  <c r="AC316" i="3"/>
  <c r="U316" i="3"/>
  <c r="L724" i="3"/>
  <c r="L1777" i="3"/>
  <c r="L526" i="3"/>
  <c r="M981" i="3"/>
  <c r="T981" i="3" s="1"/>
  <c r="L976" i="3"/>
  <c r="T1593" i="3"/>
  <c r="U954" i="3"/>
  <c r="AB954" i="3"/>
  <c r="AC280" i="3"/>
  <c r="U280" i="3"/>
  <c r="AC127" i="3"/>
  <c r="U127" i="3"/>
  <c r="AB765" i="3"/>
  <c r="U765" i="3"/>
  <c r="L1183" i="3"/>
  <c r="L90" i="3"/>
  <c r="L1660" i="3"/>
  <c r="L670" i="3"/>
  <c r="M1270" i="3"/>
  <c r="T1270" i="3" s="1"/>
  <c r="L1264" i="3"/>
  <c r="U1161" i="3"/>
  <c r="AB1161" i="3"/>
  <c r="AA944" i="3"/>
  <c r="U944" i="3"/>
  <c r="L1228" i="3"/>
  <c r="M1053" i="3"/>
  <c r="T1053" i="3" s="1"/>
  <c r="L1048" i="3"/>
  <c r="L598" i="3"/>
  <c r="U1233" i="3"/>
  <c r="AB1233" i="3"/>
  <c r="L1642" i="3"/>
  <c r="L814" i="3"/>
  <c r="L688" i="3"/>
  <c r="L1606" i="3"/>
  <c r="L1705" i="3"/>
  <c r="T1705" i="3" s="1"/>
  <c r="AA1574" i="3"/>
  <c r="U1574" i="3"/>
  <c r="U1197" i="3"/>
  <c r="AB1197" i="3"/>
  <c r="U1115" i="3"/>
  <c r="AA1115" i="3"/>
  <c r="L823" i="3"/>
  <c r="T310" i="3"/>
  <c r="W310" i="3" s="1"/>
  <c r="L274" i="3"/>
  <c r="AC262" i="3"/>
  <c r="U262" i="3"/>
  <c r="U172" i="3"/>
  <c r="AC172" i="3"/>
  <c r="M166" i="3"/>
  <c r="AC235" i="3"/>
  <c r="U235" i="3"/>
  <c r="L94" i="3"/>
  <c r="AB99" i="3"/>
  <c r="AC100" i="3"/>
  <c r="U89" i="3"/>
  <c r="U64" i="3"/>
  <c r="AC64" i="3"/>
  <c r="U54" i="3"/>
  <c r="U45" i="3"/>
  <c r="U46" i="3"/>
  <c r="U28" i="3"/>
  <c r="AC28" i="3"/>
  <c r="AC19" i="3"/>
  <c r="AC244" i="3"/>
  <c r="U21" i="3"/>
  <c r="U13" i="3"/>
  <c r="X13" i="3" s="1"/>
  <c r="AD1137" i="3"/>
  <c r="U1137" i="3"/>
  <c r="L1714" i="3"/>
  <c r="T1714" i="3" s="1"/>
  <c r="U748" i="3"/>
  <c r="L346" i="3"/>
  <c r="T346" i="3" s="1"/>
  <c r="L697" i="3"/>
  <c r="AC289" i="3"/>
  <c r="L238" i="3"/>
  <c r="T238" i="3" s="1"/>
  <c r="T868" i="3"/>
  <c r="M868" i="3"/>
  <c r="M1728" i="3"/>
  <c r="T1728" i="3" s="1"/>
  <c r="L1723" i="3"/>
  <c r="AD57" i="3"/>
  <c r="U57" i="3"/>
  <c r="L1165" i="3"/>
  <c r="U1656" i="3"/>
  <c r="AB1656" i="3"/>
  <c r="T130" i="3"/>
  <c r="M130" i="3"/>
  <c r="U1767" i="3"/>
  <c r="U1603" i="3"/>
  <c r="L1201" i="3"/>
  <c r="AC955" i="3"/>
  <c r="L418" i="3"/>
  <c r="T418" i="3" s="1"/>
  <c r="L283" i="3"/>
  <c r="AD1569" i="3"/>
  <c r="U1569" i="3"/>
  <c r="AD1209" i="3"/>
  <c r="U1209" i="3"/>
  <c r="U325" i="3"/>
  <c r="AC325" i="3"/>
  <c r="U1206" i="3"/>
  <c r="L949" i="3"/>
  <c r="T949" i="3" s="1"/>
  <c r="L760" i="3"/>
  <c r="T760" i="3" s="1"/>
  <c r="U166" i="3"/>
  <c r="X166" i="3" s="1"/>
  <c r="M171" i="3"/>
  <c r="T171" i="3" s="1"/>
  <c r="AB171" i="3" s="1"/>
  <c r="L1057" i="3"/>
  <c r="M1062" i="3"/>
  <c r="T1062" i="3" s="1"/>
  <c r="U1790" i="3"/>
  <c r="AA1790" i="3"/>
  <c r="AC1756" i="3"/>
  <c r="U1756" i="3"/>
  <c r="U1578" i="3"/>
  <c r="AD1578" i="3"/>
  <c r="U1547" i="3"/>
  <c r="AA1547" i="3"/>
  <c r="AA1241" i="3"/>
  <c r="U1241" i="3"/>
  <c r="AC1684" i="3"/>
  <c r="U1684" i="3"/>
  <c r="AC1693" i="3"/>
  <c r="U1693" i="3"/>
  <c r="AC1225" i="3"/>
  <c r="U1225" i="3"/>
  <c r="AA1070" i="3"/>
  <c r="U1070" i="3"/>
  <c r="AB1260" i="3"/>
  <c r="U1260" i="3"/>
  <c r="AA917" i="3"/>
  <c r="U917" i="3"/>
  <c r="T958" i="3"/>
  <c r="M958" i="3"/>
  <c r="T985" i="3"/>
  <c r="M985" i="3"/>
  <c r="M549" i="3"/>
  <c r="T549" i="3" s="1"/>
  <c r="L544" i="3"/>
  <c r="AB927" i="3"/>
  <c r="U927" i="3"/>
  <c r="T796" i="3"/>
  <c r="M796" i="3"/>
  <c r="AB774" i="3"/>
  <c r="U774" i="3"/>
  <c r="U629" i="3"/>
  <c r="AA629" i="3"/>
  <c r="AA413" i="3"/>
  <c r="U413" i="3"/>
  <c r="T904" i="3"/>
  <c r="M904" i="3"/>
  <c r="AC739" i="3"/>
  <c r="U739" i="3"/>
  <c r="AB693" i="3"/>
  <c r="U693" i="3"/>
  <c r="U593" i="3"/>
  <c r="AA593" i="3"/>
  <c r="M27" i="3"/>
  <c r="T27" i="3" s="1"/>
  <c r="L22" i="3"/>
  <c r="AB558" i="3"/>
  <c r="U558" i="3"/>
  <c r="M478" i="3"/>
  <c r="T478" i="3" s="1"/>
  <c r="T715" i="3"/>
  <c r="M715" i="3"/>
  <c r="T400" i="3"/>
  <c r="M400" i="3"/>
  <c r="AB540" i="3"/>
  <c r="U540" i="3"/>
  <c r="U269" i="3"/>
  <c r="AA269" i="3"/>
  <c r="AB36" i="3"/>
  <c r="U36" i="3"/>
  <c r="AC766" i="3"/>
  <c r="U766" i="3"/>
  <c r="T121" i="3"/>
  <c r="M121" i="3"/>
  <c r="U521" i="3"/>
  <c r="AA521" i="3"/>
  <c r="AC154" i="3"/>
  <c r="U154" i="3"/>
  <c r="T1696" i="3"/>
  <c r="M1696" i="3"/>
  <c r="M1575" i="3"/>
  <c r="T1575" i="3" s="1"/>
  <c r="L1570" i="3"/>
  <c r="AB1548" i="3"/>
  <c r="U1548" i="3"/>
  <c r="T1237" i="3"/>
  <c r="M1237" i="3"/>
  <c r="T1129" i="3"/>
  <c r="M1129" i="3"/>
  <c r="L1678" i="3"/>
  <c r="AC1585" i="3"/>
  <c r="U1585" i="3"/>
  <c r="AB1287" i="3"/>
  <c r="U1287" i="3"/>
  <c r="AB1251" i="3"/>
  <c r="U1251" i="3"/>
  <c r="AB1215" i="3"/>
  <c r="U1215" i="3"/>
  <c r="AB1179" i="3"/>
  <c r="U1179" i="3"/>
  <c r="AB1143" i="3"/>
  <c r="U1143" i="3"/>
  <c r="L1687" i="3"/>
  <c r="AC1558" i="3"/>
  <c r="U1558" i="3"/>
  <c r="AA1097" i="3"/>
  <c r="U1097" i="3"/>
  <c r="AA953" i="3"/>
  <c r="U953" i="3"/>
  <c r="L1219" i="3"/>
  <c r="AC1153" i="3"/>
  <c r="U1153" i="3"/>
  <c r="M999" i="3"/>
  <c r="T999" i="3" s="1"/>
  <c r="L994" i="3"/>
  <c r="U1187" i="3"/>
  <c r="AA1187" i="3"/>
  <c r="AC1081" i="3"/>
  <c r="U1081" i="3"/>
  <c r="AA908" i="3"/>
  <c r="U908" i="3"/>
  <c r="AA800" i="3"/>
  <c r="U800" i="3"/>
  <c r="AC1261" i="3"/>
  <c r="U1261" i="3"/>
  <c r="L1039" i="3"/>
  <c r="M846" i="3"/>
  <c r="T846" i="3" s="1"/>
  <c r="L841" i="3"/>
  <c r="AA809" i="3"/>
  <c r="U809" i="3"/>
  <c r="U1110" i="3"/>
  <c r="AD1110" i="3"/>
  <c r="T1084" i="3"/>
  <c r="M1084" i="3"/>
  <c r="AC1009" i="3"/>
  <c r="U1009" i="3"/>
  <c r="AB963" i="3"/>
  <c r="U963" i="3"/>
  <c r="AB972" i="3"/>
  <c r="U972" i="3"/>
  <c r="AB855" i="3"/>
  <c r="U855" i="3"/>
  <c r="AA503" i="3"/>
  <c r="U503" i="3"/>
  <c r="U1017" i="3"/>
  <c r="AB1017" i="3"/>
  <c r="U818" i="3"/>
  <c r="AA818" i="3"/>
  <c r="AA728" i="3"/>
  <c r="U728" i="3"/>
  <c r="M585" i="3"/>
  <c r="T585" i="3" s="1"/>
  <c r="L580" i="3"/>
  <c r="AA548" i="3"/>
  <c r="U548" i="3"/>
  <c r="AC928" i="3"/>
  <c r="U928" i="3"/>
  <c r="AC775" i="3"/>
  <c r="U775" i="3"/>
  <c r="AB729" i="3"/>
  <c r="U729" i="3"/>
  <c r="U685" i="3"/>
  <c r="AC685" i="3"/>
  <c r="AB630" i="3"/>
  <c r="U630" i="3"/>
  <c r="T409" i="3"/>
  <c r="AA242" i="3"/>
  <c r="U242" i="3"/>
  <c r="AA53" i="3"/>
  <c r="U53" i="3"/>
  <c r="L733" i="3"/>
  <c r="U696" i="3"/>
  <c r="AD696" i="3"/>
  <c r="U649" i="3"/>
  <c r="AC649" i="3"/>
  <c r="AB594" i="3"/>
  <c r="U594" i="3"/>
  <c r="L454" i="3"/>
  <c r="U310" i="3"/>
  <c r="X310" i="3" s="1"/>
  <c r="M261" i="3"/>
  <c r="T261" i="3" s="1"/>
  <c r="L256" i="3"/>
  <c r="AA179" i="3"/>
  <c r="U179" i="3"/>
  <c r="M63" i="3"/>
  <c r="T63" i="3" s="1"/>
  <c r="L58" i="3"/>
  <c r="AA26" i="3"/>
  <c r="U26" i="3"/>
  <c r="AC892" i="3"/>
  <c r="U892" i="3"/>
  <c r="U701" i="3"/>
  <c r="AA701" i="3"/>
  <c r="L652" i="3"/>
  <c r="U613" i="3"/>
  <c r="AC613" i="3"/>
  <c r="AC559" i="3"/>
  <c r="U559" i="3"/>
  <c r="M433" i="3"/>
  <c r="T433" i="3" s="1"/>
  <c r="L661" i="3"/>
  <c r="T562" i="3"/>
  <c r="M562" i="3"/>
  <c r="AC307" i="3"/>
  <c r="U307" i="3"/>
  <c r="L112" i="3"/>
  <c r="U711" i="3"/>
  <c r="AB711" i="3"/>
  <c r="T535" i="3"/>
  <c r="M535" i="3"/>
  <c r="AB270" i="3"/>
  <c r="U270" i="3"/>
  <c r="T94" i="3"/>
  <c r="M94" i="3"/>
  <c r="L67" i="3"/>
  <c r="AC37" i="3"/>
  <c r="U37" i="3"/>
  <c r="T490" i="3"/>
  <c r="M490" i="3"/>
  <c r="L220" i="3"/>
  <c r="AB135" i="3"/>
  <c r="U135" i="3"/>
  <c r="T49" i="3"/>
  <c r="M49" i="3"/>
  <c r="AB522" i="3"/>
  <c r="U522" i="3"/>
  <c r="L148" i="3"/>
  <c r="AC109" i="3"/>
  <c r="U109" i="3"/>
  <c r="T1777" i="3"/>
  <c r="M1777" i="3"/>
  <c r="AB1710" i="3"/>
  <c r="U1710" i="3"/>
  <c r="AB1737" i="3"/>
  <c r="U1737" i="3"/>
  <c r="T1642" i="3"/>
  <c r="M1642" i="3"/>
  <c r="M1602" i="3"/>
  <c r="T1602" i="3" s="1"/>
  <c r="L1597" i="3"/>
  <c r="AA989" i="3"/>
  <c r="U989" i="3"/>
  <c r="T1192" i="3"/>
  <c r="M1192" i="3"/>
  <c r="AA962" i="3"/>
  <c r="U962" i="3"/>
  <c r="AB1080" i="3"/>
  <c r="U1080" i="3"/>
  <c r="T940" i="3"/>
  <c r="M940" i="3"/>
  <c r="U971" i="3"/>
  <c r="AA971" i="3"/>
  <c r="U854" i="3"/>
  <c r="AA854" i="3"/>
  <c r="T1012" i="3"/>
  <c r="M1012" i="3"/>
  <c r="T895" i="3"/>
  <c r="M895" i="3"/>
  <c r="T814" i="3"/>
  <c r="M814" i="3"/>
  <c r="AA620" i="3"/>
  <c r="U620" i="3"/>
  <c r="AA512" i="3"/>
  <c r="U512" i="3"/>
  <c r="AB873" i="3"/>
  <c r="U873" i="3"/>
  <c r="AC865" i="3"/>
  <c r="U865" i="3"/>
  <c r="T724" i="3"/>
  <c r="M724" i="3"/>
  <c r="AD480" i="3"/>
  <c r="U480" i="3"/>
  <c r="AA98" i="3"/>
  <c r="U98" i="3"/>
  <c r="AD489" i="3"/>
  <c r="U489" i="3"/>
  <c r="M180" i="3"/>
  <c r="T180" i="3" s="1"/>
  <c r="L175" i="3"/>
  <c r="AB891" i="3"/>
  <c r="U891" i="3"/>
  <c r="T751" i="3"/>
  <c r="M751" i="3"/>
  <c r="T697" i="3"/>
  <c r="M697" i="3"/>
  <c r="AC784" i="3"/>
  <c r="U784" i="3"/>
  <c r="AC667" i="3"/>
  <c r="U667" i="3"/>
  <c r="AC118" i="3"/>
  <c r="U118" i="3"/>
  <c r="T706" i="3"/>
  <c r="M706" i="3"/>
  <c r="T157" i="3"/>
  <c r="M157" i="3"/>
  <c r="AC226" i="3"/>
  <c r="U226" i="3"/>
  <c r="AA1736" i="3"/>
  <c r="U1736" i="3"/>
  <c r="AB1791" i="3"/>
  <c r="U1791" i="3"/>
  <c r="U1701" i="3"/>
  <c r="AB1701" i="3"/>
  <c r="L1750" i="3"/>
  <c r="U1718" i="3"/>
  <c r="AA1718" i="3"/>
  <c r="U1646" i="3"/>
  <c r="AA1646" i="3"/>
  <c r="T1759" i="3"/>
  <c r="M1759" i="3"/>
  <c r="AB1782" i="3"/>
  <c r="U1782" i="3"/>
  <c r="M1746" i="3"/>
  <c r="T1746" i="3" s="1"/>
  <c r="L1741" i="3"/>
  <c r="AA1610" i="3"/>
  <c r="U1610" i="3"/>
  <c r="AC1792" i="3"/>
  <c r="U1792" i="3"/>
  <c r="M1638" i="3"/>
  <c r="T1638" i="3" s="1"/>
  <c r="L1633" i="3"/>
  <c r="U1754" i="3"/>
  <c r="AA1754" i="3"/>
  <c r="AC1711" i="3"/>
  <c r="U1711" i="3"/>
  <c r="AB1719" i="3"/>
  <c r="U1719" i="3"/>
  <c r="AB1647" i="3"/>
  <c r="U1647" i="3"/>
  <c r="U1764" i="3"/>
  <c r="AB1764" i="3"/>
  <c r="T1651" i="3"/>
  <c r="M1651" i="3"/>
  <c r="AC1576" i="3"/>
  <c r="U1576" i="3"/>
  <c r="AC1549" i="3"/>
  <c r="U1549" i="3"/>
  <c r="AA1277" i="3"/>
  <c r="U1277" i="3"/>
  <c r="AA1205" i="3"/>
  <c r="U1205" i="3"/>
  <c r="U1682" i="3"/>
  <c r="AA1682" i="3"/>
  <c r="L1579" i="3"/>
  <c r="U1567" i="3"/>
  <c r="AC1567" i="3"/>
  <c r="AA1286" i="3"/>
  <c r="U1286" i="3"/>
  <c r="AA1250" i="3"/>
  <c r="U1250" i="3"/>
  <c r="AA1214" i="3"/>
  <c r="U1214" i="3"/>
  <c r="AA1178" i="3"/>
  <c r="U1178" i="3"/>
  <c r="AA1142" i="3"/>
  <c r="U1142" i="3"/>
  <c r="U1691" i="3"/>
  <c r="AA1691" i="3"/>
  <c r="AA1061" i="3"/>
  <c r="U1061" i="3"/>
  <c r="U1223" i="3"/>
  <c r="AA1223" i="3"/>
  <c r="L1147" i="3"/>
  <c r="M1035" i="3"/>
  <c r="T1035" i="3" s="1"/>
  <c r="L1030" i="3"/>
  <c r="AA998" i="3"/>
  <c r="U998" i="3"/>
  <c r="AB1170" i="3"/>
  <c r="U1170" i="3"/>
  <c r="AB1188" i="3"/>
  <c r="U1188" i="3"/>
  <c r="T1093" i="3"/>
  <c r="M1093" i="3"/>
  <c r="L1075" i="3"/>
  <c r="AA872" i="3"/>
  <c r="U872" i="3"/>
  <c r="L1255" i="3"/>
  <c r="U1043" i="3"/>
  <c r="AA1043" i="3"/>
  <c r="M882" i="3"/>
  <c r="T882" i="3" s="1"/>
  <c r="L877" i="3"/>
  <c r="AA845" i="3"/>
  <c r="U845" i="3"/>
  <c r="M1107" i="3"/>
  <c r="T1107" i="3" s="1"/>
  <c r="L1102" i="3"/>
  <c r="L1003" i="3"/>
  <c r="U966" i="3"/>
  <c r="AD966" i="3"/>
  <c r="AC937" i="3"/>
  <c r="U937" i="3"/>
  <c r="AC973" i="3"/>
  <c r="U973" i="3"/>
  <c r="AC856" i="3"/>
  <c r="U856" i="3"/>
  <c r="AA440" i="3"/>
  <c r="U440" i="3"/>
  <c r="AB819" i="3"/>
  <c r="U819" i="3"/>
  <c r="AA692" i="3"/>
  <c r="U692" i="3"/>
  <c r="AA584" i="3"/>
  <c r="U584" i="3"/>
  <c r="M450" i="3"/>
  <c r="T450" i="3" s="1"/>
  <c r="L445" i="3"/>
  <c r="L922" i="3"/>
  <c r="T787" i="3"/>
  <c r="M787" i="3"/>
  <c r="L769" i="3"/>
  <c r="U732" i="3"/>
  <c r="AD732" i="3"/>
  <c r="T679" i="3"/>
  <c r="M679" i="3"/>
  <c r="AC631" i="3"/>
  <c r="U631" i="3"/>
  <c r="L477" i="3"/>
  <c r="AA323" i="3"/>
  <c r="U323" i="3"/>
  <c r="AA170" i="3"/>
  <c r="U170" i="3"/>
  <c r="AA17" i="3"/>
  <c r="U17" i="3"/>
  <c r="L931" i="3"/>
  <c r="U737" i="3"/>
  <c r="AA737" i="3"/>
  <c r="AC694" i="3"/>
  <c r="U694" i="3"/>
  <c r="M643" i="3"/>
  <c r="T643" i="3"/>
  <c r="AC595" i="3"/>
  <c r="U595" i="3"/>
  <c r="L486" i="3"/>
  <c r="U458" i="3"/>
  <c r="AA458" i="3"/>
  <c r="AB423" i="3"/>
  <c r="U423" i="3"/>
  <c r="AB351" i="3"/>
  <c r="U351" i="3"/>
  <c r="M297" i="3"/>
  <c r="T297" i="3" s="1"/>
  <c r="L292" i="3"/>
  <c r="AA260" i="3"/>
  <c r="U260" i="3"/>
  <c r="M108" i="3"/>
  <c r="T108" i="3" s="1"/>
  <c r="L103" i="3"/>
  <c r="AA62" i="3"/>
  <c r="U62" i="3"/>
  <c r="L886" i="3"/>
  <c r="AB702" i="3"/>
  <c r="U702" i="3"/>
  <c r="AB657" i="3"/>
  <c r="U657" i="3"/>
  <c r="T607" i="3"/>
  <c r="M607" i="3"/>
  <c r="L553" i="3"/>
  <c r="U665" i="3"/>
  <c r="AA665" i="3"/>
  <c r="U567" i="3"/>
  <c r="AB567" i="3"/>
  <c r="L301" i="3"/>
  <c r="U116" i="3"/>
  <c r="AA116" i="3"/>
  <c r="T40" i="3"/>
  <c r="M40" i="3"/>
  <c r="M621" i="3"/>
  <c r="T621" i="3" s="1"/>
  <c r="L616" i="3"/>
  <c r="U485" i="3"/>
  <c r="AA485" i="3"/>
  <c r="AC271" i="3"/>
  <c r="U271" i="3"/>
  <c r="U71" i="3"/>
  <c r="AA71" i="3"/>
  <c r="L31" i="3"/>
  <c r="AC496" i="3"/>
  <c r="U496" i="3"/>
  <c r="U224" i="3"/>
  <c r="AA224" i="3"/>
  <c r="AC523" i="3"/>
  <c r="U523" i="3"/>
  <c r="U152" i="3"/>
  <c r="AA152" i="3"/>
  <c r="T1768" i="3"/>
  <c r="M1768" i="3"/>
  <c r="AA1673" i="3"/>
  <c r="U1673" i="3"/>
  <c r="AC1639" i="3"/>
  <c r="U1639" i="3"/>
  <c r="AA1133" i="3"/>
  <c r="U1133" i="3"/>
  <c r="AB1584" i="3"/>
  <c r="U1584" i="3"/>
  <c r="T1552" i="3"/>
  <c r="M1552" i="3"/>
  <c r="AB1152" i="3"/>
  <c r="U1152" i="3"/>
  <c r="M1116" i="3"/>
  <c r="T1116" i="3" s="1"/>
  <c r="L1111" i="3"/>
  <c r="T1183" i="3"/>
  <c r="M1183" i="3"/>
  <c r="AB1026" i="3"/>
  <c r="U1026" i="3"/>
  <c r="T832" i="3"/>
  <c r="M832" i="3"/>
  <c r="AC1045" i="3"/>
  <c r="U1045" i="3"/>
  <c r="M810" i="3"/>
  <c r="T810" i="3" s="1"/>
  <c r="L805" i="3"/>
  <c r="AB1008" i="3"/>
  <c r="U1008" i="3"/>
  <c r="AA539" i="3"/>
  <c r="U539" i="3"/>
  <c r="M760" i="3"/>
  <c r="AD435" i="3"/>
  <c r="U435" i="3"/>
  <c r="AB576" i="3"/>
  <c r="U576" i="3"/>
  <c r="AB441" i="3"/>
  <c r="U441" i="3"/>
  <c r="AA287" i="3"/>
  <c r="U287" i="3"/>
  <c r="AC460" i="3"/>
  <c r="U460" i="3"/>
  <c r="AA143" i="3"/>
  <c r="U143" i="3"/>
  <c r="AC658" i="3"/>
  <c r="U658" i="3"/>
  <c r="L432" i="3"/>
  <c r="AC622" i="3"/>
  <c r="U622" i="3"/>
  <c r="AB306" i="3"/>
  <c r="U306" i="3"/>
  <c r="AC73" i="3"/>
  <c r="U73" i="3"/>
  <c r="M467" i="3"/>
  <c r="T467" i="3" s="1"/>
  <c r="AC640" i="3"/>
  <c r="U640" i="3"/>
  <c r="AA1709" i="3"/>
  <c r="U1709" i="3"/>
  <c r="AA1664" i="3"/>
  <c r="U1664" i="3"/>
  <c r="U1713" i="3"/>
  <c r="AD1713" i="3"/>
  <c r="T1732" i="3"/>
  <c r="M1732" i="3"/>
  <c r="AA1772" i="3"/>
  <c r="U1772" i="3"/>
  <c r="AA1781" i="3"/>
  <c r="U1781" i="3"/>
  <c r="AA1745" i="3"/>
  <c r="U1745" i="3"/>
  <c r="L1786" i="3"/>
  <c r="M1674" i="3"/>
  <c r="T1674" i="3" s="1"/>
  <c r="L1669" i="3"/>
  <c r="AA1637" i="3"/>
  <c r="U1637" i="3"/>
  <c r="AB1755" i="3"/>
  <c r="U1755" i="3"/>
  <c r="M1705" i="3"/>
  <c r="AC1720" i="3"/>
  <c r="U1720" i="3"/>
  <c r="AC1648" i="3"/>
  <c r="U1648" i="3"/>
  <c r="AB1665" i="3"/>
  <c r="U1665" i="3"/>
  <c r="L1543" i="3"/>
  <c r="T1273" i="3"/>
  <c r="M1273" i="3"/>
  <c r="AA1169" i="3"/>
  <c r="U1169" i="3"/>
  <c r="AB1683" i="3"/>
  <c r="U1683" i="3"/>
  <c r="U1583" i="3"/>
  <c r="AA1583" i="3"/>
  <c r="T1561" i="3"/>
  <c r="M1561" i="3"/>
  <c r="L1282" i="3"/>
  <c r="L1246" i="3"/>
  <c r="L1210" i="3"/>
  <c r="L1174" i="3"/>
  <c r="L1138" i="3"/>
  <c r="AB1692" i="3"/>
  <c r="U1692" i="3"/>
  <c r="AA1025" i="3"/>
  <c r="U1025" i="3"/>
  <c r="AB1224" i="3"/>
  <c r="U1224" i="3"/>
  <c r="U1151" i="3"/>
  <c r="AA1151" i="3"/>
  <c r="M1071" i="3"/>
  <c r="T1071" i="3" s="1"/>
  <c r="L1066" i="3"/>
  <c r="AA1034" i="3"/>
  <c r="U1034" i="3"/>
  <c r="T1201" i="3"/>
  <c r="M1201" i="3"/>
  <c r="T1120" i="3"/>
  <c r="M1120" i="3"/>
  <c r="AC1189" i="3"/>
  <c r="U1189" i="3"/>
  <c r="U1079" i="3"/>
  <c r="AA1079" i="3"/>
  <c r="AA836" i="3"/>
  <c r="U836" i="3"/>
  <c r="U1259" i="3"/>
  <c r="AA1259" i="3"/>
  <c r="AB1044" i="3"/>
  <c r="U1044" i="3"/>
  <c r="M918" i="3"/>
  <c r="T918" i="3" s="1"/>
  <c r="L913" i="3"/>
  <c r="AA881" i="3"/>
  <c r="U881" i="3"/>
  <c r="AC1108" i="3"/>
  <c r="U1108" i="3"/>
  <c r="T1021" i="3"/>
  <c r="M1021" i="3"/>
  <c r="U1007" i="3"/>
  <c r="AA1007" i="3"/>
  <c r="AC964" i="3"/>
  <c r="U964" i="3"/>
  <c r="AB990" i="3"/>
  <c r="U990" i="3"/>
  <c r="L967" i="3"/>
  <c r="L850" i="3"/>
  <c r="AA575" i="3"/>
  <c r="U575" i="3"/>
  <c r="AC820" i="3"/>
  <c r="U820" i="3"/>
  <c r="AA764" i="3"/>
  <c r="U764" i="3"/>
  <c r="AA656" i="3"/>
  <c r="U656" i="3"/>
  <c r="M513" i="3"/>
  <c r="T513" i="3" s="1"/>
  <c r="L508" i="3"/>
  <c r="AA449" i="3"/>
  <c r="U449" i="3"/>
  <c r="U926" i="3"/>
  <c r="AA926" i="3"/>
  <c r="T859" i="3"/>
  <c r="M859" i="3"/>
  <c r="U792" i="3"/>
  <c r="AB792" i="3"/>
  <c r="U773" i="3"/>
  <c r="AA773" i="3"/>
  <c r="AC730" i="3"/>
  <c r="U730" i="3"/>
  <c r="L625" i="3"/>
  <c r="T499" i="3"/>
  <c r="M499" i="3"/>
  <c r="M319" i="3"/>
  <c r="T319" i="3"/>
  <c r="AA134" i="3"/>
  <c r="U134" i="3"/>
  <c r="U936" i="3"/>
  <c r="AB936" i="3"/>
  <c r="AB909" i="3"/>
  <c r="U909" i="3"/>
  <c r="AB738" i="3"/>
  <c r="U738" i="3"/>
  <c r="T688" i="3"/>
  <c r="M688" i="3"/>
  <c r="L589" i="3"/>
  <c r="AB459" i="3"/>
  <c r="U459" i="3"/>
  <c r="AA422" i="3"/>
  <c r="U422" i="3"/>
  <c r="AA350" i="3"/>
  <c r="U350" i="3"/>
  <c r="AA296" i="3"/>
  <c r="U296" i="3"/>
  <c r="M144" i="3"/>
  <c r="T144" i="3" s="1"/>
  <c r="L139" i="3"/>
  <c r="AA107" i="3"/>
  <c r="U107" i="3"/>
  <c r="U890" i="3"/>
  <c r="AA890" i="3"/>
  <c r="U757" i="3"/>
  <c r="AC757" i="3"/>
  <c r="AC703" i="3"/>
  <c r="U703" i="3"/>
  <c r="U660" i="3"/>
  <c r="AD660" i="3"/>
  <c r="T571" i="3"/>
  <c r="M571" i="3"/>
  <c r="U557" i="3"/>
  <c r="AA557" i="3"/>
  <c r="U476" i="3"/>
  <c r="AA476" i="3"/>
  <c r="T436" i="3"/>
  <c r="M436" i="3"/>
  <c r="T778" i="3"/>
  <c r="M778" i="3"/>
  <c r="U721" i="3"/>
  <c r="AC721" i="3"/>
  <c r="AB666" i="3"/>
  <c r="U666" i="3"/>
  <c r="U624" i="3"/>
  <c r="AD624" i="3"/>
  <c r="U305" i="3"/>
  <c r="AA305" i="3"/>
  <c r="T229" i="3"/>
  <c r="M229" i="3"/>
  <c r="AB117" i="3"/>
  <c r="U117" i="3"/>
  <c r="M487" i="3"/>
  <c r="T487" i="3" s="1"/>
  <c r="T283" i="3"/>
  <c r="M283" i="3"/>
  <c r="L265" i="3"/>
  <c r="AB72" i="3"/>
  <c r="U72" i="3"/>
  <c r="AB18" i="3"/>
  <c r="U18" i="3"/>
  <c r="U35" i="3"/>
  <c r="AA35" i="3"/>
  <c r="AD471" i="3"/>
  <c r="U471" i="3"/>
  <c r="U768" i="3"/>
  <c r="AD768" i="3"/>
  <c r="T634" i="3"/>
  <c r="M634" i="3"/>
  <c r="AB225" i="3"/>
  <c r="U225" i="3"/>
  <c r="L517" i="3"/>
  <c r="AC298" i="3"/>
  <c r="U298" i="3"/>
  <c r="AB153" i="3"/>
  <c r="U153" i="3"/>
  <c r="M418" i="3" l="1"/>
  <c r="AB468" i="3"/>
  <c r="U468" i="3"/>
  <c r="M1156" i="3"/>
  <c r="T1156" i="3"/>
  <c r="L463" i="3"/>
  <c r="T463" i="3" s="1"/>
  <c r="U981" i="3"/>
  <c r="AB981" i="3"/>
  <c r="T1588" i="3"/>
  <c r="T526" i="3"/>
  <c r="M526" i="3"/>
  <c r="AB1593" i="3"/>
  <c r="U1593" i="3"/>
  <c r="T976" i="3"/>
  <c r="M976" i="3"/>
  <c r="T598" i="3"/>
  <c r="M598" i="3"/>
  <c r="T670" i="3"/>
  <c r="M670" i="3"/>
  <c r="T1048" i="3"/>
  <c r="M1048" i="3"/>
  <c r="T1228" i="3"/>
  <c r="M1228" i="3"/>
  <c r="M1660" i="3"/>
  <c r="T1660" i="3"/>
  <c r="T823" i="3"/>
  <c r="M823" i="3"/>
  <c r="T1606" i="3"/>
  <c r="M1606" i="3"/>
  <c r="U1053" i="3"/>
  <c r="AB1053" i="3"/>
  <c r="M1264" i="3"/>
  <c r="T1264" i="3"/>
  <c r="M90" i="3"/>
  <c r="T90" i="3" s="1"/>
  <c r="L85" i="3"/>
  <c r="AC1270" i="3"/>
  <c r="U1270" i="3"/>
  <c r="M346" i="3"/>
  <c r="M274" i="3"/>
  <c r="T274" i="3"/>
  <c r="U171" i="3"/>
  <c r="M238" i="3"/>
  <c r="T1165" i="3"/>
  <c r="M1165" i="3"/>
  <c r="U1728" i="3"/>
  <c r="AB1728" i="3"/>
  <c r="M949" i="3"/>
  <c r="M1714" i="3"/>
  <c r="U1062" i="3"/>
  <c r="AB1062" i="3"/>
  <c r="W130" i="3"/>
  <c r="U130" i="3"/>
  <c r="X130" i="3" s="1"/>
  <c r="T1057" i="3"/>
  <c r="M1057" i="3"/>
  <c r="W868" i="3"/>
  <c r="U868" i="3"/>
  <c r="X868" i="3" s="1"/>
  <c r="M1723" i="3"/>
  <c r="T1723" i="3"/>
  <c r="W436" i="3"/>
  <c r="U436" i="3"/>
  <c r="X436" i="3" s="1"/>
  <c r="W319" i="3"/>
  <c r="U319" i="3"/>
  <c r="X319" i="3" s="1"/>
  <c r="AB1071" i="3"/>
  <c r="U1071" i="3"/>
  <c r="T1543" i="3"/>
  <c r="M1543" i="3"/>
  <c r="M463" i="3"/>
  <c r="T886" i="3"/>
  <c r="M886" i="3"/>
  <c r="W706" i="3"/>
  <c r="U706" i="3"/>
  <c r="X706" i="3" s="1"/>
  <c r="W238" i="3"/>
  <c r="U238" i="3"/>
  <c r="X238" i="3" s="1"/>
  <c r="T841" i="3"/>
  <c r="M841" i="3"/>
  <c r="T994" i="3"/>
  <c r="M994" i="3"/>
  <c r="T1687" i="3"/>
  <c r="M1687" i="3"/>
  <c r="W715" i="3"/>
  <c r="U715" i="3"/>
  <c r="X715" i="3" s="1"/>
  <c r="T22" i="3"/>
  <c r="M22" i="3"/>
  <c r="T544" i="3"/>
  <c r="M544" i="3"/>
  <c r="W634" i="3"/>
  <c r="U634" i="3"/>
  <c r="X634" i="3" s="1"/>
  <c r="W859" i="3"/>
  <c r="U859" i="3"/>
  <c r="X859" i="3" s="1"/>
  <c r="T913" i="3"/>
  <c r="M913" i="3"/>
  <c r="T1210" i="3"/>
  <c r="M1210" i="3"/>
  <c r="W1561" i="3"/>
  <c r="U1561" i="3"/>
  <c r="X1561" i="3" s="1"/>
  <c r="T1786" i="3"/>
  <c r="M1786" i="3"/>
  <c r="W1732" i="3"/>
  <c r="U1732" i="3"/>
  <c r="X1732" i="3" s="1"/>
  <c r="U467" i="3"/>
  <c r="AA467" i="3"/>
  <c r="M432" i="3"/>
  <c r="T432" i="3" s="1"/>
  <c r="L427" i="3"/>
  <c r="AB810" i="3"/>
  <c r="U810" i="3"/>
  <c r="W832" i="3"/>
  <c r="U832" i="3"/>
  <c r="X832" i="3" s="1"/>
  <c r="W1183" i="3"/>
  <c r="U1183" i="3"/>
  <c r="X1183" i="3" s="1"/>
  <c r="W1714" i="3"/>
  <c r="U1714" i="3"/>
  <c r="X1714" i="3" s="1"/>
  <c r="W1768" i="3"/>
  <c r="U1768" i="3"/>
  <c r="X1768" i="3" s="1"/>
  <c r="T616" i="3"/>
  <c r="M616" i="3"/>
  <c r="W40" i="3"/>
  <c r="U40" i="3"/>
  <c r="X40" i="3" s="1"/>
  <c r="T553" i="3"/>
  <c r="M553" i="3"/>
  <c r="AB108" i="3"/>
  <c r="U108" i="3"/>
  <c r="AB297" i="3"/>
  <c r="U297" i="3"/>
  <c r="M486" i="3"/>
  <c r="T486" i="3" s="1"/>
  <c r="L481" i="3"/>
  <c r="T922" i="3"/>
  <c r="M922" i="3"/>
  <c r="T1102" i="3"/>
  <c r="M1102" i="3"/>
  <c r="T877" i="3"/>
  <c r="M877" i="3"/>
  <c r="T1075" i="3"/>
  <c r="M1075" i="3"/>
  <c r="T1030" i="3"/>
  <c r="M1030" i="3"/>
  <c r="T1741" i="3"/>
  <c r="M1741" i="3"/>
  <c r="W697" i="3"/>
  <c r="U697" i="3"/>
  <c r="X697" i="3" s="1"/>
  <c r="W814" i="3"/>
  <c r="U814" i="3"/>
  <c r="X814" i="3" s="1"/>
  <c r="W1012" i="3"/>
  <c r="U1012" i="3"/>
  <c r="X1012" i="3" s="1"/>
  <c r="W490" i="3"/>
  <c r="U490" i="3"/>
  <c r="X490" i="3" s="1"/>
  <c r="W535" i="3"/>
  <c r="U535" i="3"/>
  <c r="X535" i="3" s="1"/>
  <c r="W562" i="3"/>
  <c r="U562" i="3"/>
  <c r="X562" i="3" s="1"/>
  <c r="T652" i="3"/>
  <c r="M652" i="3"/>
  <c r="AB63" i="3"/>
  <c r="U63" i="3"/>
  <c r="AB261" i="3"/>
  <c r="U261" i="3"/>
  <c r="AB846" i="3"/>
  <c r="U846" i="3"/>
  <c r="AB999" i="3"/>
  <c r="U999" i="3"/>
  <c r="T1219" i="3"/>
  <c r="M1219" i="3"/>
  <c r="T1678" i="3"/>
  <c r="M1678" i="3"/>
  <c r="W1237" i="3"/>
  <c r="U1237" i="3"/>
  <c r="X1237" i="3" s="1"/>
  <c r="W1696" i="3"/>
  <c r="U1696" i="3"/>
  <c r="X1696" i="3" s="1"/>
  <c r="AC478" i="3"/>
  <c r="U478" i="3"/>
  <c r="AB27" i="3"/>
  <c r="U27" i="3"/>
  <c r="W796" i="3"/>
  <c r="U796" i="3"/>
  <c r="X796" i="3" s="1"/>
  <c r="AB549" i="3"/>
  <c r="U549" i="3"/>
  <c r="W958" i="3"/>
  <c r="U958" i="3"/>
  <c r="X958" i="3" s="1"/>
  <c r="T589" i="3"/>
  <c r="M589" i="3"/>
  <c r="W1120" i="3"/>
  <c r="U1120" i="3"/>
  <c r="X1120" i="3" s="1"/>
  <c r="T31" i="3"/>
  <c r="M31" i="3"/>
  <c r="T301" i="3"/>
  <c r="M301" i="3"/>
  <c r="T292" i="3"/>
  <c r="M292" i="3"/>
  <c r="W643" i="3"/>
  <c r="U643" i="3"/>
  <c r="X643" i="3" s="1"/>
  <c r="W787" i="3"/>
  <c r="U787" i="3"/>
  <c r="X787" i="3" s="1"/>
  <c r="T1579" i="3"/>
  <c r="M1579" i="3"/>
  <c r="AB1638" i="3"/>
  <c r="U1638" i="3"/>
  <c r="T1750" i="3"/>
  <c r="M1750" i="3"/>
  <c r="U1602" i="3"/>
  <c r="AB1602" i="3"/>
  <c r="T67" i="3"/>
  <c r="M67" i="3"/>
  <c r="T58" i="3"/>
  <c r="M58" i="3"/>
  <c r="W904" i="3"/>
  <c r="U904" i="3"/>
  <c r="X904" i="3" s="1"/>
  <c r="T517" i="3"/>
  <c r="M517" i="3"/>
  <c r="W283" i="3"/>
  <c r="U283" i="3"/>
  <c r="X283" i="3" s="1"/>
  <c r="T139" i="3"/>
  <c r="M139" i="3"/>
  <c r="T850" i="3"/>
  <c r="M850" i="3"/>
  <c r="AC487" i="3"/>
  <c r="U487" i="3"/>
  <c r="W778" i="3"/>
  <c r="U778" i="3"/>
  <c r="X778" i="3" s="1"/>
  <c r="W571" i="3"/>
  <c r="U571" i="3"/>
  <c r="X571" i="3" s="1"/>
  <c r="AB144" i="3"/>
  <c r="U144" i="3"/>
  <c r="T508" i="3"/>
  <c r="M508" i="3"/>
  <c r="T967" i="3"/>
  <c r="M967" i="3"/>
  <c r="AB918" i="3"/>
  <c r="U918" i="3"/>
  <c r="W1201" i="3"/>
  <c r="U1201" i="3"/>
  <c r="X1201" i="3" s="1"/>
  <c r="T1246" i="3"/>
  <c r="M1246" i="3"/>
  <c r="W1705" i="3"/>
  <c r="U1705" i="3"/>
  <c r="X1705" i="3" s="1"/>
  <c r="AC469" i="3"/>
  <c r="U469" i="3"/>
  <c r="T1111" i="3"/>
  <c r="M1111" i="3"/>
  <c r="AB621" i="3"/>
  <c r="U621" i="3"/>
  <c r="T769" i="3"/>
  <c r="M769" i="3"/>
  <c r="T445" i="3"/>
  <c r="M445" i="3"/>
  <c r="T1003" i="3"/>
  <c r="M1003" i="3"/>
  <c r="AB1107" i="3"/>
  <c r="U1107" i="3"/>
  <c r="AB882" i="3"/>
  <c r="U882" i="3"/>
  <c r="T1255" i="3"/>
  <c r="M1255" i="3"/>
  <c r="AB1035" i="3"/>
  <c r="U1035" i="3"/>
  <c r="AB1746" i="3"/>
  <c r="U1746" i="3"/>
  <c r="W1759" i="3"/>
  <c r="U1759" i="3"/>
  <c r="X1759" i="3" s="1"/>
  <c r="W157" i="3"/>
  <c r="U157" i="3"/>
  <c r="X157" i="3" s="1"/>
  <c r="T175" i="3"/>
  <c r="M175" i="3"/>
  <c r="W1192" i="3"/>
  <c r="U1192" i="3"/>
  <c r="X1192" i="3" s="1"/>
  <c r="W1642" i="3"/>
  <c r="U1642" i="3"/>
  <c r="X1642" i="3" s="1"/>
  <c r="T220" i="3"/>
  <c r="M220" i="3"/>
  <c r="W94" i="3"/>
  <c r="U94" i="3"/>
  <c r="X94" i="3" s="1"/>
  <c r="T661" i="3"/>
  <c r="M661" i="3"/>
  <c r="T733" i="3"/>
  <c r="M733" i="3"/>
  <c r="T580" i="3"/>
  <c r="M580" i="3"/>
  <c r="T1039" i="3"/>
  <c r="M1039" i="3"/>
  <c r="T1570" i="3"/>
  <c r="M1570" i="3"/>
  <c r="W400" i="3"/>
  <c r="U400" i="3"/>
  <c r="X400" i="3" s="1"/>
  <c r="W229" i="3"/>
  <c r="U229" i="3"/>
  <c r="X229" i="3" s="1"/>
  <c r="T625" i="3"/>
  <c r="M625" i="3"/>
  <c r="W949" i="3"/>
  <c r="U949" i="3"/>
  <c r="X949" i="3" s="1"/>
  <c r="T1174" i="3"/>
  <c r="M1174" i="3"/>
  <c r="AB1674" i="3"/>
  <c r="U1674" i="3"/>
  <c r="T805" i="3"/>
  <c r="M805" i="3"/>
  <c r="T103" i="3"/>
  <c r="M103" i="3"/>
  <c r="T931" i="3"/>
  <c r="M931" i="3"/>
  <c r="W1777" i="3"/>
  <c r="U1777" i="3"/>
  <c r="X1777" i="3" s="1"/>
  <c r="T112" i="3"/>
  <c r="M112" i="3"/>
  <c r="T256" i="3"/>
  <c r="M256" i="3"/>
  <c r="W409" i="3"/>
  <c r="U409" i="3"/>
  <c r="X409" i="3" s="1"/>
  <c r="T265" i="3"/>
  <c r="M265" i="3"/>
  <c r="W688" i="3"/>
  <c r="U688" i="3"/>
  <c r="X688" i="3" s="1"/>
  <c r="W499" i="3"/>
  <c r="U499" i="3"/>
  <c r="X499" i="3" s="1"/>
  <c r="AB513" i="3"/>
  <c r="U513" i="3"/>
  <c r="W1021" i="3"/>
  <c r="U1021" i="3"/>
  <c r="X1021" i="3" s="1"/>
  <c r="T1066" i="3"/>
  <c r="M1066" i="3"/>
  <c r="T1138" i="3"/>
  <c r="M1138" i="3"/>
  <c r="T1282" i="3"/>
  <c r="M1282" i="3"/>
  <c r="W1273" i="3"/>
  <c r="U1273" i="3"/>
  <c r="X1273" i="3" s="1"/>
  <c r="T1669" i="3"/>
  <c r="M1669" i="3"/>
  <c r="W418" i="3"/>
  <c r="U418" i="3"/>
  <c r="X418" i="3" s="1"/>
  <c r="W760" i="3"/>
  <c r="U760" i="3"/>
  <c r="X760" i="3" s="1"/>
  <c r="AB1116" i="3"/>
  <c r="U1116" i="3"/>
  <c r="W1552" i="3"/>
  <c r="U1552" i="3"/>
  <c r="X1552" i="3" s="1"/>
  <c r="W607" i="3"/>
  <c r="U607" i="3"/>
  <c r="X607" i="3" s="1"/>
  <c r="M477" i="3"/>
  <c r="T477" i="3" s="1"/>
  <c r="L472" i="3"/>
  <c r="W679" i="3"/>
  <c r="U679" i="3"/>
  <c r="X679" i="3" s="1"/>
  <c r="AB450" i="3"/>
  <c r="U450" i="3"/>
  <c r="W1093" i="3"/>
  <c r="U1093" i="3"/>
  <c r="X1093" i="3" s="1"/>
  <c r="T1147" i="3"/>
  <c r="M1147" i="3"/>
  <c r="W1651" i="3"/>
  <c r="U1651" i="3"/>
  <c r="X1651" i="3" s="1"/>
  <c r="T1633" i="3"/>
  <c r="M1633" i="3"/>
  <c r="W751" i="3"/>
  <c r="U751" i="3"/>
  <c r="X751" i="3" s="1"/>
  <c r="AB180" i="3"/>
  <c r="U180" i="3"/>
  <c r="W724" i="3"/>
  <c r="U724" i="3"/>
  <c r="X724" i="3" s="1"/>
  <c r="W895" i="3"/>
  <c r="U895" i="3"/>
  <c r="X895" i="3" s="1"/>
  <c r="W940" i="3"/>
  <c r="U940" i="3"/>
  <c r="X940" i="3" s="1"/>
  <c r="T1597" i="3"/>
  <c r="M1597" i="3"/>
  <c r="T148" i="3"/>
  <c r="M148" i="3"/>
  <c r="W49" i="3"/>
  <c r="U49" i="3"/>
  <c r="X49" i="3" s="1"/>
  <c r="AC433" i="3"/>
  <c r="U433" i="3"/>
  <c r="T454" i="3"/>
  <c r="M454" i="3"/>
  <c r="AB585" i="3"/>
  <c r="U585" i="3"/>
  <c r="W1084" i="3"/>
  <c r="U1084" i="3"/>
  <c r="X1084" i="3" s="1"/>
  <c r="W1129" i="3"/>
  <c r="U1129" i="3"/>
  <c r="X1129" i="3" s="1"/>
  <c r="AB1575" i="3"/>
  <c r="U1575" i="3"/>
  <c r="W121" i="3"/>
  <c r="U121" i="3"/>
  <c r="X121" i="3" s="1"/>
  <c r="W346" i="3"/>
  <c r="U346" i="3"/>
  <c r="X346" i="3" s="1"/>
  <c r="W985" i="3"/>
  <c r="U985" i="3"/>
  <c r="X985" i="3" s="1"/>
  <c r="W1156" i="3" l="1"/>
  <c r="U1156" i="3"/>
  <c r="X1156" i="3" s="1"/>
  <c r="W976" i="3"/>
  <c r="U976" i="3"/>
  <c r="X976" i="3" s="1"/>
  <c r="W526" i="3"/>
  <c r="U526" i="3"/>
  <c r="X526" i="3" s="1"/>
  <c r="W1588" i="3"/>
  <c r="U1588" i="3"/>
  <c r="X1588" i="3" s="1"/>
  <c r="M85" i="3"/>
  <c r="T85" i="3"/>
  <c r="U90" i="3"/>
  <c r="AB90" i="3"/>
  <c r="W823" i="3"/>
  <c r="U823" i="3"/>
  <c r="X823" i="3" s="1"/>
  <c r="W1228" i="3"/>
  <c r="U1228" i="3"/>
  <c r="X1228" i="3" s="1"/>
  <c r="W670" i="3"/>
  <c r="U670" i="3"/>
  <c r="X670" i="3" s="1"/>
  <c r="W1264" i="3"/>
  <c r="U1264" i="3"/>
  <c r="X1264" i="3" s="1"/>
  <c r="W1660" i="3"/>
  <c r="U1660" i="3"/>
  <c r="X1660" i="3" s="1"/>
  <c r="W1606" i="3"/>
  <c r="U1606" i="3"/>
  <c r="X1606" i="3" s="1"/>
  <c r="W1048" i="3"/>
  <c r="U1048" i="3"/>
  <c r="X1048" i="3" s="1"/>
  <c r="W598" i="3"/>
  <c r="U598" i="3"/>
  <c r="X598" i="3" s="1"/>
  <c r="W274" i="3"/>
  <c r="U274" i="3"/>
  <c r="X274" i="3" s="1"/>
  <c r="W1057" i="3"/>
  <c r="U1057" i="3"/>
  <c r="X1057" i="3" s="1"/>
  <c r="W1723" i="3"/>
  <c r="U1723" i="3"/>
  <c r="X1723" i="3" s="1"/>
  <c r="W1165" i="3"/>
  <c r="U1165" i="3"/>
  <c r="X1165" i="3" s="1"/>
  <c r="AB477" i="3"/>
  <c r="U477" i="3"/>
  <c r="W1246" i="3"/>
  <c r="U1246" i="3"/>
  <c r="X1246" i="3" s="1"/>
  <c r="W58" i="3"/>
  <c r="U58" i="3"/>
  <c r="X58" i="3" s="1"/>
  <c r="W652" i="3"/>
  <c r="U652" i="3"/>
  <c r="X652" i="3" s="1"/>
  <c r="W1030" i="3"/>
  <c r="U1030" i="3"/>
  <c r="X1030" i="3" s="1"/>
  <c r="W1102" i="3"/>
  <c r="U1102" i="3"/>
  <c r="X1102" i="3" s="1"/>
  <c r="T427" i="3"/>
  <c r="M427" i="3"/>
  <c r="W1669" i="3"/>
  <c r="U1669" i="3"/>
  <c r="X1669" i="3" s="1"/>
  <c r="W1282" i="3"/>
  <c r="U1282" i="3"/>
  <c r="X1282" i="3" s="1"/>
  <c r="W1066" i="3"/>
  <c r="U1066" i="3"/>
  <c r="X1066" i="3" s="1"/>
  <c r="W112" i="3"/>
  <c r="U112" i="3"/>
  <c r="X112" i="3" s="1"/>
  <c r="W931" i="3"/>
  <c r="U931" i="3"/>
  <c r="X931" i="3" s="1"/>
  <c r="W805" i="3"/>
  <c r="U805" i="3"/>
  <c r="X805" i="3" s="1"/>
  <c r="W1174" i="3"/>
  <c r="U1174" i="3"/>
  <c r="X1174" i="3" s="1"/>
  <c r="W625" i="3"/>
  <c r="U625" i="3"/>
  <c r="X625" i="3" s="1"/>
  <c r="W1570" i="3"/>
  <c r="U1570" i="3"/>
  <c r="X1570" i="3" s="1"/>
  <c r="W580" i="3"/>
  <c r="U580" i="3"/>
  <c r="X580" i="3" s="1"/>
  <c r="W661" i="3"/>
  <c r="U661" i="3"/>
  <c r="X661" i="3" s="1"/>
  <c r="W220" i="3"/>
  <c r="U220" i="3"/>
  <c r="X220" i="3" s="1"/>
  <c r="W1255" i="3"/>
  <c r="U1255" i="3"/>
  <c r="X1255" i="3" s="1"/>
  <c r="W769" i="3"/>
  <c r="U769" i="3"/>
  <c r="X769" i="3" s="1"/>
  <c r="W1111" i="3"/>
  <c r="U1111" i="3"/>
  <c r="X1111" i="3" s="1"/>
  <c r="W292" i="3"/>
  <c r="U292" i="3"/>
  <c r="X292" i="3" s="1"/>
  <c r="W31" i="3"/>
  <c r="U31" i="3"/>
  <c r="X31" i="3" s="1"/>
  <c r="W589" i="3"/>
  <c r="U589" i="3"/>
  <c r="X589" i="3" s="1"/>
  <c r="U432" i="3"/>
  <c r="AB432" i="3"/>
  <c r="W1786" i="3"/>
  <c r="U1786" i="3"/>
  <c r="X1786" i="3" s="1"/>
  <c r="W1210" i="3"/>
  <c r="U1210" i="3"/>
  <c r="X1210" i="3" s="1"/>
  <c r="W544" i="3"/>
  <c r="U544" i="3"/>
  <c r="X544" i="3" s="1"/>
  <c r="W994" i="3"/>
  <c r="U994" i="3"/>
  <c r="X994" i="3" s="1"/>
  <c r="W886" i="3"/>
  <c r="U886" i="3"/>
  <c r="X886" i="3" s="1"/>
  <c r="W1543" i="3"/>
  <c r="U1543" i="3"/>
  <c r="X1543" i="3" s="1"/>
  <c r="W508" i="3"/>
  <c r="U508" i="3"/>
  <c r="X508" i="3" s="1"/>
  <c r="W517" i="3"/>
  <c r="U517" i="3"/>
  <c r="X517" i="3" s="1"/>
  <c r="W1075" i="3"/>
  <c r="U1075" i="3"/>
  <c r="X1075" i="3" s="1"/>
  <c r="W967" i="3"/>
  <c r="U967" i="3"/>
  <c r="X967" i="3" s="1"/>
  <c r="W850" i="3"/>
  <c r="U850" i="3"/>
  <c r="X850" i="3" s="1"/>
  <c r="W67" i="3"/>
  <c r="U67" i="3"/>
  <c r="X67" i="3" s="1"/>
  <c r="W1678" i="3"/>
  <c r="U1678" i="3"/>
  <c r="X1678" i="3" s="1"/>
  <c r="W1741" i="3"/>
  <c r="U1741" i="3"/>
  <c r="X1741" i="3" s="1"/>
  <c r="W877" i="3"/>
  <c r="U877" i="3"/>
  <c r="X877" i="3" s="1"/>
  <c r="W922" i="3"/>
  <c r="U922" i="3"/>
  <c r="X922" i="3" s="1"/>
  <c r="W553" i="3"/>
  <c r="U553" i="3"/>
  <c r="X553" i="3" s="1"/>
  <c r="W616" i="3"/>
  <c r="U616" i="3"/>
  <c r="X616" i="3" s="1"/>
  <c r="W148" i="3"/>
  <c r="U148" i="3"/>
  <c r="X148" i="3" s="1"/>
  <c r="W1633" i="3"/>
  <c r="U1633" i="3"/>
  <c r="X1633" i="3" s="1"/>
  <c r="W1003" i="3"/>
  <c r="U1003" i="3"/>
  <c r="X1003" i="3" s="1"/>
  <c r="W139" i="3"/>
  <c r="U139" i="3"/>
  <c r="X139" i="3" s="1"/>
  <c r="W1219" i="3"/>
  <c r="U1219" i="3"/>
  <c r="X1219" i="3" s="1"/>
  <c r="AB486" i="3"/>
  <c r="U486" i="3"/>
  <c r="W454" i="3"/>
  <c r="U454" i="3"/>
  <c r="X454" i="3" s="1"/>
  <c r="W1597" i="3"/>
  <c r="U1597" i="3"/>
  <c r="X1597" i="3" s="1"/>
  <c r="W1147" i="3"/>
  <c r="U1147" i="3"/>
  <c r="X1147" i="3" s="1"/>
  <c r="T472" i="3"/>
  <c r="M472" i="3"/>
  <c r="W1138" i="3"/>
  <c r="U1138" i="3"/>
  <c r="X1138" i="3" s="1"/>
  <c r="W265" i="3"/>
  <c r="U265" i="3"/>
  <c r="X265" i="3" s="1"/>
  <c r="W256" i="3"/>
  <c r="U256" i="3"/>
  <c r="X256" i="3" s="1"/>
  <c r="W103" i="3"/>
  <c r="U103" i="3"/>
  <c r="X103" i="3" s="1"/>
  <c r="W1039" i="3"/>
  <c r="U1039" i="3"/>
  <c r="X1039" i="3" s="1"/>
  <c r="W733" i="3"/>
  <c r="U733" i="3"/>
  <c r="X733" i="3" s="1"/>
  <c r="W175" i="3"/>
  <c r="U175" i="3"/>
  <c r="X175" i="3" s="1"/>
  <c r="W445" i="3"/>
  <c r="U445" i="3"/>
  <c r="X445" i="3" s="1"/>
  <c r="W1750" i="3"/>
  <c r="U1750" i="3"/>
  <c r="X1750" i="3" s="1"/>
  <c r="W1579" i="3"/>
  <c r="U1579" i="3"/>
  <c r="X1579" i="3" s="1"/>
  <c r="W301" i="3"/>
  <c r="U301" i="3"/>
  <c r="X301" i="3" s="1"/>
  <c r="T481" i="3"/>
  <c r="M481" i="3"/>
  <c r="W913" i="3"/>
  <c r="U913" i="3"/>
  <c r="X913" i="3" s="1"/>
  <c r="W22" i="3"/>
  <c r="U22" i="3"/>
  <c r="X22" i="3" s="1"/>
  <c r="W1687" i="3"/>
  <c r="U1687" i="3"/>
  <c r="X1687" i="3" s="1"/>
  <c r="W841" i="3"/>
  <c r="U841" i="3"/>
  <c r="X841" i="3" s="1"/>
  <c r="W463" i="3"/>
  <c r="U463" i="3"/>
  <c r="X463" i="3" s="1"/>
  <c r="W85" i="3" l="1"/>
  <c r="U85" i="3"/>
  <c r="X85" i="3" s="1"/>
  <c r="W481" i="3"/>
  <c r="U481" i="3"/>
  <c r="X481" i="3" s="1"/>
  <c r="W472" i="3"/>
  <c r="U472" i="3"/>
  <c r="X472" i="3" s="1"/>
  <c r="W427" i="3"/>
  <c r="U427" i="3"/>
  <c r="X427" i="3" s="1"/>
  <c r="Y22" i="7" l="1"/>
  <c r="S1795" i="3" l="1"/>
  <c r="R1795" i="3"/>
  <c r="Q1795" i="3"/>
  <c r="AD1801" i="3" l="1"/>
  <c r="Z1796" i="3"/>
  <c r="AC1799" i="3" l="1"/>
  <c r="AA1797" i="3"/>
  <c r="Y1" i="3"/>
  <c r="AB1798" i="3" l="1"/>
  <c r="W1795" i="3" l="1"/>
  <c r="T1795" i="3" s="1"/>
  <c r="X1795" i="3"/>
  <c r="D9" i="4"/>
  <c r="D10" i="4"/>
  <c r="I9" i="4"/>
  <c r="H9" i="4"/>
  <c r="G9" i="4"/>
  <c r="F9" i="4"/>
  <c r="E9" i="4"/>
  <c r="D2" i="9" l="1"/>
  <c r="I17" i="9" s="1"/>
  <c r="G17" i="9" l="1"/>
  <c r="H17" i="9"/>
  <c r="J17" i="9"/>
  <c r="F17" i="9"/>
  <c r="C17" i="9"/>
  <c r="E17" i="9"/>
  <c r="D17" i="9"/>
  <c r="Z1" i="3"/>
  <c r="Q9" i="7"/>
  <c r="F15" i="2"/>
  <c r="S5" i="6" l="1"/>
  <c r="R5" i="6"/>
  <c r="Q5" i="6"/>
  <c r="P5" i="6"/>
  <c r="O5" i="6"/>
  <c r="N5" i="6"/>
  <c r="U1795" i="3" l="1"/>
  <c r="N7" i="7" l="1"/>
  <c r="S6" i="3" l="1"/>
  <c r="J18" i="9" l="1"/>
  <c r="I18" i="9"/>
  <c r="H18" i="9"/>
  <c r="G18" i="9"/>
  <c r="F18" i="9"/>
  <c r="E18" i="9"/>
  <c r="D18" i="9"/>
  <c r="C18" i="9"/>
  <c r="C35" i="14" l="1"/>
  <c r="C34" i="14"/>
  <c r="D34" i="14" s="1"/>
  <c r="E34" i="14" s="1"/>
  <c r="F34" i="14" s="1"/>
  <c r="G34" i="14" s="1"/>
  <c r="H34" i="14" s="1"/>
  <c r="I34" i="14" s="1"/>
  <c r="J34" i="14" s="1"/>
  <c r="K34" i="14" s="1"/>
  <c r="L34" i="14" s="1"/>
  <c r="C33" i="14"/>
  <c r="C32" i="14"/>
  <c r="D32" i="14" s="1"/>
  <c r="E32" i="14" s="1"/>
  <c r="F32" i="14" s="1"/>
  <c r="G32" i="14" s="1"/>
  <c r="H32" i="14" s="1"/>
  <c r="I32" i="14" s="1"/>
  <c r="J32" i="14" s="1"/>
  <c r="K32" i="14" s="1"/>
  <c r="L32" i="14" s="1"/>
  <c r="C31" i="14"/>
  <c r="D31" i="14" s="1"/>
  <c r="E31" i="14" s="1"/>
  <c r="F31" i="14" s="1"/>
  <c r="G31" i="14" s="1"/>
  <c r="H31" i="14" s="1"/>
  <c r="I31" i="14" s="1"/>
  <c r="J31" i="14" s="1"/>
  <c r="K31" i="14" s="1"/>
  <c r="L31" i="14" s="1"/>
  <c r="C30" i="14"/>
  <c r="C29" i="14"/>
  <c r="D29" i="14" s="1"/>
  <c r="E29" i="14" s="1"/>
  <c r="F29" i="14" s="1"/>
  <c r="G29" i="14" s="1"/>
  <c r="H29" i="14" s="1"/>
  <c r="I29" i="14" s="1"/>
  <c r="J29" i="14" s="1"/>
  <c r="K29" i="14" s="1"/>
  <c r="L29" i="14" s="1"/>
  <c r="C28" i="14"/>
  <c r="D28" i="14" s="1"/>
  <c r="E28" i="14" s="1"/>
  <c r="C27" i="14"/>
  <c r="C26" i="14"/>
  <c r="D26" i="14" s="1"/>
  <c r="E26" i="14" s="1"/>
  <c r="F26" i="14" s="1"/>
  <c r="G26" i="14" s="1"/>
  <c r="H26" i="14" s="1"/>
  <c r="I26" i="14" s="1"/>
  <c r="J26" i="14" s="1"/>
  <c r="K26" i="14" s="1"/>
  <c r="L26" i="14" s="1"/>
  <c r="C11" i="14"/>
  <c r="G47" i="14"/>
  <c r="L47" i="14" s="1"/>
  <c r="K46" i="14"/>
  <c r="K59" i="14" s="1"/>
  <c r="J46" i="14"/>
  <c r="J59" i="14" s="1"/>
  <c r="I46" i="14"/>
  <c r="I59" i="14" s="1"/>
  <c r="H46" i="14"/>
  <c r="H59" i="14" s="1"/>
  <c r="G46" i="14"/>
  <c r="F46" i="14"/>
  <c r="F59" i="14" s="1"/>
  <c r="E46" i="14"/>
  <c r="E59" i="14" s="1"/>
  <c r="D46" i="14"/>
  <c r="D59" i="14" s="1"/>
  <c r="C46" i="14"/>
  <c r="C59" i="14" s="1"/>
  <c r="K45" i="14"/>
  <c r="K58" i="14" s="1"/>
  <c r="J45" i="14"/>
  <c r="J58" i="14" s="1"/>
  <c r="I45" i="14"/>
  <c r="I58" i="14" s="1"/>
  <c r="H45" i="14"/>
  <c r="H58" i="14" s="1"/>
  <c r="G45" i="14"/>
  <c r="F45" i="14"/>
  <c r="F58" i="14" s="1"/>
  <c r="E45" i="14"/>
  <c r="E58" i="14" s="1"/>
  <c r="D45" i="14"/>
  <c r="D58" i="14" s="1"/>
  <c r="C45" i="14"/>
  <c r="C58" i="14" s="1"/>
  <c r="K44" i="14"/>
  <c r="K57" i="14" s="1"/>
  <c r="J44" i="14"/>
  <c r="J57" i="14" s="1"/>
  <c r="I44" i="14"/>
  <c r="I57" i="14" s="1"/>
  <c r="H44" i="14"/>
  <c r="H57" i="14" s="1"/>
  <c r="G44" i="14"/>
  <c r="F44" i="14"/>
  <c r="F57" i="14" s="1"/>
  <c r="E44" i="14"/>
  <c r="E57" i="14" s="1"/>
  <c r="D44" i="14"/>
  <c r="D57" i="14" s="1"/>
  <c r="C44" i="14"/>
  <c r="C57" i="14" s="1"/>
  <c r="K43" i="14"/>
  <c r="K56" i="14" s="1"/>
  <c r="J43" i="14"/>
  <c r="J56" i="14" s="1"/>
  <c r="I43" i="14"/>
  <c r="I56" i="14" s="1"/>
  <c r="H43" i="14"/>
  <c r="H56" i="14" s="1"/>
  <c r="G43" i="14"/>
  <c r="F43" i="14"/>
  <c r="F56" i="14" s="1"/>
  <c r="E43" i="14"/>
  <c r="E56" i="14" s="1"/>
  <c r="D43" i="14"/>
  <c r="D56" i="14" s="1"/>
  <c r="C43" i="14"/>
  <c r="C56" i="14" s="1"/>
  <c r="K42" i="14"/>
  <c r="K55" i="14" s="1"/>
  <c r="J42" i="14"/>
  <c r="J55" i="14" s="1"/>
  <c r="I42" i="14"/>
  <c r="I55" i="14" s="1"/>
  <c r="H42" i="14"/>
  <c r="H55" i="14" s="1"/>
  <c r="G42" i="14"/>
  <c r="F42" i="14"/>
  <c r="F55" i="14" s="1"/>
  <c r="E42" i="14"/>
  <c r="E55" i="14" s="1"/>
  <c r="D42" i="14"/>
  <c r="D55" i="14" s="1"/>
  <c r="C42" i="14"/>
  <c r="C55" i="14" s="1"/>
  <c r="K41" i="14"/>
  <c r="K54" i="14" s="1"/>
  <c r="J41" i="14"/>
  <c r="J54" i="14" s="1"/>
  <c r="I41" i="14"/>
  <c r="I54" i="14" s="1"/>
  <c r="H41" i="14"/>
  <c r="H54" i="14" s="1"/>
  <c r="G41" i="14"/>
  <c r="F41" i="14"/>
  <c r="F54" i="14" s="1"/>
  <c r="E41" i="14"/>
  <c r="E54" i="14" s="1"/>
  <c r="D41" i="14"/>
  <c r="D54" i="14" s="1"/>
  <c r="C41" i="14"/>
  <c r="C54" i="14" s="1"/>
  <c r="K40" i="14"/>
  <c r="K53" i="14" s="1"/>
  <c r="J40" i="14"/>
  <c r="J53" i="14" s="1"/>
  <c r="I40" i="14"/>
  <c r="I53" i="14" s="1"/>
  <c r="H40" i="14"/>
  <c r="H53" i="14" s="1"/>
  <c r="G40" i="14"/>
  <c r="F40" i="14"/>
  <c r="F53" i="14" s="1"/>
  <c r="E40" i="14"/>
  <c r="E53" i="14" s="1"/>
  <c r="D40" i="14"/>
  <c r="D53" i="14" s="1"/>
  <c r="C40" i="14"/>
  <c r="C53" i="14" s="1"/>
  <c r="F39" i="14"/>
  <c r="F52" i="14" s="1"/>
  <c r="K38" i="14"/>
  <c r="K51" i="14" s="1"/>
  <c r="J38" i="14"/>
  <c r="J51" i="14" s="1"/>
  <c r="I38" i="14"/>
  <c r="H38" i="14"/>
  <c r="H51" i="14" s="1"/>
  <c r="G38" i="14"/>
  <c r="E38" i="14"/>
  <c r="E51" i="14" s="1"/>
  <c r="D38" i="14"/>
  <c r="D51" i="14" s="1"/>
  <c r="C38" i="14"/>
  <c r="K37" i="14"/>
  <c r="K50" i="14" s="1"/>
  <c r="J37" i="14"/>
  <c r="J50" i="14" s="1"/>
  <c r="I37" i="14"/>
  <c r="I50" i="14" s="1"/>
  <c r="H37" i="14"/>
  <c r="H50" i="14" s="1"/>
  <c r="G37" i="14"/>
  <c r="F37" i="14"/>
  <c r="F50" i="14" s="1"/>
  <c r="E37" i="14"/>
  <c r="E50" i="14" s="1"/>
  <c r="D37" i="14"/>
  <c r="D50" i="14" s="1"/>
  <c r="C37" i="14"/>
  <c r="C50" i="14" s="1"/>
  <c r="D35" i="14"/>
  <c r="E35" i="14" s="1"/>
  <c r="F35" i="14" s="1"/>
  <c r="G35" i="14" s="1"/>
  <c r="H35" i="14" s="1"/>
  <c r="I35" i="14" s="1"/>
  <c r="J35" i="14" s="1"/>
  <c r="K35" i="14" s="1"/>
  <c r="L35" i="14" s="1"/>
  <c r="D33" i="14"/>
  <c r="E33" i="14" s="1"/>
  <c r="F33" i="14" s="1"/>
  <c r="G33" i="14" s="1"/>
  <c r="H33" i="14" s="1"/>
  <c r="I33" i="14" s="1"/>
  <c r="J33" i="14" s="1"/>
  <c r="K33" i="14" s="1"/>
  <c r="L33" i="14" s="1"/>
  <c r="D30" i="14"/>
  <c r="E30" i="14" s="1"/>
  <c r="F30" i="14" s="1"/>
  <c r="G30" i="14" s="1"/>
  <c r="H30" i="14" s="1"/>
  <c r="I30" i="14" s="1"/>
  <c r="J30" i="14" s="1"/>
  <c r="K30" i="14" s="1"/>
  <c r="L30" i="14" s="1"/>
  <c r="D27" i="14"/>
  <c r="E27" i="14" s="1"/>
  <c r="F27" i="14" s="1"/>
  <c r="G27" i="14" s="1"/>
  <c r="H27" i="14" s="1"/>
  <c r="I27" i="14" s="1"/>
  <c r="J27" i="14" s="1"/>
  <c r="K27" i="14" s="1"/>
  <c r="L27" i="14" s="1"/>
  <c r="J24" i="14"/>
  <c r="G54" i="14" l="1"/>
  <c r="L54" i="14" s="1"/>
  <c r="G56" i="14"/>
  <c r="L56" i="14" s="1"/>
  <c r="G58" i="14"/>
  <c r="L58" i="14" s="1"/>
  <c r="F28" i="14"/>
  <c r="G28" i="14" s="1"/>
  <c r="H28" i="14" s="1"/>
  <c r="I28" i="14" s="1"/>
  <c r="J28" i="14" s="1"/>
  <c r="G50" i="14"/>
  <c r="L50" i="14" s="1"/>
  <c r="G53" i="14"/>
  <c r="L53" i="14" s="1"/>
  <c r="G55" i="14"/>
  <c r="L55" i="14" s="1"/>
  <c r="G57" i="14"/>
  <c r="L57" i="14" s="1"/>
  <c r="G59" i="14"/>
  <c r="L59" i="14" s="1"/>
  <c r="L41" i="14"/>
  <c r="L44" i="14"/>
  <c r="C51" i="14"/>
  <c r="I51" i="14"/>
  <c r="L37" i="14"/>
  <c r="L40" i="14"/>
  <c r="L43" i="14"/>
  <c r="L46" i="14"/>
  <c r="L42" i="14"/>
  <c r="L45" i="14"/>
  <c r="G51" i="14" l="1"/>
  <c r="J39" i="14"/>
  <c r="K28" i="14"/>
  <c r="L28" i="14" l="1"/>
  <c r="J52" i="14"/>
  <c r="J49" i="14" s="1"/>
  <c r="J36" i="14"/>
  <c r="J48" i="14" s="1"/>
  <c r="A5" i="11" l="1"/>
  <c r="C12" i="11" s="1"/>
  <c r="X9" i="10"/>
  <c r="X8" i="10"/>
  <c r="X7" i="10"/>
  <c r="X5" i="10"/>
  <c r="X4" i="10"/>
  <c r="X3" i="10"/>
  <c r="D3" i="10"/>
  <c r="D4" i="10" s="1"/>
  <c r="D5" i="10" s="1"/>
  <c r="D6" i="10" s="1"/>
  <c r="D7" i="10" s="1"/>
  <c r="D8" i="10" s="1"/>
  <c r="D9" i="10" s="1"/>
  <c r="H22" i="8" l="1"/>
  <c r="H21" i="8"/>
  <c r="H20" i="8"/>
  <c r="H19" i="8"/>
  <c r="G22" i="8" s="1"/>
  <c r="H18" i="8"/>
  <c r="G21" i="8" s="1"/>
  <c r="H17" i="8"/>
  <c r="G20" i="8" s="1"/>
  <c r="H16" i="8"/>
  <c r="G19" i="8" s="1"/>
  <c r="H15" i="8"/>
  <c r="G18" i="8" s="1"/>
  <c r="H14" i="8"/>
  <c r="G17" i="8" s="1"/>
  <c r="H13" i="8"/>
  <c r="G16" i="8" s="1"/>
  <c r="H12" i="8"/>
  <c r="G15" i="8" s="1"/>
  <c r="H11" i="8"/>
  <c r="G14" i="8" s="1"/>
  <c r="D24" i="8"/>
  <c r="D10" i="8"/>
  <c r="S22" i="7"/>
  <c r="X22" i="7" s="1"/>
  <c r="X23" i="7" s="1"/>
  <c r="G9" i="9" s="1"/>
  <c r="H18" i="5"/>
  <c r="G18" i="5" s="1"/>
  <c r="F18" i="5"/>
  <c r="E18" i="5"/>
  <c r="D18" i="5"/>
  <c r="C18" i="5"/>
  <c r="C32" i="5" s="1"/>
  <c r="H17" i="5"/>
  <c r="G17" i="5" s="1"/>
  <c r="F17" i="5"/>
  <c r="E17" i="5"/>
  <c r="D17" i="5"/>
  <c r="C17" i="5"/>
  <c r="C31" i="5" s="1"/>
  <c r="H16" i="5"/>
  <c r="G16" i="5" s="1"/>
  <c r="F16" i="5"/>
  <c r="E16" i="5"/>
  <c r="D16" i="5"/>
  <c r="C16" i="5"/>
  <c r="C30" i="5" s="1"/>
  <c r="H15" i="5"/>
  <c r="G15" i="5" s="1"/>
  <c r="F15" i="5"/>
  <c r="E15" i="5"/>
  <c r="D15" i="5"/>
  <c r="C15" i="5"/>
  <c r="C29" i="5" s="1"/>
  <c r="H14" i="5"/>
  <c r="G14" i="5" s="1"/>
  <c r="F14" i="5"/>
  <c r="E14" i="5"/>
  <c r="D14" i="5"/>
  <c r="C14" i="5"/>
  <c r="C28" i="5" s="1"/>
  <c r="H13" i="5"/>
  <c r="G13" i="5" s="1"/>
  <c r="F13" i="5"/>
  <c r="E13" i="5"/>
  <c r="D13" i="5"/>
  <c r="C13" i="5"/>
  <c r="C27" i="5" s="1"/>
  <c r="H12" i="5"/>
  <c r="G12" i="5" s="1"/>
  <c r="F12" i="5"/>
  <c r="E12" i="5"/>
  <c r="D12" i="5"/>
  <c r="C12" i="5"/>
  <c r="C26" i="5" s="1"/>
  <c r="H11" i="5"/>
  <c r="G11" i="5" s="1"/>
  <c r="F11" i="5"/>
  <c r="E11" i="5"/>
  <c r="D11" i="5"/>
  <c r="C11" i="5"/>
  <c r="C25" i="5" s="1"/>
  <c r="H10" i="5"/>
  <c r="G10" i="5" s="1"/>
  <c r="F10" i="5"/>
  <c r="E10" i="5"/>
  <c r="D10" i="5"/>
  <c r="C10" i="5"/>
  <c r="C24" i="5" s="1"/>
  <c r="C7" i="5"/>
  <c r="C6" i="5"/>
  <c r="C4" i="5"/>
  <c r="I17" i="4"/>
  <c r="H17" i="4"/>
  <c r="G17" i="4"/>
  <c r="F17" i="4"/>
  <c r="E17" i="4"/>
  <c r="D17" i="4"/>
  <c r="I16" i="4"/>
  <c r="H16" i="4"/>
  <c r="G16" i="4"/>
  <c r="F16" i="4"/>
  <c r="E16" i="4"/>
  <c r="D16" i="4"/>
  <c r="I15" i="4"/>
  <c r="H15" i="4"/>
  <c r="G15" i="4"/>
  <c r="F15" i="4"/>
  <c r="E15" i="4"/>
  <c r="D15" i="4"/>
  <c r="I14" i="4"/>
  <c r="H14" i="4"/>
  <c r="G14" i="4"/>
  <c r="F14" i="4"/>
  <c r="E14" i="4"/>
  <c r="D14" i="4"/>
  <c r="I13" i="4"/>
  <c r="H13" i="4"/>
  <c r="G13" i="4"/>
  <c r="F13" i="4"/>
  <c r="E13" i="4"/>
  <c r="D13" i="4"/>
  <c r="I12" i="4"/>
  <c r="H12" i="4"/>
  <c r="G12" i="4"/>
  <c r="F12" i="4"/>
  <c r="E12" i="4"/>
  <c r="D12" i="4"/>
  <c r="I11" i="4"/>
  <c r="H11" i="4"/>
  <c r="G11" i="4"/>
  <c r="F11" i="4"/>
  <c r="E11" i="4"/>
  <c r="D11" i="4"/>
  <c r="I10" i="4"/>
  <c r="H10" i="4"/>
  <c r="G10" i="4"/>
  <c r="F10" i="4"/>
  <c r="E10" i="4"/>
  <c r="A1" i="4"/>
  <c r="H30" i="5" l="1"/>
  <c r="H26" i="5"/>
  <c r="H24" i="5"/>
  <c r="H25" i="5"/>
  <c r="H31" i="5"/>
  <c r="H32" i="5"/>
  <c r="H27" i="5"/>
  <c r="H28" i="5"/>
  <c r="H29" i="5"/>
  <c r="G25" i="5"/>
  <c r="D28" i="5"/>
  <c r="E29" i="5"/>
  <c r="F30" i="5"/>
  <c r="G31" i="5"/>
  <c r="D27" i="5"/>
  <c r="E28" i="5"/>
  <c r="F29" i="5"/>
  <c r="G30" i="5"/>
  <c r="D25" i="5"/>
  <c r="F27" i="5"/>
  <c r="D31" i="5"/>
  <c r="F24" i="5"/>
  <c r="F26" i="5"/>
  <c r="G27" i="5"/>
  <c r="E31" i="5"/>
  <c r="G24" i="5"/>
  <c r="G26" i="5"/>
  <c r="E30" i="5"/>
  <c r="F31" i="5"/>
  <c r="D24" i="5"/>
  <c r="D26" i="5"/>
  <c r="E27" i="5"/>
  <c r="F28" i="5"/>
  <c r="G29" i="5"/>
  <c r="D32" i="5"/>
  <c r="E24" i="5"/>
  <c r="E26" i="5"/>
  <c r="G28" i="5"/>
  <c r="E32" i="5"/>
  <c r="E25" i="5"/>
  <c r="D30" i="5"/>
  <c r="F32" i="5"/>
  <c r="F25" i="5"/>
  <c r="D29" i="5"/>
  <c r="G32" i="5"/>
  <c r="R22" i="7"/>
  <c r="F19" i="5"/>
  <c r="E19" i="5"/>
  <c r="I14" i="5"/>
  <c r="I11" i="5"/>
  <c r="I17" i="5"/>
  <c r="I10" i="5"/>
  <c r="I16" i="5"/>
  <c r="H19" i="5"/>
  <c r="D19" i="5"/>
  <c r="I18" i="5"/>
  <c r="I15" i="5"/>
  <c r="I12" i="5"/>
  <c r="I13" i="5"/>
  <c r="G19" i="5"/>
  <c r="G8" i="9" l="1"/>
  <c r="I19" i="5"/>
  <c r="I32" i="5"/>
  <c r="J32" i="5" s="1"/>
  <c r="I29" i="5"/>
  <c r="J29" i="5" s="1"/>
  <c r="I30" i="5"/>
  <c r="J30" i="5" s="1"/>
  <c r="D33" i="5"/>
  <c r="I24" i="5"/>
  <c r="I31" i="5"/>
  <c r="J31" i="5" s="1"/>
  <c r="I25" i="5"/>
  <c r="J25" i="5" s="1"/>
  <c r="F33" i="5"/>
  <c r="I26" i="5"/>
  <c r="J26" i="5" s="1"/>
  <c r="E33" i="5"/>
  <c r="I27" i="5"/>
  <c r="J27" i="5" s="1"/>
  <c r="I28" i="5"/>
  <c r="J28" i="5" s="1"/>
  <c r="H33" i="5"/>
  <c r="G33" i="5"/>
  <c r="D5" i="8" l="1"/>
  <c r="D6" i="8" s="1"/>
  <c r="D7" i="8" s="1"/>
  <c r="D9" i="8" s="1"/>
  <c r="I33" i="5"/>
  <c r="J24" i="5"/>
  <c r="C5" i="4" l="1"/>
  <c r="C4" i="4"/>
  <c r="A2" i="4"/>
  <c r="F5" i="3"/>
  <c r="U1" i="3"/>
  <c r="C13" i="4"/>
  <c r="C11" i="4"/>
  <c r="J13" i="4" l="1"/>
  <c r="E14" i="14" s="1"/>
  <c r="W3" i="4"/>
  <c r="J11" i="4"/>
  <c r="C14" i="14" s="1"/>
  <c r="T3" i="4"/>
  <c r="C22" i="14"/>
  <c r="O3" i="10"/>
  <c r="O9" i="10" s="1"/>
  <c r="E22" i="14"/>
  <c r="S4" i="10"/>
  <c r="F15" i="11" l="1"/>
  <c r="S9" i="10"/>
  <c r="T1796" i="3"/>
  <c r="C10" i="4" s="1"/>
  <c r="F16" i="11"/>
  <c r="G16" i="11" s="1"/>
  <c r="G15" i="11"/>
  <c r="T1797" i="3"/>
  <c r="C15" i="4" s="1"/>
  <c r="J15" i="4" s="1"/>
  <c r="E39" i="14"/>
  <c r="E24" i="14"/>
  <c r="D12" i="11"/>
  <c r="D13" i="11" s="1"/>
  <c r="D17" i="11" s="1"/>
  <c r="D24" i="11" s="1"/>
  <c r="C39" i="14"/>
  <c r="C24" i="14"/>
  <c r="M11" i="4"/>
  <c r="M13" i="4"/>
  <c r="C12" i="4"/>
  <c r="T1801" i="3"/>
  <c r="C14" i="4" s="1"/>
  <c r="T1799" i="3"/>
  <c r="C17" i="4" s="1"/>
  <c r="J17" i="4" s="1"/>
  <c r="T1798" i="3"/>
  <c r="C16" i="4" s="1"/>
  <c r="J12" i="4" l="1"/>
  <c r="M12" i="4" s="1"/>
  <c r="V3" i="4"/>
  <c r="Z3" i="4"/>
  <c r="J16" i="4"/>
  <c r="I14" i="14" s="1"/>
  <c r="Y3" i="4"/>
  <c r="J14" i="4"/>
  <c r="M14" i="4" s="1"/>
  <c r="J10" i="4"/>
  <c r="M10" i="4" s="1"/>
  <c r="V328" i="3" s="1"/>
  <c r="Y328" i="3" s="1"/>
  <c r="X3" i="4"/>
  <c r="R8" i="10"/>
  <c r="F22" i="14"/>
  <c r="F24" i="14" s="1"/>
  <c r="U7" i="10"/>
  <c r="K14" i="14"/>
  <c r="K22" i="14"/>
  <c r="R4" i="10"/>
  <c r="I22" i="14"/>
  <c r="C18" i="4"/>
  <c r="K12" i="9" s="1"/>
  <c r="R6" i="10"/>
  <c r="M15" i="4"/>
  <c r="H22" i="14"/>
  <c r="T5" i="10"/>
  <c r="T9" i="10" s="1"/>
  <c r="D22" i="14"/>
  <c r="Q3" i="10"/>
  <c r="Q9" i="10" s="1"/>
  <c r="C36" i="14"/>
  <c r="C52" i="14"/>
  <c r="E36" i="14"/>
  <c r="E52" i="14"/>
  <c r="E49" i="14" s="1"/>
  <c r="R9" i="10" l="1"/>
  <c r="F22" i="11"/>
  <c r="U9" i="10"/>
  <c r="V1615" i="3"/>
  <c r="Y1615" i="3" s="1"/>
  <c r="V247" i="3"/>
  <c r="Y247" i="3" s="1"/>
  <c r="V76" i="3"/>
  <c r="Y76" i="3" s="1"/>
  <c r="V1624" i="3"/>
  <c r="Y1624" i="3" s="1"/>
  <c r="V337" i="3"/>
  <c r="Y337" i="3" s="1"/>
  <c r="V391" i="3"/>
  <c r="Y391" i="3" s="1"/>
  <c r="V202" i="3"/>
  <c r="Y202" i="3" s="1"/>
  <c r="V211" i="3"/>
  <c r="Y211" i="3" s="1"/>
  <c r="V193" i="3"/>
  <c r="Y193" i="3" s="1"/>
  <c r="V184" i="3"/>
  <c r="Y184" i="3" s="1"/>
  <c r="V1534" i="3"/>
  <c r="Y1534" i="3" s="1"/>
  <c r="V1525" i="3"/>
  <c r="Y1525" i="3" s="1"/>
  <c r="V1516" i="3"/>
  <c r="Y1516" i="3" s="1"/>
  <c r="V1507" i="3"/>
  <c r="Y1507" i="3" s="1"/>
  <c r="V1498" i="3"/>
  <c r="Y1498" i="3" s="1"/>
  <c r="V1489" i="3"/>
  <c r="Y1489" i="3" s="1"/>
  <c r="V1480" i="3"/>
  <c r="Y1480" i="3" s="1"/>
  <c r="V1462" i="3"/>
  <c r="Y1462" i="3" s="1"/>
  <c r="V1453" i="3"/>
  <c r="Y1453" i="3" s="1"/>
  <c r="V1444" i="3"/>
  <c r="Y1444" i="3" s="1"/>
  <c r="V1435" i="3"/>
  <c r="Y1435" i="3" s="1"/>
  <c r="V1426" i="3"/>
  <c r="Y1426" i="3" s="1"/>
  <c r="V1417" i="3"/>
  <c r="Y1417" i="3" s="1"/>
  <c r="V1408" i="3"/>
  <c r="Y1408" i="3" s="1"/>
  <c r="V1399" i="3"/>
  <c r="Y1399" i="3" s="1"/>
  <c r="V1363" i="3"/>
  <c r="Y1363" i="3" s="1"/>
  <c r="V1345" i="3"/>
  <c r="Y1345" i="3" s="1"/>
  <c r="V1354" i="3"/>
  <c r="Y1354" i="3" s="1"/>
  <c r="V1372" i="3"/>
  <c r="Y1372" i="3" s="1"/>
  <c r="V1390" i="3"/>
  <c r="Y1390" i="3" s="1"/>
  <c r="V1381" i="3"/>
  <c r="Y1381" i="3" s="1"/>
  <c r="V1336" i="3"/>
  <c r="Y1336" i="3" s="1"/>
  <c r="V1327" i="3"/>
  <c r="Y1327" i="3" s="1"/>
  <c r="V1318" i="3"/>
  <c r="Y1318" i="3" s="1"/>
  <c r="V1300" i="3"/>
  <c r="Y1300" i="3" s="1"/>
  <c r="V1291" i="3"/>
  <c r="Y1291" i="3" s="1"/>
  <c r="V1309" i="3"/>
  <c r="Y1309" i="3" s="1"/>
  <c r="V1471" i="3"/>
  <c r="Y1471" i="3" s="1"/>
  <c r="V382" i="3"/>
  <c r="Y382" i="3" s="1"/>
  <c r="V373" i="3"/>
  <c r="Y373" i="3" s="1"/>
  <c r="V364" i="3"/>
  <c r="Y364" i="3" s="1"/>
  <c r="V355" i="3"/>
  <c r="Y355" i="3" s="1"/>
  <c r="V778" i="3"/>
  <c r="Y778" i="3" s="1"/>
  <c r="V1219" i="3"/>
  <c r="Y1219" i="3" s="1"/>
  <c r="V1570" i="3"/>
  <c r="Y1570" i="3" s="1"/>
  <c r="V769" i="3"/>
  <c r="Y769" i="3" s="1"/>
  <c r="V13" i="3"/>
  <c r="Y13" i="3" s="1"/>
  <c r="V1597" i="3"/>
  <c r="Y1597" i="3" s="1"/>
  <c r="V436" i="3"/>
  <c r="Y436" i="3" s="1"/>
  <c r="V103" i="3"/>
  <c r="Y103" i="3" s="1"/>
  <c r="V643" i="3"/>
  <c r="Y643" i="3" s="1"/>
  <c r="V1012" i="3"/>
  <c r="Y1012" i="3" s="1"/>
  <c r="V517" i="3"/>
  <c r="Y517" i="3" s="1"/>
  <c r="V292" i="3"/>
  <c r="Y292" i="3" s="1"/>
  <c r="V922" i="3"/>
  <c r="Y922" i="3" s="1"/>
  <c r="V1732" i="3"/>
  <c r="Y1732" i="3" s="1"/>
  <c r="V112" i="3"/>
  <c r="Y112" i="3" s="1"/>
  <c r="V787" i="3"/>
  <c r="Y787" i="3" s="1"/>
  <c r="V1579" i="3"/>
  <c r="Y1579" i="3" s="1"/>
  <c r="V1201" i="3"/>
  <c r="Y1201" i="3" s="1"/>
  <c r="V580" i="3"/>
  <c r="Y580" i="3" s="1"/>
  <c r="V1156" i="3"/>
  <c r="Y1156" i="3" s="1"/>
  <c r="V949" i="3"/>
  <c r="Y949" i="3" s="1"/>
  <c r="V490" i="3"/>
  <c r="Y490" i="3" s="1"/>
  <c r="V1066" i="3"/>
  <c r="Y1066" i="3" s="1"/>
  <c r="V445" i="3"/>
  <c r="Y445" i="3" s="1"/>
  <c r="V301" i="3"/>
  <c r="Y301" i="3" s="1"/>
  <c r="V931" i="3"/>
  <c r="Y931" i="3" s="1"/>
  <c r="V1741" i="3"/>
  <c r="Y1741" i="3" s="1"/>
  <c r="V40" i="3"/>
  <c r="Y40" i="3" s="1"/>
  <c r="V724" i="3"/>
  <c r="Y724" i="3" s="1"/>
  <c r="V1651" i="3"/>
  <c r="Y1651" i="3" s="1"/>
  <c r="V634" i="3"/>
  <c r="Y634" i="3" s="1"/>
  <c r="V1210" i="3"/>
  <c r="Y1210" i="3" s="1"/>
  <c r="V913" i="3"/>
  <c r="Y913" i="3" s="1"/>
  <c r="V499" i="3"/>
  <c r="Y499" i="3" s="1"/>
  <c r="V1075" i="3"/>
  <c r="Y1075" i="3" s="1"/>
  <c r="V319" i="3"/>
  <c r="Y319" i="3" s="1"/>
  <c r="V229" i="3"/>
  <c r="Y229" i="3" s="1"/>
  <c r="V868" i="3"/>
  <c r="Y868" i="3" s="1"/>
  <c r="V1678" i="3"/>
  <c r="Y1678" i="3" s="1"/>
  <c r="V1057" i="3"/>
  <c r="Y1057" i="3" s="1"/>
  <c r="V139" i="3"/>
  <c r="Y139" i="3" s="1"/>
  <c r="V526" i="3"/>
  <c r="Y526" i="3" s="1"/>
  <c r="V814" i="3"/>
  <c r="Y814" i="3" s="1"/>
  <c r="V958" i="3"/>
  <c r="Y958" i="3" s="1"/>
  <c r="V1102" i="3"/>
  <c r="Y1102" i="3" s="1"/>
  <c r="V1246" i="3"/>
  <c r="Y1246" i="3" s="1"/>
  <c r="V1606" i="3"/>
  <c r="Y1606" i="3" s="1"/>
  <c r="V1768" i="3"/>
  <c r="Y1768" i="3" s="1"/>
  <c r="V553" i="3"/>
  <c r="Y553" i="3" s="1"/>
  <c r="V1021" i="3"/>
  <c r="Y1021" i="3" s="1"/>
  <c r="V1687" i="3"/>
  <c r="Y1687" i="3" s="1"/>
  <c r="V148" i="3"/>
  <c r="Y148" i="3" s="1"/>
  <c r="V535" i="3"/>
  <c r="Y535" i="3" s="1"/>
  <c r="V679" i="3"/>
  <c r="Y679" i="3" s="1"/>
  <c r="V823" i="3"/>
  <c r="Y823" i="3" s="1"/>
  <c r="V967" i="3"/>
  <c r="Y967" i="3" s="1"/>
  <c r="V1111" i="3"/>
  <c r="Y1111" i="3" s="1"/>
  <c r="V1255" i="3"/>
  <c r="Y1255" i="3" s="1"/>
  <c r="V1633" i="3"/>
  <c r="Y1633" i="3" s="1"/>
  <c r="V1777" i="3"/>
  <c r="Y1777" i="3" s="1"/>
  <c r="V481" i="3"/>
  <c r="Y481" i="3" s="1"/>
  <c r="V877" i="3"/>
  <c r="Y877" i="3" s="1"/>
  <c r="V85" i="3"/>
  <c r="Y85" i="3" s="1"/>
  <c r="V274" i="3"/>
  <c r="Y274" i="3" s="1"/>
  <c r="V472" i="3"/>
  <c r="Y472" i="3" s="1"/>
  <c r="V616" i="3"/>
  <c r="Y616" i="3" s="1"/>
  <c r="V760" i="3"/>
  <c r="Y760" i="3" s="1"/>
  <c r="V904" i="3"/>
  <c r="Y904" i="3" s="1"/>
  <c r="V1048" i="3"/>
  <c r="Y1048" i="3" s="1"/>
  <c r="V1192" i="3"/>
  <c r="Y1192" i="3" s="1"/>
  <c r="V1552" i="3"/>
  <c r="Y1552" i="3" s="1"/>
  <c r="V1714" i="3"/>
  <c r="Y1714" i="3" s="1"/>
  <c r="V94" i="3"/>
  <c r="Y94" i="3" s="1"/>
  <c r="V1759" i="3"/>
  <c r="Y1759" i="3" s="1"/>
  <c r="V670" i="3"/>
  <c r="Y670" i="3" s="1"/>
  <c r="V238" i="3"/>
  <c r="Y238" i="3" s="1"/>
  <c r="V733" i="3"/>
  <c r="Y733" i="3" s="1"/>
  <c r="V1165" i="3"/>
  <c r="Y1165" i="3" s="1"/>
  <c r="V22" i="3"/>
  <c r="Y22" i="3" s="1"/>
  <c r="V175" i="3"/>
  <c r="Y175" i="3" s="1"/>
  <c r="V418" i="3"/>
  <c r="Y418" i="3" s="1"/>
  <c r="V562" i="3"/>
  <c r="Y562" i="3" s="1"/>
  <c r="V706" i="3"/>
  <c r="Y706" i="3" s="1"/>
  <c r="V850" i="3"/>
  <c r="Y850" i="3" s="1"/>
  <c r="V994" i="3"/>
  <c r="Y994" i="3" s="1"/>
  <c r="V1138" i="3"/>
  <c r="Y1138" i="3" s="1"/>
  <c r="V1282" i="3"/>
  <c r="Y1282" i="3" s="1"/>
  <c r="V1660" i="3"/>
  <c r="Y1660" i="3" s="1"/>
  <c r="V130" i="3"/>
  <c r="Y130" i="3" s="1"/>
  <c r="V661" i="3"/>
  <c r="Y661" i="3" s="1"/>
  <c r="V1129" i="3"/>
  <c r="Y1129" i="3" s="1"/>
  <c r="V31" i="3"/>
  <c r="Y31" i="3" s="1"/>
  <c r="V220" i="3"/>
  <c r="Y220" i="3" s="1"/>
  <c r="V427" i="3"/>
  <c r="Y427" i="3" s="1"/>
  <c r="V571" i="3"/>
  <c r="Y571" i="3" s="1"/>
  <c r="V715" i="3"/>
  <c r="Y715" i="3" s="1"/>
  <c r="V859" i="3"/>
  <c r="Y859" i="3" s="1"/>
  <c r="V1003" i="3"/>
  <c r="Y1003" i="3" s="1"/>
  <c r="V1147" i="3"/>
  <c r="Y1147" i="3" s="1"/>
  <c r="V1669" i="3"/>
  <c r="Y1669" i="3" s="1"/>
  <c r="V49" i="3"/>
  <c r="Y49" i="3" s="1"/>
  <c r="V589" i="3"/>
  <c r="Y589" i="3" s="1"/>
  <c r="V985" i="3"/>
  <c r="Y985" i="3" s="1"/>
  <c r="V1561" i="3"/>
  <c r="Y1561" i="3" s="1"/>
  <c r="V121" i="3"/>
  <c r="Y121" i="3" s="1"/>
  <c r="V310" i="3"/>
  <c r="Y310" i="3" s="1"/>
  <c r="V508" i="3"/>
  <c r="Y508" i="3" s="1"/>
  <c r="V652" i="3"/>
  <c r="Y652" i="3" s="1"/>
  <c r="V796" i="3"/>
  <c r="Y796" i="3" s="1"/>
  <c r="V940" i="3"/>
  <c r="Y940" i="3" s="1"/>
  <c r="V1084" i="3"/>
  <c r="Y1084" i="3" s="1"/>
  <c r="V1228" i="3"/>
  <c r="Y1228" i="3" s="1"/>
  <c r="V1588" i="3"/>
  <c r="Y1588" i="3" s="1"/>
  <c r="V1750" i="3"/>
  <c r="Y1750" i="3" s="1"/>
  <c r="V625" i="3"/>
  <c r="Y625" i="3" s="1"/>
  <c r="V346" i="3"/>
  <c r="Y346" i="3" s="1"/>
  <c r="V409" i="3"/>
  <c r="Y409" i="3" s="1"/>
  <c r="V841" i="3"/>
  <c r="Y841" i="3" s="1"/>
  <c r="V1273" i="3"/>
  <c r="Y1273" i="3" s="1"/>
  <c r="V58" i="3"/>
  <c r="Y58" i="3" s="1"/>
  <c r="V256" i="3"/>
  <c r="Y256" i="3" s="1"/>
  <c r="V454" i="3"/>
  <c r="Y454" i="3" s="1"/>
  <c r="V598" i="3"/>
  <c r="Y598" i="3" s="1"/>
  <c r="V742" i="3"/>
  <c r="Y742" i="3" s="1"/>
  <c r="V886" i="3"/>
  <c r="Y886" i="3" s="1"/>
  <c r="V1030" i="3"/>
  <c r="Y1030" i="3" s="1"/>
  <c r="V1174" i="3"/>
  <c r="Y1174" i="3" s="1"/>
  <c r="V1696" i="3"/>
  <c r="Y1696" i="3" s="1"/>
  <c r="V283" i="3"/>
  <c r="Y283" i="3" s="1"/>
  <c r="V805" i="3"/>
  <c r="Y805" i="3" s="1"/>
  <c r="V1237" i="3"/>
  <c r="Y1237" i="3" s="1"/>
  <c r="V67" i="3"/>
  <c r="Y67" i="3" s="1"/>
  <c r="V265" i="3"/>
  <c r="Y265" i="3" s="1"/>
  <c r="V463" i="3"/>
  <c r="Y463" i="3" s="1"/>
  <c r="V607" i="3"/>
  <c r="Y607" i="3" s="1"/>
  <c r="V751" i="3"/>
  <c r="Y751" i="3" s="1"/>
  <c r="V895" i="3"/>
  <c r="Y895" i="3" s="1"/>
  <c r="V1039" i="3"/>
  <c r="Y1039" i="3" s="1"/>
  <c r="V1183" i="3"/>
  <c r="Y1183" i="3" s="1"/>
  <c r="V1543" i="3"/>
  <c r="Y1543" i="3" s="1"/>
  <c r="V1705" i="3"/>
  <c r="Y1705" i="3" s="1"/>
  <c r="V166" i="3"/>
  <c r="Y166" i="3" s="1"/>
  <c r="V697" i="3"/>
  <c r="Y697" i="3" s="1"/>
  <c r="V1093" i="3"/>
  <c r="Y1093" i="3" s="1"/>
  <c r="V1723" i="3"/>
  <c r="Y1723" i="3" s="1"/>
  <c r="V157" i="3"/>
  <c r="Y157" i="3" s="1"/>
  <c r="V400" i="3"/>
  <c r="Y400" i="3" s="1"/>
  <c r="V544" i="3"/>
  <c r="Y544" i="3" s="1"/>
  <c r="V688" i="3"/>
  <c r="Y688" i="3" s="1"/>
  <c r="V832" i="3"/>
  <c r="Y832" i="3" s="1"/>
  <c r="V976" i="3"/>
  <c r="Y976" i="3" s="1"/>
  <c r="V1120" i="3"/>
  <c r="Y1120" i="3" s="1"/>
  <c r="V1264" i="3"/>
  <c r="Y1264" i="3" s="1"/>
  <c r="V1642" i="3"/>
  <c r="Y1642" i="3" s="1"/>
  <c r="V1786" i="3"/>
  <c r="Y1786" i="3" s="1"/>
  <c r="H24" i="4"/>
  <c r="Y7" i="10"/>
  <c r="F38" i="14"/>
  <c r="F36" i="14" s="1"/>
  <c r="F14" i="14"/>
  <c r="I24" i="14"/>
  <c r="I39" i="14"/>
  <c r="I36" i="14" s="1"/>
  <c r="I48" i="14" s="1"/>
  <c r="I52" i="14" s="1"/>
  <c r="I49" i="14" s="1"/>
  <c r="F12" i="11"/>
  <c r="F13" i="11" s="1"/>
  <c r="F17" i="11" s="1"/>
  <c r="Y4" i="10"/>
  <c r="K39" i="14"/>
  <c r="K24" i="14"/>
  <c r="M17" i="4"/>
  <c r="M16" i="4"/>
  <c r="H14" i="14"/>
  <c r="G14" i="14" s="1"/>
  <c r="D39" i="14"/>
  <c r="D24" i="14"/>
  <c r="H24" i="14"/>
  <c r="G24" i="14" s="1"/>
  <c r="G22" i="14"/>
  <c r="G39" i="14" s="1"/>
  <c r="G36" i="14" s="1"/>
  <c r="H39" i="14"/>
  <c r="F23" i="11"/>
  <c r="G23" i="11" s="1"/>
  <c r="G22" i="11"/>
  <c r="D14" i="14"/>
  <c r="J18" i="4"/>
  <c r="C49" i="14"/>
  <c r="E12" i="11"/>
  <c r="Y3" i="10"/>
  <c r="Y5" i="10"/>
  <c r="F19" i="11"/>
  <c r="Y6" i="10"/>
  <c r="Y2" i="3" l="1"/>
  <c r="W1" i="3"/>
  <c r="F51" i="14"/>
  <c r="F49" i="14" s="1"/>
  <c r="L38" i="14"/>
  <c r="K36" i="14"/>
  <c r="K52" i="14"/>
  <c r="K49" i="14" s="1"/>
  <c r="L14" i="14"/>
  <c r="L22" i="14"/>
  <c r="L24" i="14"/>
  <c r="C12" i="14"/>
  <c r="J20" i="4"/>
  <c r="J21" i="4" s="1"/>
  <c r="P18" i="4"/>
  <c r="D52" i="14"/>
  <c r="D36" i="14"/>
  <c r="L36" i="14" s="1"/>
  <c r="L39" i="14"/>
  <c r="H36" i="14"/>
  <c r="H48" i="14" s="1"/>
  <c r="G48" i="14" s="1"/>
  <c r="L48" i="14" s="1"/>
  <c r="Y8" i="10"/>
  <c r="Z11" i="10" s="1"/>
  <c r="G25" i="11"/>
  <c r="Y9" i="10"/>
  <c r="G19" i="11"/>
  <c r="F20" i="11"/>
  <c r="E13" i="11"/>
  <c r="G12" i="11"/>
  <c r="Y1795" i="3" l="1"/>
  <c r="V1795" i="3" s="1"/>
  <c r="L51" i="14"/>
  <c r="Z12" i="10"/>
  <c r="K11" i="9"/>
  <c r="E17" i="11"/>
  <c r="G13" i="11"/>
  <c r="H52" i="14"/>
  <c r="G5" i="9"/>
  <c r="J22" i="4"/>
  <c r="G6" i="9" s="1"/>
  <c r="H25" i="4"/>
  <c r="G20" i="11"/>
  <c r="F24" i="11"/>
  <c r="D49" i="14"/>
  <c r="I12" i="9" l="1"/>
  <c r="K10" i="9"/>
  <c r="E24" i="11"/>
  <c r="G17" i="11"/>
  <c r="G24" i="11" s="1"/>
  <c r="D25" i="11" s="1"/>
  <c r="D26" i="11" s="1"/>
  <c r="H49" i="14"/>
  <c r="G52" i="14"/>
  <c r="F25" i="11" l="1"/>
  <c r="F26" i="11" s="1"/>
  <c r="D27" i="11"/>
  <c r="G49" i="14"/>
  <c r="L49" i="14" s="1"/>
  <c r="L52" i="14"/>
  <c r="E25" i="11"/>
  <c r="E26" i="11" s="1"/>
  <c r="E27" i="11" s="1"/>
  <c r="F27" i="11" l="1"/>
  <c r="G27" i="11" s="1"/>
  <c r="G26" i="11"/>
  <c r="AS13" i="11" s="1"/>
  <c r="N11" i="9" s="1"/>
  <c r="AR13" i="11" l="1"/>
  <c r="M11" i="9" s="1"/>
  <c r="AQ13" i="11"/>
  <c r="L11" i="9" s="1"/>
  <c r="G28" i="11"/>
  <c r="D1" i="11" s="1"/>
  <c r="K17" i="9"/>
  <c r="G11" i="9" s="1"/>
  <c r="K12" i="4" s="1"/>
  <c r="L12" i="4" s="1"/>
  <c r="G12" i="9" l="1"/>
  <c r="K17" i="4"/>
  <c r="L17" i="4" s="1"/>
  <c r="G10" i="9"/>
  <c r="K15" i="4"/>
  <c r="L15" i="4" s="1"/>
  <c r="K14" i="4"/>
  <c r="L14" i="4" s="1"/>
  <c r="K11" i="4"/>
  <c r="L11" i="4" s="1"/>
  <c r="K16" i="4"/>
  <c r="L16" i="4" s="1"/>
  <c r="K13" i="4"/>
  <c r="L13" i="4" s="1"/>
  <c r="K10" i="4"/>
  <c r="L10" i="4" s="1"/>
  <c r="L18" i="4" l="1"/>
  <c r="L20" i="4" s="1"/>
  <c r="L21" i="4" l="1"/>
  <c r="L22" i="4" s="1"/>
</calcChain>
</file>

<file path=xl/comments1.xml><?xml version="1.0" encoding="utf-8"?>
<comments xmlns="http://schemas.openxmlformats.org/spreadsheetml/2006/main">
  <authors>
    <author>Автор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оставляем пустой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номер главы обязателен, берем с закладки "справочник"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заводим порядковый номер строки, не должно быть пустых и не полжно быть одинаковых для одного проекта</t>
        </r>
      </text>
    </comment>
  </commentList>
</comments>
</file>

<file path=xl/sharedStrings.xml><?xml version="1.0" encoding="utf-8"?>
<sst xmlns="http://schemas.openxmlformats.org/spreadsheetml/2006/main" count="2608" uniqueCount="791">
  <si>
    <t>Шифр</t>
  </si>
  <si>
    <t>Наимен. объекта</t>
  </si>
  <si>
    <t>Расчет сметной стоимости инвестиционного проекта по титулу:</t>
  </si>
  <si>
    <t>ТУ</t>
  </si>
  <si>
    <t>Категория надежности</t>
  </si>
  <si>
    <t>Максимальная мощность</t>
  </si>
  <si>
    <t>ПС</t>
  </si>
  <si>
    <t>Резерв мощн.</t>
  </si>
  <si>
    <t>ПИР</t>
  </si>
  <si>
    <t>Трансформаторная мощность (при наличии)</t>
  </si>
  <si>
    <t>МВА</t>
  </si>
  <si>
    <t>Москва</t>
  </si>
  <si>
    <t>Технические условия</t>
  </si>
  <si>
    <t>кВт</t>
  </si>
  <si>
    <t>№ п/ п</t>
  </si>
  <si>
    <t>выборка</t>
  </si>
  <si>
    <t>Наименование  работ</t>
  </si>
  <si>
    <t>Обоснование</t>
  </si>
  <si>
    <t>Ед. изм</t>
  </si>
  <si>
    <t>Кол-во</t>
  </si>
  <si>
    <t>Поправочные коэффициенты
(ценообразующие)</t>
  </si>
  <si>
    <t>Коэффициенты на усложненные условия производства работ
(усложняющие)</t>
  </si>
  <si>
    <t>Плановая стоимость объекта в прогнозных ценах года окончания строительства</t>
  </si>
  <si>
    <r>
      <t xml:space="preserve">Оборудование   </t>
    </r>
    <r>
      <rPr>
        <sz val="18"/>
        <rFont val="Times New Roman"/>
        <family val="1"/>
        <charset val="204"/>
      </rPr>
      <t xml:space="preserve">                                   </t>
    </r>
    <r>
      <rPr>
        <sz val="9"/>
        <rFont val="Times New Roman"/>
        <family val="1"/>
        <charset val="204"/>
      </rPr>
      <t/>
    </r>
  </si>
  <si>
    <r>
      <t xml:space="preserve">СМР 
</t>
    </r>
    <r>
      <rPr>
        <sz val="18"/>
        <rFont val="Times New Roman"/>
        <family val="1"/>
        <charset val="204"/>
      </rPr>
      <t xml:space="preserve">                                  </t>
    </r>
    <r>
      <rPr>
        <sz val="9"/>
        <rFont val="Times New Roman"/>
        <family val="1"/>
        <charset val="204"/>
      </rPr>
      <t/>
    </r>
  </si>
  <si>
    <t xml:space="preserve">ПНР   </t>
  </si>
  <si>
    <t>Прочие</t>
  </si>
  <si>
    <t>Итого</t>
  </si>
  <si>
    <r>
      <t xml:space="preserve">СМР </t>
    </r>
    <r>
      <rPr>
        <sz val="18"/>
        <rFont val="Times New Roman"/>
        <family val="1"/>
        <charset val="204"/>
      </rPr>
      <t xml:space="preserve">                                 </t>
    </r>
    <r>
      <rPr>
        <sz val="9"/>
        <rFont val="Times New Roman"/>
        <family val="1"/>
        <charset val="204"/>
      </rPr>
      <t/>
    </r>
  </si>
  <si>
    <t>в том числе:</t>
  </si>
  <si>
    <t xml:space="preserve">Проектные и изыскательские работы и авторский надзор </t>
  </si>
  <si>
    <t>Строительный контроль (2,14% -Постановление Правительства РФ от 21.06.2010 № 468)</t>
  </si>
  <si>
    <t>Проектные и изыскательские работы и авторский надзор</t>
  </si>
  <si>
    <t>Строительный контроль</t>
  </si>
  <si>
    <t>Резерв средств на непредвиденные работы и затраты</t>
  </si>
  <si>
    <t>Прочие без учёта  затрат на пусконаладочные, проектно-изыскательские работы, содержание службы заказчика и резерва средств на непредвиденные работы и затраты</t>
  </si>
  <si>
    <t>Содержание службы заказчика</t>
  </si>
  <si>
    <t>Срок окончания ПИР:</t>
  </si>
  <si>
    <t>Год окончания строительства:</t>
  </si>
  <si>
    <r>
      <t xml:space="preserve">Индивидуальный коэффициент снижения удельных инвестиционных затрат </t>
    </r>
    <r>
      <rPr>
        <b/>
        <sz val="14"/>
        <color theme="0"/>
        <rFont val="Times New Roman"/>
        <family val="1"/>
        <charset val="204"/>
      </rPr>
      <t xml:space="preserve">(Приказ ПАО "МОЭСК" от 03.10.2017г. №1156) </t>
    </r>
  </si>
  <si>
    <t>Плановая стоимость объекта с учетом коэффициента снижения</t>
  </si>
  <si>
    <t>Индекс-дефлятор  по капитальным вложениям 2025/2024</t>
  </si>
  <si>
    <t>Индекс-дефлятор  по капитальным вложениям 2026/2025</t>
  </si>
  <si>
    <t>Индекс-дефлятор  по капитальным вложениям 2027/2026</t>
  </si>
  <si>
    <t>Индекс-дефлятор  по капитальным вложениям 2028/2027</t>
  </si>
  <si>
    <t>Индекс-дефлятор  по капитальным вложениям 2029/2028</t>
  </si>
  <si>
    <t>Индекс-дефлятор  по капитальным вложениям 2030/2029</t>
  </si>
  <si>
    <t xml:space="preserve">ПИР </t>
  </si>
  <si>
    <t xml:space="preserve">СМР </t>
  </si>
  <si>
    <t xml:space="preserve">Оборудование </t>
  </si>
  <si>
    <t>ПНР</t>
  </si>
  <si>
    <t xml:space="preserve">Содержание службы заказчика </t>
  </si>
  <si>
    <t xml:space="preserve">Прочие </t>
  </si>
  <si>
    <t>в т.ч. ПИР без ндс</t>
  </si>
  <si>
    <t>в т.ч. СМР, оборудование, ПНР, прочие без НДС</t>
  </si>
  <si>
    <t xml:space="preserve">                          Прогноз индексов-дефляторов и инфляции до 2030 г. (в %, за год к предыдущему году)</t>
  </si>
  <si>
    <t>Наименование</t>
  </si>
  <si>
    <t xml:space="preserve">Наименование документа - источника данных </t>
  </si>
  <si>
    <t>Реквизиты документа</t>
  </si>
  <si>
    <t>2015 год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</si>
  <si>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</si>
  <si>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</si>
  <si>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</si>
  <si>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</si>
  <si>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</si>
  <si>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</si>
  <si>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</si>
  <si>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</si>
  <si>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</si>
  <si>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</si>
  <si>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2026 год</t>
  </si>
  <si>
    <t>2027 год</t>
  </si>
  <si>
    <t>2028 год</t>
  </si>
  <si>
    <t>2029 год</t>
  </si>
  <si>
    <t>2030 год</t>
  </si>
  <si>
    <t>Индексы- дефляторы, предусмотренные прогнозом социально-экономического развития Российской Федерации на среднесрочный период (в %, к предыдущему году)</t>
  </si>
  <si>
    <t>Строительство</t>
  </si>
  <si>
    <t xml:space="preserve"> ИЦП</t>
  </si>
  <si>
    <t>Расчет удельных показателей стоимости строительства (тыс.руб./МВА; тыс.руб./км)</t>
  </si>
  <si>
    <t>Объект:</t>
  </si>
  <si>
    <t>Дата окончания строительства</t>
  </si>
  <si>
    <t>Срок окончания ПИР</t>
  </si>
  <si>
    <t>Показатель (км, МВА, шт.)</t>
  </si>
  <si>
    <t xml:space="preserve">Оборудование                                      </t>
  </si>
  <si>
    <t xml:space="preserve">СМР                                  </t>
  </si>
  <si>
    <t>КЛ 0,4 кВ</t>
  </si>
  <si>
    <t>КЛ 6-20 кВ</t>
  </si>
  <si>
    <t>Благоустройство</t>
  </si>
  <si>
    <t>ГНБ</t>
  </si>
  <si>
    <t>ВЛ 0,4 кВ</t>
  </si>
  <si>
    <t>ВЛ 6-20 кВ</t>
  </si>
  <si>
    <t>Доп. работы при сооружении ВЛ</t>
  </si>
  <si>
    <t>ТП</t>
  </si>
  <si>
    <t>ВСЕГО по объекту</t>
  </si>
  <si>
    <t>Плановая стоимость объекта в прогнозных ценах года окончания строительства, тыс. руб., (без учета НДС)</t>
  </si>
  <si>
    <t>Удельный показатель стоимости (тыс.руб. на ед.)</t>
  </si>
  <si>
    <t>Приложение  № __</t>
  </si>
  <si>
    <t>к приказу Минэнерго России</t>
  </si>
  <si>
    <t>Форма 20. Результаты расчетов объемов финансовых потребностей, необходимых для строительства объектов электроэнергетики, выполненных в соответствии с укрупненными нормативами цены типовых технологических решений капитального строительства объектов электроэнергетики</t>
  </si>
  <si>
    <t>Наименование инвестиционного проекта:</t>
  </si>
  <si>
    <t>Субъекты Российской Федерации, на территории которых реализуется инвестиционный проект:</t>
  </si>
  <si>
    <t>№ п/п</t>
  </si>
  <si>
    <t xml:space="preserve"> Наименование инвестиционного проекта </t>
  </si>
  <si>
    <t>Идентификатор инвестиционного проекта</t>
  </si>
  <si>
    <t>Наименование технологического решения (наименование УНЦ)</t>
  </si>
  <si>
    <t>Наименование одного объекта, где реализуется указанное технологическое решение</t>
  </si>
  <si>
    <t>План</t>
  </si>
  <si>
    <t>Предложение по корректировке утвержденного плана</t>
  </si>
  <si>
    <t xml:space="preserve">Технические характеристики (параметры) инвестиционного проекта </t>
  </si>
  <si>
    <t>Объем финансовых потребностей на реализацию инвестиционного проекта</t>
  </si>
  <si>
    <t>Напряжение, кВ</t>
  </si>
  <si>
    <t>Технические характеристики</t>
  </si>
  <si>
    <t>Количество</t>
  </si>
  <si>
    <t>Измеритель (единица измерения)</t>
  </si>
  <si>
    <t>Номер расценки</t>
  </si>
  <si>
    <t xml:space="preserve">Укрупненный норматив цены,  тыс рублей (без НДС) </t>
  </si>
  <si>
    <t>Коэффициент перехода от базовых нормативов к территориальному уровню нормативов</t>
  </si>
  <si>
    <t>Величина затрат, тыс рублей (без НДС)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</si>
  <si>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</si>
  <si>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</si>
  <si>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</si>
  <si>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</si>
  <si>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</si>
  <si>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</si>
  <si>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</si>
  <si>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</si>
  <si>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</si>
  <si>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</si>
  <si>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</si>
  <si>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</si>
  <si>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</si>
  <si>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</si>
  <si>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</si>
  <si>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</si>
  <si>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</si>
  <si>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</si>
  <si>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</si>
  <si>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</si>
  <si>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</si>
  <si>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 xml:space="preserve">Затраты на проектно-изыскательские работы для отдельных элементов электрических сетей </t>
  </si>
  <si>
    <t>1 объект</t>
  </si>
  <si>
    <t>Итого объем финансовых потребностей по инвестиционному проекту, тыс рублей</t>
  </si>
  <si>
    <t>нд</t>
  </si>
  <si>
    <t>Таблица 6. Определение полной стоимости строительства электросетевых объектов с использованием укрупненных нормативов цен (в прогнозных ценах), тыс рублей</t>
  </si>
  <si>
    <t>Наименование показателя</t>
  </si>
  <si>
    <t xml:space="preserve">Итого объем финансовых потребностей, определенный в соответствии с таблицами 1 - 5 в ценах, в которых рассчитаны укрупненные нормативы цены (без НДС) </t>
  </si>
  <si>
    <t xml:space="preserve">НДС </t>
  </si>
  <si>
    <t>Итого объем финансовых потребностей ОФПУНЦd, определенный в текущих ценах в соответствии с таблицами 1 - 5 в ценах, в которых рассчитаны укрупненные нормативы цены  (с НДС)</t>
  </si>
  <si>
    <t>Фактический объем финансирования инвестиций по инвестиционному проекту Фd (с НДС)</t>
  </si>
  <si>
    <t>Объем финансовых потребностей DОФПУНЦd  (с НДС)</t>
  </si>
  <si>
    <t>Объем финансирования инвестиций по инвестиционному проекту ОФПРвсего (в прогнозных ценах с НДС), в том числе:</t>
  </si>
  <si>
    <t>7.1</t>
  </si>
  <si>
    <t>ОФПРd</t>
  </si>
  <si>
    <t>7.2</t>
  </si>
  <si>
    <t>ОФПРd+1</t>
  </si>
  <si>
    <t>7.3</t>
  </si>
  <si>
    <t>ОФПРd+2</t>
  </si>
  <si>
    <t>7.4</t>
  </si>
  <si>
    <t>ОФПРd+3</t>
  </si>
  <si>
    <t>7.5</t>
  </si>
  <si>
    <t>ОФПРd+4</t>
  </si>
  <si>
    <t>7.6</t>
  </si>
  <si>
    <t>ОФПРd+5</t>
  </si>
  <si>
    <t>7.7</t>
  </si>
  <si>
    <t>ОФПРd+6</t>
  </si>
  <si>
    <t>7.8</t>
  </si>
  <si>
    <t>ОФПРd+7</t>
  </si>
  <si>
    <t>7.9</t>
  </si>
  <si>
    <t>ОФПРd+8</t>
  </si>
  <si>
    <t>7.10</t>
  </si>
  <si>
    <t>ОФПРd+9</t>
  </si>
  <si>
    <t>7.11</t>
  </si>
  <si>
    <t>ОФПРd+10</t>
  </si>
  <si>
    <t>7.12</t>
  </si>
  <si>
    <t>ОФПРd+11</t>
  </si>
  <si>
    <t>Объем финансовых потребностей ОФППРУНЦ (в прогнозных ценах с НДС)</t>
  </si>
  <si>
    <t>Объем финансовых потребностей для мероприятий ненормируемых УНЦ согласно Постановлению Правительства Российской Федерации от 12.11.2016 № 1157 (с учетом налогов и сборов)</t>
  </si>
  <si>
    <t xml:space="preserve">Оценка полной стоимости инвестиционного проекта в соответствии с укрупненными нормативами цены типовых технологических решений капитального строительства объектов электроэнергетики, в прогнозных ценах соответствующих лет (с НДС) </t>
  </si>
  <si>
    <t>КОНТРОЛЬ НЕ ПРЕВЫШЕНИЯ ПОЛНОГО ОБЪЕМА ФИНАНСИРОВАНИЯ НАД ФИНАНСОВЫМИ ПОТРЕБНОСТЯМИ ПО УНЦ.</t>
  </si>
  <si>
    <t>Расчет сметной стоимости ИП в прогнозных ценах, руб. без НДС</t>
  </si>
  <si>
    <t>Расчет сметной стоимости ИП в прогнозных ценах, руб. с НДС</t>
  </si>
  <si>
    <t>Расчет потребностей по УНЦ в текущих ценах, руб. без НДС</t>
  </si>
  <si>
    <t>Расчет потребностей по УНЦ в текущих ценах, руб.с НДС</t>
  </si>
  <si>
    <t>Расчет объема финансовых потребностей по УНЦ в прогнозных ценах, руб. без НДС</t>
  </si>
  <si>
    <t>ССР в текущ. ценах, руб. без НДС:</t>
  </si>
  <si>
    <t>СМР</t>
  </si>
  <si>
    <t>Оборуд.</t>
  </si>
  <si>
    <t>Расчет объема финансовых потребностей по УНЦ в прогнозных ценах, руб. с НДС</t>
  </si>
  <si>
    <t>ССР в текущ. ценах, руб. с НДС:</t>
  </si>
  <si>
    <t>ОТКЛОНЕНИЕ (НЕ ДОЛЖНО БЫТЬ ОТРИЦАТЕЛЬНЫМ)</t>
  </si>
  <si>
    <t>ИТОГО</t>
  </si>
  <si>
    <t>Показатель</t>
  </si>
  <si>
    <t>Расчет ФИН по объектам-аналогам в прогнозных ценах</t>
  </si>
  <si>
    <t>Индекс-дефлятор МЭР</t>
  </si>
  <si>
    <t>-</t>
  </si>
  <si>
    <t xml:space="preserve">Базисные цены на 01.01.2000 г. </t>
  </si>
  <si>
    <t>Контроль, не включается в загрузку</t>
  </si>
  <si>
    <t>Идентификатор инициативы</t>
  </si>
  <si>
    <t>Код версии</t>
  </si>
  <si>
    <t>Код главы ССР</t>
  </si>
  <si>
    <t>Номер позиции ЛС</t>
  </si>
  <si>
    <t>Номера сметных расчетов и смет</t>
  </si>
  <si>
    <t>Наименование глав, объектов, работ и затрат</t>
  </si>
  <si>
    <t xml:space="preserve">Строительные и монтажные работы </t>
  </si>
  <si>
    <t>Монтажные работы</t>
  </si>
  <si>
    <t>Оборудование</t>
  </si>
  <si>
    <t>Прочие затраты (за искл. ПИР, ПНР, ОКС)</t>
  </si>
  <si>
    <t>Пуско-наладочные работы</t>
  </si>
  <si>
    <t>Проектно-изыскательные работы</t>
  </si>
  <si>
    <t>СМР, хозспособом</t>
  </si>
  <si>
    <t>Строительные и монтажные работы</t>
  </si>
  <si>
    <t>Итого по ЛС, базисные цены</t>
  </si>
  <si>
    <t>Итого по ЛС, текущие цены</t>
  </si>
  <si>
    <t>I-241161</t>
  </si>
  <si>
    <t>н/д</t>
  </si>
  <si>
    <t>СМР, Оборудование</t>
  </si>
  <si>
    <t>ПНР, Прочие</t>
  </si>
  <si>
    <t>ОКС</t>
  </si>
  <si>
    <t>Непредвиденные затраты</t>
  </si>
  <si>
    <t>НДС 20%</t>
  </si>
  <si>
    <t>Средства на уплату налога на добавленную стоимость</t>
  </si>
  <si>
    <t xml:space="preserve">Итого </t>
  </si>
  <si>
    <t>Итого с НДС</t>
  </si>
  <si>
    <t>Сводный сметный расчет сметной стоимостью</t>
  </si>
  <si>
    <t>тыс. руб.</t>
  </si>
  <si>
    <t xml:space="preserve"> СВОДНЫЙ СМЕТНЫЙ РАСЧЕТ СТОИМОСТИ СТРОИТЕЛЬСТВА  </t>
  </si>
  <si>
    <t>Наменование , глав, обьектов капитального строительства, работ и затрат.</t>
  </si>
  <si>
    <t>Сметная стоимость тыс.руб.</t>
  </si>
  <si>
    <t>строительных и  монтажных работ</t>
  </si>
  <si>
    <t>оборудования</t>
  </si>
  <si>
    <t>прочих затрат</t>
  </si>
  <si>
    <t>всего</t>
  </si>
  <si>
    <t>Глава 2. Основные объекты строительства</t>
  </si>
  <si>
    <t>Расчет сметной стоимости</t>
  </si>
  <si>
    <t>Всего по главам 1-8</t>
  </si>
  <si>
    <t xml:space="preserve">Глава 9. Прочие работы и затраты </t>
  </si>
  <si>
    <t>Всего по гл.9</t>
  </si>
  <si>
    <t>Всего по гл.1-9</t>
  </si>
  <si>
    <t>Глава 10. Содержание службы заказчика. Строительный контроль</t>
  </si>
  <si>
    <t>Содержание службы заказчика, Строительный контроль</t>
  </si>
  <si>
    <t>Всего по главе 10</t>
  </si>
  <si>
    <t>Глава 12 публичный технологический и ценовой аудит, подготовка обоснования
инвестиций, осуществляемых в инвестиционный проект по созданию объекта
капитального строительства, в отношении которого планируется заключение
контракта, предметом которого является одновременно выполнение работ по
проектированию, строительству и вводу в эксплуатацию объекта
капитального строительства, технологический и ценовой аудит такого
обоснования инвестиций, аудит проектной документации, проектные и
изыскательские работы</t>
  </si>
  <si>
    <t>ПИР, авторский надзор, экспертиза</t>
  </si>
  <si>
    <t>Всего по главе 12</t>
  </si>
  <si>
    <t>Всего по гл 1-12</t>
  </si>
  <si>
    <t xml:space="preserve">Резерв средств на непредвиденные работы и затраты </t>
  </si>
  <si>
    <t>Налоговый кодекс РФ ст. 49</t>
  </si>
  <si>
    <t xml:space="preserve">Всего по сводному сметному расчету </t>
  </si>
  <si>
    <t xml:space="preserve">Составил </t>
  </si>
  <si>
    <t>(подпись)</t>
  </si>
  <si>
    <t>Проверил</t>
  </si>
  <si>
    <t>Приложение № 4. К методическим указаниям по расчету предельной стоимости лота объектов капитального строительства ПАО "МОЭСК".
Пример расчета предельной стоимости лота "под ключ", 
в т.ч.распредсеть (ПСД не разработана, расчет от РСС).</t>
  </si>
  <si>
    <t>Утверждаю</t>
  </si>
  <si>
    <t>Должность</t>
  </si>
  <si>
    <t>_____________________ФИО и дата</t>
  </si>
  <si>
    <r>
      <t xml:space="preserve">Расчет предельной стоимости лота </t>
    </r>
    <r>
      <rPr>
        <b/>
        <u/>
        <sz val="16"/>
        <color theme="1"/>
        <rFont val="Times New Roman"/>
        <family val="1"/>
        <charset val="204"/>
      </rPr>
      <t>«под ключ» (в т.ч. по объектам распределительной сети 0,4 -20 кВ). Расчет предельной стоимости лота  от расчета сметной  стоимости (РСС), ПСД не разработана.</t>
    </r>
  </si>
  <si>
    <r>
      <rPr>
        <u/>
        <sz val="14"/>
        <color theme="1"/>
        <rFont val="Times New Roman"/>
        <family val="1"/>
        <charset val="204"/>
      </rPr>
      <t>наименование объекта</t>
    </r>
    <r>
      <rPr>
        <sz val="14"/>
        <color theme="1"/>
        <rFont val="Times New Roman"/>
        <family val="1"/>
        <charset val="204"/>
      </rPr>
      <t>,         на основании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расчета сметной стоиомости от_______________ №_________________________</t>
    </r>
  </si>
  <si>
    <t>СПРАВОЧНО</t>
  </si>
  <si>
    <t>Прочие, в т.ч.</t>
  </si>
  <si>
    <t xml:space="preserve">Итого: тыс. руб. </t>
  </si>
  <si>
    <t>содержание заказчика, строительный контроль</t>
  </si>
  <si>
    <t>затраты заказчика на ввод объекта в экспуатацию</t>
  </si>
  <si>
    <t>прочие (в составе 1,9  главы ССР)</t>
  </si>
  <si>
    <t>(с НДС):</t>
  </si>
  <si>
    <t>Срок реализации проекта, согласно утвержденной ИПР</t>
  </si>
  <si>
    <t>Индексы - дефляторы, применные при расчете плановой (полной) стоимости инвестиционного проекта в прогнозных ценах</t>
  </si>
  <si>
    <t>Коэффициент директивного снижения, примененный для расчета инвестиционной стоимости проекта в прогнозных ценах</t>
  </si>
  <si>
    <t>Стоимость инвестиционного проекта в прогнозных ценах на период его реализации  (включенная в ИПР Общества), в т.ч. Затраты заказчика</t>
  </si>
  <si>
    <t>Год соответсвующий полупериоду выполнения ПИР:</t>
  </si>
  <si>
    <t>2022г.</t>
  </si>
  <si>
    <t>*согласно заданию на проведение регламентированной закупки</t>
  </si>
  <si>
    <t>Территориальный признак объекта</t>
  </si>
  <si>
    <t>Год, соответствующий полупериоду строительства:</t>
  </si>
  <si>
    <t>2023г.</t>
  </si>
  <si>
    <t>Наличие ПСД, разработанной по отдельному договору на ПИР</t>
  </si>
  <si>
    <t>Нет</t>
  </si>
  <si>
    <t>№п/п</t>
  </si>
  <si>
    <t>Расшифровка "прочих"</t>
  </si>
  <si>
    <t xml:space="preserve">Стоимость строительства  в ценах на 1 квартал 2021 г. </t>
  </si>
  <si>
    <t>Индексы изменения сметной стоимости для перевода в цены 4 квартала 2012г. (для объектов с утвержденной ПСД в ценах, отличных от уровня 4 квартала 2012г.; для объектов по ОРС - индекс пересчета равен 1)</t>
  </si>
  <si>
    <t>Стоимость строительства в ценах 4 кв. 2012 г. (в т.ч.затраты заказчика):</t>
  </si>
  <si>
    <t>Индексы-дефляторы Минэкономразвития по строке "Инвестиции в основной капитал"</t>
  </si>
  <si>
    <t>2021/2020</t>
  </si>
  <si>
    <t>2022/2021</t>
  </si>
  <si>
    <t>2023/2022</t>
  </si>
  <si>
    <t>2024/2023</t>
  </si>
  <si>
    <t>2025/2024</t>
  </si>
  <si>
    <t>2026/2025</t>
  </si>
  <si>
    <t>2027/2026</t>
  </si>
  <si>
    <t>2028/2027</t>
  </si>
  <si>
    <t>2029/2028</t>
  </si>
  <si>
    <t>2030/2029</t>
  </si>
  <si>
    <t>Плановая (полная) стоимость объекта в прогнозных ценах года полупериода строительства, в т.ч.затраты заказчика:</t>
  </si>
  <si>
    <t>2021г.</t>
  </si>
  <si>
    <t>2024г.</t>
  </si>
  <si>
    <t>2025г.</t>
  </si>
  <si>
    <t>2026г.</t>
  </si>
  <si>
    <t>2027г.</t>
  </si>
  <si>
    <t>2028г.</t>
  </si>
  <si>
    <t>2029г.</t>
  </si>
  <si>
    <t>2030г.</t>
  </si>
  <si>
    <t xml:space="preserve">Стоимость оборудования предоставляемого подрядчиком по разделительной ведомости (при наличии) в прогнозных ценах </t>
  </si>
  <si>
    <t xml:space="preserve">Затраты заказчика, исключаемые из расчета предельной цены лота в прогнозных ценах </t>
  </si>
  <si>
    <t>Предельная стоимость лота в прогнозных ценах года полупериода строительства,  без затрат заказчика в т.ч.:</t>
  </si>
  <si>
    <t>Должность исполнителя                                                                                            ФИО, дата</t>
  </si>
  <si>
    <t>РСС</t>
  </si>
  <si>
    <t>Расчет №</t>
  </si>
  <si>
    <r>
      <t xml:space="preserve">Потребительский рынок </t>
    </r>
    <r>
      <rPr>
        <b/>
        <vertAlign val="superscript"/>
        <sz val="13"/>
        <color indexed="8"/>
        <rFont val="Arial"/>
        <family val="2"/>
        <charset val="204"/>
      </rPr>
      <t>7</t>
    </r>
  </si>
  <si>
    <t xml:space="preserve">  оборот розничной торговли, дефлятор</t>
  </si>
  <si>
    <t xml:space="preserve">  ИПЦ на товары</t>
  </si>
  <si>
    <t xml:space="preserve">  платные услуги населению, дефлятор</t>
  </si>
  <si>
    <t xml:space="preserve">  ИПЦ на услуги</t>
  </si>
  <si>
    <r>
      <rPr>
        <vertAlign val="superscript"/>
        <sz val="10"/>
        <color theme="1"/>
        <rFont val="Arial"/>
        <family val="2"/>
        <charset val="204"/>
      </rPr>
      <t>1</t>
    </r>
    <r>
      <rPr>
        <sz val="10"/>
        <color theme="1"/>
        <rFont val="Arial"/>
        <family val="2"/>
        <charset val="204"/>
      </rPr>
      <t xml:space="preserve"> - на продукцию, реализованную на внутренний рынок</t>
    </r>
  </si>
  <si>
    <r>
      <rPr>
        <vertAlign val="superscript"/>
        <sz val="10"/>
        <color theme="1"/>
        <rFont val="Arial"/>
        <family val="2"/>
        <charset val="204"/>
      </rPr>
      <t>2</t>
    </r>
    <r>
      <rPr>
        <sz val="10"/>
        <color theme="1"/>
        <rFont val="Arial"/>
        <family val="2"/>
        <charset val="204"/>
      </rPr>
      <t xml:space="preserve"> - индексы-дефляторы, выделены курсивом - оценка</t>
    </r>
  </si>
  <si>
    <r>
      <rPr>
        <vertAlign val="super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 xml:space="preserve"> - в соответствии с Общероссийским классификатором продукции по видам экономической деятельности (ОКПД2) ОК 034-2014 (КПЕС 2008)  уголь, за исключением антрацита, угля коксующегося и угля бурого (05.10.10.130)</t>
    </r>
  </si>
  <si>
    <r>
      <rPr>
        <vertAlign val="superscript"/>
        <sz val="10"/>
        <color theme="1"/>
        <rFont val="Arial"/>
        <family val="2"/>
        <charset val="204"/>
      </rPr>
      <t>4</t>
    </r>
    <r>
      <rPr>
        <sz val="10"/>
        <color theme="1"/>
        <rFont val="Arial"/>
        <family val="2"/>
        <charset val="204"/>
      </rPr>
      <t xml:space="preserve"> - по виду деятельности "Транспортировка и хранение"</t>
    </r>
  </si>
  <si>
    <r>
      <rPr>
        <vertAlign val="superscript"/>
        <sz val="10"/>
        <color theme="1"/>
        <rFont val="Arial"/>
        <family val="2"/>
        <charset val="204"/>
      </rPr>
      <t>5</t>
    </r>
    <r>
      <rPr>
        <sz val="10"/>
        <color theme="1"/>
        <rFont val="Arial"/>
        <family val="2"/>
        <charset val="204"/>
      </rPr>
      <t xml:space="preserve"> - индекс тарифов на грузовые перевозки</t>
    </r>
  </si>
  <si>
    <r>
      <rPr>
        <vertAlign val="superscript"/>
        <sz val="10"/>
        <color theme="1"/>
        <rFont val="Arial"/>
        <family val="2"/>
        <charset val="204"/>
      </rPr>
      <t>6</t>
    </r>
    <r>
      <rPr>
        <sz val="10"/>
        <color theme="1"/>
        <rFont val="Arial"/>
        <family val="2"/>
        <charset val="204"/>
      </rPr>
      <t xml:space="preserve"> - за счет всех источников финансирования</t>
    </r>
  </si>
  <si>
    <r>
      <rPr>
        <vertAlign val="superscript"/>
        <sz val="10"/>
        <color theme="1"/>
        <rFont val="Arial"/>
        <family val="2"/>
        <charset val="204"/>
      </rPr>
      <t>7</t>
    </r>
    <r>
      <rPr>
        <sz val="10"/>
        <color theme="1"/>
        <rFont val="Arial"/>
        <family val="2"/>
        <charset val="204"/>
      </rPr>
      <t>- с учетом НДС, косвенных налогов, торгово-транспортной наценки</t>
    </r>
  </si>
  <si>
    <t>оценка</t>
  </si>
  <si>
    <t>прогноз</t>
  </si>
  <si>
    <t>экстраполяция</t>
  </si>
  <si>
    <t xml:space="preserve">Индексы-дефляторы Минэкономразвития
</t>
  </si>
  <si>
    <t xml:space="preserve"> дефлятор</t>
  </si>
  <si>
    <r>
      <t>Сайт Министерства экономического развития РФ:                                                                                                                   от 24.11.2016 года;                                                                                                        от 27.10.2017 года;                                                                                                                                                                                                                                                                                                    
от 26.09.2020 года.
№ 33918-ПК/Д03и от 5 октября 2021
№ 35312-ПК/Д03и от 28 сентября 2023 г.
о</t>
    </r>
    <r>
      <rPr>
        <sz val="12"/>
        <color rgb="FFFF0000"/>
        <rFont val="Times New Roman"/>
        <family val="1"/>
        <charset val="204"/>
      </rPr>
      <t>т 02.10.2024 No 35132-ПК/Д03и</t>
    </r>
  </si>
  <si>
    <t>до 2023 (ФАКТ)</t>
  </si>
  <si>
    <t xml:space="preserve">Расчет сметной стоимости инвестиционного проекта. </t>
  </si>
  <si>
    <t>от «__» _____ 2023 г. №___</t>
  </si>
  <si>
    <t>Субъект Российской Федерации</t>
  </si>
  <si>
    <t>Год ввода в эксплуатацию:</t>
  </si>
  <si>
    <t>КЛ 0,4 кВ
11-ПИР</t>
  </si>
  <si>
    <t>КЛ 10 кВ
11-ПИР</t>
  </si>
  <si>
    <t>ВЛ 0,4 кВ
33-ПИР</t>
  </si>
  <si>
    <t>ВЛ 10 кВ
33-ПИР</t>
  </si>
  <si>
    <t>ГНБ для КЛ 0,4 Кв
66 - ПИР</t>
  </si>
  <si>
    <t>ГНБ для КЛ 10 кВ
77 - ПИР</t>
  </si>
  <si>
    <t>Благоустройство КЛ 0,4 кВ
88-ПИР</t>
  </si>
  <si>
    <t>Благоустройство КЛ 10 кВ
99-ПИР</t>
  </si>
  <si>
    <t>Прочие объекты 
(не относятся к км и кВА)</t>
  </si>
  <si>
    <t>Коэффициент перехода от
цен базового района к ценам Москвы/Московской области</t>
  </si>
  <si>
    <t>Для расчета удельных показателей в столбец С "РСС ИП" вносим данные по выборке, согласно следующей разбивке:</t>
  </si>
  <si>
    <t>ТП, РТП
55 - ПИР</t>
  </si>
  <si>
    <t>Кф1</t>
  </si>
  <si>
    <t>Кф2</t>
  </si>
  <si>
    <t>Кф3</t>
  </si>
  <si>
    <t>22</t>
  </si>
  <si>
    <t>23</t>
  </si>
  <si>
    <t>24</t>
  </si>
  <si>
    <t xml:space="preserve">Резерв средств на непредвиденные работы и затраты (3%-приказ Минстроя России от 04.08.2020 № 421/пр) </t>
  </si>
  <si>
    <t>Прочие без учёта затрат напусконаладочные, проектно-изыскательские работы, содержание службы заказчика и резерв средств на непредвиденные работы и затраты</t>
  </si>
  <si>
    <t>Год раскрытия информации: 2025 год</t>
  </si>
  <si>
    <t>Расчет сметной стоимости инвестиционного проекта</t>
  </si>
  <si>
    <r>
      <t>Итого в уровне цен на 01.01.2025 г (</t>
    </r>
    <r>
      <rPr>
        <i/>
        <sz val="22"/>
        <rFont val="Times New Roman"/>
        <family val="1"/>
        <charset val="204"/>
      </rPr>
      <t>справочно</t>
    </r>
    <r>
      <rPr>
        <sz val="22"/>
        <rFont val="Times New Roman"/>
        <family val="1"/>
        <charset val="204"/>
      </rPr>
      <t xml:space="preserve"> </t>
    </r>
    <r>
      <rPr>
        <i/>
        <sz val="22"/>
        <rFont val="Times New Roman"/>
        <family val="1"/>
        <charset val="204"/>
      </rPr>
      <t>в прогнозных ценах года окончания строительства</t>
    </r>
    <r>
      <rPr>
        <b/>
        <i/>
        <sz val="22"/>
        <rFont val="Times New Roman"/>
        <family val="1"/>
        <charset val="204"/>
      </rPr>
      <t>),</t>
    </r>
    <r>
      <rPr>
        <b/>
        <sz val="22"/>
        <rFont val="Times New Roman"/>
        <family val="1"/>
        <charset val="204"/>
      </rPr>
      <t xml:space="preserve"> в том числе:</t>
    </r>
  </si>
  <si>
    <t>Расчет произведен в уровне цен, сложившихся на 01.01.2025г.
Стоимость вышеуказанных работ определена по укрупненным показателям сметной стоимости и должна быть уточнена после выхода утверждённой в соответствии с действующим законодательством проектно-сметной документации.</t>
  </si>
  <si>
    <t>Стоимость в уровне цен на 01.01.2025 г.  за единицу, тыс. руб</t>
  </si>
  <si>
    <t>Стоимость в уровне цен на 01.01.2025 г. по объёму работ, тыс. руб.</t>
  </si>
  <si>
    <t>Прогноз индексов цен производителей и индексов-дефляторов
Доведено Письмом Минэкономразвития России №35132-ПК/Д03и от 02 октября 2024 г. «О применении показателей прогноза социально-экономического развития Российской Федерации в целях ценообразования на продукцию, поставляемую по государственному оборонному заказу»</t>
  </si>
  <si>
    <t>км</t>
  </si>
  <si>
    <t>Стоимость в ценах
на 01.01.2025 г.</t>
  </si>
  <si>
    <t>Стоимость в ценах на 01.01.2025 г. по объёму работ, тыс. руб. (без учета НДС)</t>
  </si>
  <si>
    <t>Стоимость в ценах 01.01.2025г.</t>
  </si>
  <si>
    <t>Стоимость в ценах на 01.01.2025 г.</t>
  </si>
  <si>
    <t>Локальный сметный расчет №166Л</t>
  </si>
  <si>
    <t>Локальный сметный расчет №179Л</t>
  </si>
  <si>
    <t>Технические характеристики (параметры) инвестиционного проекта</t>
  </si>
  <si>
    <t>Измеритель (единица измерения) УНЦ</t>
  </si>
  <si>
    <t>Укрупненный норматив цены,  тыс рублей (без НДС)</t>
  </si>
  <si>
    <t>Величина затрат, 
тыс. рублей (без НДС)
 (ст.11=ст.6*ст.9*ст.10)</t>
  </si>
  <si>
    <t>Новое строительство / Реконструкция</t>
  </si>
  <si>
    <t>Затраты на содержание службы Заказчика ( 3,93 % - Приказ ПАО "Россети МР" от 01.07.2025г. №612)</t>
  </si>
  <si>
    <t>Замена трансформатора тока в ячейке КРУ-10 кВ</t>
  </si>
  <si>
    <t>Устройство ГНБ без учета кабеля для Московской области (1 прокол, 3 трубы, 160 мм)</t>
  </si>
  <si>
    <t>Затягивание в ГНБ КЛ 10 кВ 120мм2 СПЭ для Московской области</t>
  </si>
  <si>
    <t>Расчет сметной стоимости инвестиционного проекта, выполненный на основании Локальных сметных расчетов</t>
  </si>
  <si>
    <t>Строительство ВЛ-0,4 кВ СИП-2 25 мм2</t>
  </si>
  <si>
    <t>Локальный сметный расчет № 11Л</t>
  </si>
  <si>
    <t>Резерв средств на непредвиденные работы и затраты (3%-приказ Минстроя России от 04.08.2020 № 421/пр)</t>
  </si>
  <si>
    <t>Прочие без учёта затрат на пусконаладочные, проектно-изыскательские работы, содержани службы заказчика и резерв средств на непредвиденные работы и затраты</t>
  </si>
  <si>
    <t>Строительство ВЛ-0,4 кВ СИП-2 50 мм2</t>
  </si>
  <si>
    <t>Локальный сметный расчет № 12Л</t>
  </si>
  <si>
    <t>Строительство ВЛ-0,4 кВ СИП-2 70 мм2</t>
  </si>
  <si>
    <t>Локальный сметный расчет № 13Л</t>
  </si>
  <si>
    <t>Строительство ВЛ-0,4 кВ СИП-2 95 мм2</t>
  </si>
  <si>
    <t>Локальный сметный расчет № 14Л</t>
  </si>
  <si>
    <t>Строительство ВЛ-0,4 кВ СИП-2 120 мм2</t>
  </si>
  <si>
    <t>Локальный сметный расчет № 15Л</t>
  </si>
  <si>
    <t>Демонтаж провода 0,4 кВ</t>
  </si>
  <si>
    <t>Локальный сметный расчет № 25</t>
  </si>
  <si>
    <t>шт.</t>
  </si>
  <si>
    <t>Демонтаж провода 10 кВ</t>
  </si>
  <si>
    <t>Локальный сметный расчет № 26</t>
  </si>
  <si>
    <t>Подвеска провода по существующим опорам (без учета материала провода)</t>
  </si>
  <si>
    <t>Локальный сметный расчет № 333</t>
  </si>
  <si>
    <t>Локальный сметный расчет № 53</t>
  </si>
  <si>
    <t>Подвеска провода ВЛ-0,4 СИП-2 4х70 по существующим опорам  (протяжённость трассы 1 км)</t>
  </si>
  <si>
    <t>Локальный сметный расчет № 54</t>
  </si>
  <si>
    <t>Подвеска провода ВЛ-0,4 СИП-2 4х95 по существующим опорам  (протяжённость трассы 1 км)</t>
  </si>
  <si>
    <t>Локальный сметный расчет № 55</t>
  </si>
  <si>
    <t>Подвеска провода ВЛ-0,4 СИП-2 3х120+1х95 по существующим опорам  (протяжённость трассы 1 км)</t>
  </si>
  <si>
    <t>Локальный сметный расчет № 52</t>
  </si>
  <si>
    <t>Подвеска провода ВЛ-6/10 СИП-3 1х70 по существующим опорам  (протяжённость трассы 1 км)</t>
  </si>
  <si>
    <t>Локальный сметный расчет № 56</t>
  </si>
  <si>
    <t>Подвеска провода ВЛ-6/10 СИП-3 1х95 по существующим опорам  (протяжённость трассы 1 км)</t>
  </si>
  <si>
    <t>Локальный сметный расчет № 57</t>
  </si>
  <si>
    <t>Строительство ВЛ-10 кВ СИП-3 50 мм2</t>
  </si>
  <si>
    <t>Локальный сметный расчет № 16Л</t>
  </si>
  <si>
    <t>Строительство ВЛ-10 кВ СИП-3 70 мм2</t>
  </si>
  <si>
    <t>Локальный сметный расчет № 17Л</t>
  </si>
  <si>
    <t>Строительство ВЛ-10 кВ СИП-3 95 мм2</t>
  </si>
  <si>
    <t>Локальный сметный расчет № 18Л</t>
  </si>
  <si>
    <t>Строительство ВЛ-10 кВ СИП-3 120 мм2</t>
  </si>
  <si>
    <t>Локальный сметный расчет № 19Л</t>
  </si>
  <si>
    <t>Демонтаж ВЛ-0,4 кВ (протяжённость трассы 1 км)</t>
  </si>
  <si>
    <t>Локальный сметный расчет № 139Л</t>
  </si>
  <si>
    <t>Демонтаж ВЛ-10 кВ (протяжённость трассы 1 км)</t>
  </si>
  <si>
    <t>Локальный сметный расчет № 140Л</t>
  </si>
  <si>
    <t>Локальный сметный расчет № 112Л</t>
  </si>
  <si>
    <t>Устройство ответвлений от ВЛ-0,4 кВ к зданиям проводом СИП-4 2х16 (1 ответвление)</t>
  </si>
  <si>
    <t>Локальный сметный расчет № 146Л</t>
  </si>
  <si>
    <t>Устройство ответвлений от ВЛ-0,4 кВ к зданиям проводом СИП-4 4х16 (1 ответвление)</t>
  </si>
  <si>
    <t>Локальный сметный расчет № 147Л</t>
  </si>
  <si>
    <t>Установка трансформатора тока нулевой последовательности</t>
  </si>
  <si>
    <t>Локальный сметный расчет № 113Л</t>
  </si>
  <si>
    <t>Строительство ИКВН-10 кВ</t>
  </si>
  <si>
    <t>Локальный сметный расчет № 117Л</t>
  </si>
  <si>
    <t>Установка рубильников номиналом 630 А в РУ-0,4кВ</t>
  </si>
  <si>
    <t>Локальный сметный расчет № 114Л</t>
  </si>
  <si>
    <t>Установка рубильников номиналом 1600 А в РУ-0,4кВ</t>
  </si>
  <si>
    <t>Локальный сметный расчет № 115Л</t>
  </si>
  <si>
    <t>Установка ячейки в РУ-0,4 кВ (типа панели ЩО-70 или проч.)</t>
  </si>
  <si>
    <t>Локальный сметный расчет № 109Л</t>
  </si>
  <si>
    <t>Установка дополнительной ячейки типа КСО-298 в РП (РТП) 10 (6 кВ)</t>
  </si>
  <si>
    <t>Локальный сметный расчет № 93Л</t>
  </si>
  <si>
    <r>
      <t>Демонтаж ячеек с вакуумным выключателем  в ЗРУ-10 кВ (для ПС) (</t>
    </r>
    <r>
      <rPr>
        <sz val="22"/>
        <color rgb="FFFF0000"/>
        <rFont val="Times New Roman"/>
        <family val="1"/>
        <charset val="204"/>
      </rPr>
      <t>для РП,ТП -применительно)</t>
    </r>
  </si>
  <si>
    <t>Локальный сметный расчет № 30</t>
  </si>
  <si>
    <t>Строительство БКТП 10кВ 2х100кВА</t>
  </si>
  <si>
    <t>Локальный сметный расчет № 1Л</t>
  </si>
  <si>
    <t>Строительство БКТП 10кВ 2х160кВА</t>
  </si>
  <si>
    <t>Локальный сметный расчет № 2Л</t>
  </si>
  <si>
    <t>Строительство БКТП 10кВ 2х250кВА</t>
  </si>
  <si>
    <t>Локальный сметный расчет № 3Л</t>
  </si>
  <si>
    <t>Строительство БКТП 10кВ 2х400кВА</t>
  </si>
  <si>
    <t>Локальный сметный расчет № 4Л</t>
  </si>
  <si>
    <t>Строительство БКТП 10кВ 2х630кВА</t>
  </si>
  <si>
    <t>Локальный сметный расчет № 5Л</t>
  </si>
  <si>
    <t>Строительство БКТП 10кВ 2х1000кВА</t>
  </si>
  <si>
    <t>Локальный сметный расчет № 6Л</t>
  </si>
  <si>
    <t>Строительство БКТП 10кВ 2х1250кВА</t>
  </si>
  <si>
    <t>Локальный сметный расчет № 7Л</t>
  </si>
  <si>
    <t>Строительство БКТП 10кВ 2х1600кВА</t>
  </si>
  <si>
    <t>Локальный сметный расчет № 8Л</t>
  </si>
  <si>
    <t>Строительство БКТП 10кВ 2х2000кВА</t>
  </si>
  <si>
    <t>Локальный сметный расчет № 9Л</t>
  </si>
  <si>
    <t>Строительство БКТП 10кВ 2х2500кВА</t>
  </si>
  <si>
    <t>Локальный сметный расчет № 10Л</t>
  </si>
  <si>
    <t>Демонтаж  МТП, КТП, СТП</t>
  </si>
  <si>
    <t>Локальный сметный расчет № 94Л</t>
  </si>
  <si>
    <t>Строительство КТП 10 кВ 1х16 кВА</t>
  </si>
  <si>
    <t>Локальный сметный расчет № 20Л</t>
  </si>
  <si>
    <t>Строительство КТП 10 кВ 1х25 кВА</t>
  </si>
  <si>
    <t>Локальный сметный расчет № 21Л</t>
  </si>
  <si>
    <t>Строительство КТП 10 кВ 1х40 кВА</t>
  </si>
  <si>
    <t>Локальный сметный расчет № 22Л</t>
  </si>
  <si>
    <t>Строительство КТП 10 кВ 1х63 кВА</t>
  </si>
  <si>
    <t>Локальный сметный расчет № 23Л</t>
  </si>
  <si>
    <t>Строительство КТП 10 кВ 1х100 кВА</t>
  </si>
  <si>
    <t>Локальный сметный расчет № 24Л</t>
  </si>
  <si>
    <t>Строительство КТП 10 кВ 1х160 кВА</t>
  </si>
  <si>
    <t>Локальный сметный расчет № 25Л</t>
  </si>
  <si>
    <t>Строительство КТП 10 кВ 1х250 кВА</t>
  </si>
  <si>
    <t>Локальный сметный расчет № 26Л</t>
  </si>
  <si>
    <t>Строительство КТП 10 кВ 1х400 кВА</t>
  </si>
  <si>
    <t>Локальный сметный расчет № 27Л</t>
  </si>
  <si>
    <t>Строительство КТП 10 кВ 1х630 кВА</t>
  </si>
  <si>
    <t>Локальный сметный расчет № 28Л</t>
  </si>
  <si>
    <t>Строительство КТП 10 кВ 1х1000 кВА</t>
  </si>
  <si>
    <t>Локальный сметный расчет № 29Л</t>
  </si>
  <si>
    <t>Строительство КТП 10 кВ 2х16 кВА</t>
  </si>
  <si>
    <t>Локальный сметный расчет № 120Л</t>
  </si>
  <si>
    <t>Строительство КТП 10 кВ 2х25 кВА</t>
  </si>
  <si>
    <t>Локальный сметный расчет № 121Л</t>
  </si>
  <si>
    <t>Строительство КТП 10 кВ 2х40 кВА</t>
  </si>
  <si>
    <t>Локальный сметный расчет № 122Л</t>
  </si>
  <si>
    <t>Строительство КТП 10 кВ 2х63 кВА</t>
  </si>
  <si>
    <t>Локальный сметный расчет № 123Л</t>
  </si>
  <si>
    <t>Строительство КТП 10 кВ 2х100 кВА</t>
  </si>
  <si>
    <t>Локальный сметный расчет № 124Л</t>
  </si>
  <si>
    <t>Строительство КТП 10 кВ 2х160 кВА</t>
  </si>
  <si>
    <t>Локальный сметный расчет № 125Л</t>
  </si>
  <si>
    <t>Строительство КТП 10 кВ 2х250 кВА</t>
  </si>
  <si>
    <t>Локальный сметный расчет № 126Л</t>
  </si>
  <si>
    <t>Строительство КТП 10 кВ 2х400 кВА</t>
  </si>
  <si>
    <t>Локальный сметный расчет № 127Л</t>
  </si>
  <si>
    <t>Строительство КТП 10 кВ 2х630 кВА</t>
  </si>
  <si>
    <t>Локальный сметный расчет № 128Л</t>
  </si>
  <si>
    <t>Строительство КТП 10 кВ 2х1000 кВА</t>
  </si>
  <si>
    <t>Локальный сметный расчет № 129Л</t>
  </si>
  <si>
    <t>Строительство СТП 10 кВ 1х16 кВА</t>
  </si>
  <si>
    <t>Локальный сметный расчет № 37Л</t>
  </si>
  <si>
    <t>Строительство СТП 10 кВ 1х25 кВА</t>
  </si>
  <si>
    <t>Локальный сметный расчет № 38Л</t>
  </si>
  <si>
    <t>Строительство СТП 10 кВ 1х40 кВА</t>
  </si>
  <si>
    <t>Локальный сметный расчет № 39Л</t>
  </si>
  <si>
    <t>Строительство СТП 10 кВ 1х63 кВА</t>
  </si>
  <si>
    <t>Локальный сметный расчет № 40Л</t>
  </si>
  <si>
    <t>Строительство МТП 10 кВ 1х16 кВА</t>
  </si>
  <si>
    <t>Локальный сметный расчет № 30Л</t>
  </si>
  <si>
    <t>Строительство МТП 10 кВ 1х25 кВА</t>
  </si>
  <si>
    <t>Локальный сметный расчет № 31Л</t>
  </si>
  <si>
    <t>Строительство МТП 10 кВ 1х40 кВА</t>
  </si>
  <si>
    <t>Локальный сметный расчет № 32Л</t>
  </si>
  <si>
    <t>Строительство МТП 10 кВ 1х63 кВА</t>
  </si>
  <si>
    <t>Локальный сметный расчет № 33Л</t>
  </si>
  <si>
    <t>Строительство МТП 10 кВ 1х100 кВА</t>
  </si>
  <si>
    <t>Локальный сметный расчет № 34Л</t>
  </si>
  <si>
    <t>Строительство МТП 10 кВ 1х160 кВА</t>
  </si>
  <si>
    <t>Локальный сметный расчет № 35Л</t>
  </si>
  <si>
    <t>Строительство МТП 10 кВ 1х250 кВА</t>
  </si>
  <si>
    <t>Локальный сметный расчет № 36Л</t>
  </si>
  <si>
    <t>Демонтаж трансформатора массой до 3 т</t>
  </si>
  <si>
    <t>Локальный сметный расчет № 111Л</t>
  </si>
  <si>
    <t>Установка трансформатора ТМГ-25/10-6/0,4</t>
  </si>
  <si>
    <t>Локальный сметный расчет № 58Л</t>
  </si>
  <si>
    <t>Установка трансформатора ТМГ-40/10-6/0,4</t>
  </si>
  <si>
    <t>Локальный сметный расчет № 59Л</t>
  </si>
  <si>
    <t>Установка трансформатора ТМГ-63/10-6/0,4</t>
  </si>
  <si>
    <t>Локальный сметный расчет № 60Л</t>
  </si>
  <si>
    <t>Установка трансформатора ТМГ-100/10-6/0,4</t>
  </si>
  <si>
    <t>Локальный сметный расчет № 61Л</t>
  </si>
  <si>
    <t>Установка трансформатора ТМГ-160/10-6/0,4</t>
  </si>
  <si>
    <t>Локальный сметный расчет № 62Л</t>
  </si>
  <si>
    <t>Установка трансформатора ТМГ-250/10-6/0,4</t>
  </si>
  <si>
    <t>Локальный сметный расчет № 63Л</t>
  </si>
  <si>
    <t>Установка трансформатора ТМГ-400/10-6/0,4</t>
  </si>
  <si>
    <t>Локальный сметный расчет № 64Л</t>
  </si>
  <si>
    <t>Установка трансформатора ТМГ-630/10-6/0,4</t>
  </si>
  <si>
    <t>Локальный сметный расчет № 65Л</t>
  </si>
  <si>
    <t>Установка трансформатора ТМГ-1000/10-6/0,4</t>
  </si>
  <si>
    <t>Локальный сметный расчет № 66Л</t>
  </si>
  <si>
    <t>Установка трансформатора ТМГ-1250/10-6/0,4</t>
  </si>
  <si>
    <t>Локальный сметный расчет № 67Л</t>
  </si>
  <si>
    <t>Установка трансформатора ТМГ-1600/10-6/0,4</t>
  </si>
  <si>
    <t>Локальный сметный расчет № 68Л</t>
  </si>
  <si>
    <t>Установка трансформатора ТМГ-2000/10-6/0,4</t>
  </si>
  <si>
    <t>Локальный сметный расчет № 69Л</t>
  </si>
  <si>
    <t>Установка трансформатора ТМГ-2500/10-6/0,4</t>
  </si>
  <si>
    <t>Локальный сметный расчет № 70Л</t>
  </si>
  <si>
    <t>Установка трансформатора ТМГ-4000/10-6/0,4</t>
  </si>
  <si>
    <t>Локальный сметный расчет № 71Л</t>
  </si>
  <si>
    <t>Сооружение КЛ-0,4 кВ кабелем АПвБШп (г) -1-4х70 (1 кабель в траншее, протяжённость трассы 1 км) (ФСНБ-2022)</t>
  </si>
  <si>
    <t>Локальный сметный расчет № 41Л</t>
  </si>
  <si>
    <t>Сооружение КЛ-0,4 кВ кабелем АПвБШп (г) -1-4х95 (1 кабель в траншее, протяжённость трассы 1 км) (ФСНБ-2022)</t>
  </si>
  <si>
    <t>Локальный сметный расчет № 42Л</t>
  </si>
  <si>
    <t>Сооружение КЛ-0,4 кВ кабелем АПвБШп (г) -1-4х120 (1 кабель в траншее, протяжённость трассы 1 км) (ФСНБ-2022)</t>
  </si>
  <si>
    <t>Локальный сметный расчет № 43Л</t>
  </si>
  <si>
    <t>Сооружение КЛ-0,4 кВ кабелем АПвБШп (г) -1-4х150 (1 кабель в траншее, протяжённость трассы 1 км) (ФСНБ-2022)</t>
  </si>
  <si>
    <t>Локальный сметный расчет № 44Л</t>
  </si>
  <si>
    <t>Сооружение КЛ-0,4 кВ кабелем АПвБШп (г) -1-4х185 (1 кабель в траншее, протяжённость трассы 1 км) (ФСНБ-2022)</t>
  </si>
  <si>
    <t>Локальный сметный расчет № 45Л</t>
  </si>
  <si>
    <t>Сооружение КЛ-0,4 кВ кабелем АПвБШп (г) -1-4х240 (1 кабель в траншее, протяжённость трассы 1 км) (ФСНБ-2022)</t>
  </si>
  <si>
    <t>Локальный сметный расчет № 46Л</t>
  </si>
  <si>
    <t>Сооружение КЛ-0,4 кВ кабелем АПвБШп (г) -1-4х70 (2 кабеля в траншее, протяжённость трассы 1 км) (ФСНБ-2022)</t>
  </si>
  <si>
    <t>Локальный сметный расчет № 51Л</t>
  </si>
  <si>
    <t>Сооружение КЛ-0,4 кВ кабелем АПвБШп (г) -1-4х95 (2 кабеля в траншее, протяжённость трассы 1 км) (ФСНБ-2022)</t>
  </si>
  <si>
    <t>Локальный сметный расчет № 52Л</t>
  </si>
  <si>
    <t>Сооружение КЛ-0,4 кВ кабелем АПвБШп (г) -1-4х120 (2 кабеля в траншее, протяжённость трассы 1 км) (ФСНБ-2022)</t>
  </si>
  <si>
    <t>Локальный сметный расчет № 53Л</t>
  </si>
  <si>
    <t>Сооружение КЛ-0,4 кВ кабелем АПвБШп (г) -1-4х150 (2 кабеля в траншее, протяжённость трассы 1 км) (ФСНБ-2022)</t>
  </si>
  <si>
    <t>Локальный сметный расчет № 54Л</t>
  </si>
  <si>
    <t>Сооружение КЛ-0,4 кВ кабелем АПвБШп (г) -1-4х185 (2 кабеля в траншее, протяжённость трассы 1 км) (ФСНБ-2022)</t>
  </si>
  <si>
    <t>Локальный сметный расчет № 55Л</t>
  </si>
  <si>
    <t>Сооружение КЛ-0,4 кВ кабелем АПвБШп (г) -1-4х240 (2 кабеля в траншее, протяжённость трассы 1 км) (ФСНБ-2022)</t>
  </si>
  <si>
    <t>Локальный сметный расчет № 56Л</t>
  </si>
  <si>
    <t>Сооружение КЛ-10 кВ кабелем АСБ-10 -3х70 (1 кабель в траншее, протяжённость трассы 1 км) (ФСНБ-2022)</t>
  </si>
  <si>
    <t>Локальный сметный расчет № 97Л</t>
  </si>
  <si>
    <t>Сооружение КЛ-10 кВ кабелем АСБ-10 -3х95 (1 кабель в траншее, протяжённость трассы 1 км) (ФСНБ-2022)</t>
  </si>
  <si>
    <t>Локальный сметный расчет № 98Л</t>
  </si>
  <si>
    <t>Сооружение КЛ-10 кВ кабелем АСБ-10 -3х120 (1 кабель в траншее, протяжённость трассы 1 км) (ФСНБ-2022)</t>
  </si>
  <si>
    <t>Локальный сметный расчет № 99Л</t>
  </si>
  <si>
    <t>Сооружение КЛ-10 кВ кабелем АСБ-10 -3х150 (1 кабель в траншее, протяжённость трассы 1 км) (ФСНБ-2022)</t>
  </si>
  <si>
    <t>Локальный сметный расчет № 100Л</t>
  </si>
  <si>
    <t>Сооружение КЛ-10 кВ кабелем АСБ-10 -3х185 (1 кабель в траншее, протяжённость трассы 1 км) (ФСНБ-2022)</t>
  </si>
  <si>
    <t>Локальный сметный расчет № 101Л</t>
  </si>
  <si>
    <t>Сооружение КЛ-10 кВ кабелем АСБ-10 -3х240 (1 кабель в траншее, протяжённость трассы 1 км) (ФСНБ-2022)</t>
  </si>
  <si>
    <t>Локальный сметный расчет № 102Л</t>
  </si>
  <si>
    <t>Сооружение КЛ-10 кВ кабелем АСБ-10 -3х70 (2 кабеля в траншее, протяжённость трассы 1 км) (ФСНБ-2022)</t>
  </si>
  <si>
    <t>Локальный сметный расчет № 103Л</t>
  </si>
  <si>
    <t>Сооружение КЛ-10 кВ кабелем АСБ-10 -3х95 (2 кабеля в траншее, протяжённость трассы 1 км) (ФСНБ-2022)</t>
  </si>
  <si>
    <t>Локальный сметный расчет № 104Л</t>
  </si>
  <si>
    <t>Сооружение КЛ-10 кВ кабелем АСБ-10 -3х120 (2 кабеля в траншее, протяжённость трассы 1 км) (ФСНБ-2022)</t>
  </si>
  <si>
    <t>Локальный сметный расчет № 105Л</t>
  </si>
  <si>
    <t>Сооружение КЛ-10 кВ кабелем АСБ-10 -3х150 (2 кабеля в траншее, протяжённость трассы 1 км) (ФСНБ-2022)</t>
  </si>
  <si>
    <t>Локальный сметный расчет № 106Л</t>
  </si>
  <si>
    <t>Сооружение КЛ-10 кВ кабелем АСБ-10 -3х185 (2 кабеля в траншее, протяжённость трассы 1 км) (ФСНБ-2022)</t>
  </si>
  <si>
    <t>Локальный сметный расчет № 107Л</t>
  </si>
  <si>
    <t>Сооружение КЛ-10 кВ кабелем АСБ-10 -3х240 (2 кабеля в траншее, протяжённость трассы 1 км) (ФСНБ-2022)</t>
  </si>
  <si>
    <t>Локальный сметный расчет № 108Л</t>
  </si>
  <si>
    <t>Сооружение КЛ-10 кВ кабелем АПвПуг-10 -1х95/25 (1 кабель в траншее, протяжённость трассы 1 км) (ФСНБ-2022)</t>
  </si>
  <si>
    <t>Локальный сметный расчет № 72Л</t>
  </si>
  <si>
    <t>Сооружение КЛ-10 кВ кабелем АПвПуг-10 -1х120/50 (1 кабель в траншее, протяжённость трассы 1 км) (ФСНБ-2022)</t>
  </si>
  <si>
    <t>Локальный сметный расчет № 73Л</t>
  </si>
  <si>
    <t>Сооружение КЛ-10 кВ кабелем АПвПуг-10 -1х150/25 (1 кабель в траншее, протяжённость трассы 1 км) (ФСНБ-2022)</t>
  </si>
  <si>
    <t>Локальный сметный расчет № 74Л</t>
  </si>
  <si>
    <t>Сооружение КЛ-10 кВ кабелем АПвПуг-10 -1х185/25 (1 кабель в траншее, протяжённость трассы 1 км) (ФСНБ-2022)</t>
  </si>
  <si>
    <t>Локальный сметный расчет № 75Л</t>
  </si>
  <si>
    <t>Сооружение КЛ-10 кВ кабелем АПвПуг-10 -1х240/25 (1 кабель в траншее, протяжённость трассы 1 км) (ФСНБ-2022)</t>
  </si>
  <si>
    <t>Локальный сметный расчет № 76Л</t>
  </si>
  <si>
    <t>Сооружение КЛ-10 кВ кабелем АПвПуг-10 -1х300/70 (1 кабель в траншее, протяжённость трассы 1 км) (ФСНБ-2022)</t>
  </si>
  <si>
    <t>Локальный сметный расчет № 130Л</t>
  </si>
  <si>
    <t>Сооружение КЛ-10 кВ кабелем АПвПуг-10 -1х400/70 (1 кабель в траншее, протяжённость трассы 1 км) (ФСНБ-2022)</t>
  </si>
  <si>
    <t>Локальный сметный расчет № 131Л</t>
  </si>
  <si>
    <t>Сооружение КЛ-10 кВ кабелем АПвПуг-10 -1х500/70 (1 кабель в траншее, протяжённость трассы 1 км) (ФСНБ-2022)</t>
  </si>
  <si>
    <t>Локальный сметный расчет № 132Л</t>
  </si>
  <si>
    <t>Сооружение КЛ-10 кВ кабелем АПвПуг-10 -1х800/70 (1 кабель в траншее, протяжённость трассы 1 км) (ФСНБ-2022)</t>
  </si>
  <si>
    <t>Локальный сметный расчет № 133Л</t>
  </si>
  <si>
    <t>Сооружение КЛ-10 кВ кабелем АПвПуг-10 -1х95/25 (2 кабеля в траншее, протяжённость трассы 1 км) (ФСНБ-2022)</t>
  </si>
  <si>
    <t>Локальный сметный расчет № 77Л</t>
  </si>
  <si>
    <t>Сооружение КЛ-10 кВ кабелем АПвПуг-10 -1х120/25 (2 кабеля в траншее, протяжённость трассы 1 км) (ФСНБ-2022)</t>
  </si>
  <si>
    <t>Локальный сметный расчет № 78Л</t>
  </si>
  <si>
    <t>Сооружение КЛ-10 кВ кабелем АПвПуг-10 -1х150/25 (2 кабеля в траншее, протяжённость трассы 1 км) (ФСНБ-2022)</t>
  </si>
  <si>
    <t>Локальный сметный расчет № 79Л</t>
  </si>
  <si>
    <t>Сооружение КЛ-10 кВ кабелем АПвПуг-10 -1х185/25 (2 кабеля в траншее, протяжённость трассы 1 км) (ФСНБ-2022)</t>
  </si>
  <si>
    <t>Локальный сметный расчет № 80Л</t>
  </si>
  <si>
    <t>Сооружение КЛ-10 кВ кабелем АПвПуг-10 -1х240/25 (2 кабеля в траншее, протяжённость трассы 1 км) (ФСНБ-2022)</t>
  </si>
  <si>
    <t>Локальный сметный расчет № 81Л</t>
  </si>
  <si>
    <t>Сооружение КЛ-10 кВ кабелем АПвПуг-10 -1х300/70 (2 кабеля в траншее, протяжённость трассы 1 км) (ФСНБ-2022)</t>
  </si>
  <si>
    <t>Локальный сметный расчет № 135Л</t>
  </si>
  <si>
    <t>Сооружение КЛ-10 кВ кабелем АПвПуг-10 -1х400/70 (2 кабеля в траншее, протяжённость трассы 1 км) (ФСНБ-2022)</t>
  </si>
  <si>
    <t>Локальный сметный расчет № 136Л</t>
  </si>
  <si>
    <t>Сооружение КЛ-10 кВ кабелем АПвПуг-10 -1х500/70 (2 кабеля в траншее, протяжённость трассы 1 км) (ФСНБ-2022)</t>
  </si>
  <si>
    <t>Локальный сметный расчет № 137Л</t>
  </si>
  <si>
    <t>Сооружение КЛ-10 кВ кабелем АПвПуг-10 -1х800/70 (2 кабеля в траншее, протяжённость трассы 1 км) (ФСНБ-2022)</t>
  </si>
  <si>
    <t>Локальный сметный расчет № 138Л</t>
  </si>
  <si>
    <t>КРУН 6-10 кВ</t>
  </si>
  <si>
    <t>Локальный сметный расчет № 96Л</t>
  </si>
  <si>
    <t>КРУН 6-10 кВ с ТМ</t>
  </si>
  <si>
    <t>Установка разъединителя типа РЛР-10 кВ</t>
  </si>
  <si>
    <t>Локальный сметный расчет № 92Л</t>
  </si>
  <si>
    <t>Установка ПРВТ</t>
  </si>
  <si>
    <t>Локальный сметный расчет № 103</t>
  </si>
  <si>
    <t>Установка ИКЗ</t>
  </si>
  <si>
    <t>Локальный сметный расчет № 118Л</t>
  </si>
  <si>
    <t xml:space="preserve">шт. </t>
  </si>
  <si>
    <t>Установка реклоузера</t>
  </si>
  <si>
    <t>Установка ВРЩ-0,4кВ</t>
  </si>
  <si>
    <t>Локальный сметный расчет № 57Л</t>
  </si>
  <si>
    <t>Установка ГРЩ-0,4кВ</t>
  </si>
  <si>
    <t>Локальный сметный расчет № 110Л</t>
  </si>
  <si>
    <t>Демонтаж опор одностоечных</t>
  </si>
  <si>
    <t>Локальный сметный расчет № 20</t>
  </si>
  <si>
    <t>Демонтаж опор одностоечных с одним подкосом</t>
  </si>
  <si>
    <t>Локальный сметный расчет № 21</t>
  </si>
  <si>
    <t>Демонтаж опор одностоечных с двумя подкосами</t>
  </si>
  <si>
    <t>Локальный сметный расчет № 22</t>
  </si>
  <si>
    <t>Демонтаж опор одностоечных с приставками</t>
  </si>
  <si>
    <t>Локальный сметный расчет № 23</t>
  </si>
  <si>
    <t>Установка опор одностоечных</t>
  </si>
  <si>
    <t>Локальный сметный расчет № 99</t>
  </si>
  <si>
    <t>Установка опор одностоечных с 1 подкосом</t>
  </si>
  <si>
    <t>Локальный сметный расчет № 100</t>
  </si>
  <si>
    <t>Установка опор одностоечных с 2 подкосами</t>
  </si>
  <si>
    <t>Локальный сметный расчет № 101</t>
  </si>
  <si>
    <t>Установка автоматического выключателя 50А</t>
  </si>
  <si>
    <t>Установка автоматического выключателя 250А</t>
  </si>
  <si>
    <t>Установка автоматического выключателя 400А</t>
  </si>
  <si>
    <t>Установка автоматического выключателя 500А</t>
  </si>
  <si>
    <t>Установка автоматического выключателя 630А</t>
  </si>
  <si>
    <t>Установка автоматического выключателя 800А</t>
  </si>
  <si>
    <t>Установка автоматического выключателя 1000А</t>
  </si>
  <si>
    <t>Установка автоматического выключателя 1250А</t>
  </si>
  <si>
    <t>Установка автоматического выключателя 1600А</t>
  </si>
  <si>
    <t>Установка автоматического выключателя 2000А</t>
  </si>
  <si>
    <t>Установка автоматического выключателя 2500А</t>
  </si>
  <si>
    <t>Наименование расчета</t>
  </si>
  <si>
    <t>СМР, подряд, руб.</t>
  </si>
  <si>
    <t>СМР, хозспособ, руб.</t>
  </si>
  <si>
    <t>Оборудование, руб.</t>
  </si>
  <si>
    <t>ПНР, руб.</t>
  </si>
  <si>
    <t>ПИР, руб.</t>
  </si>
  <si>
    <t>ОКС, руб.</t>
  </si>
  <si>
    <t>Прочие, руб.</t>
  </si>
  <si>
    <t>ВСЕГО: сметная стоимость строительства, руб.:</t>
  </si>
  <si>
    <t>ИТОГО (без НДС), руб.</t>
  </si>
  <si>
    <t>ВСЕГО с НДС, руб.</t>
  </si>
  <si>
    <t>Строительство РП 10 кВ с установкой 6 ячеек с учетом ТМ</t>
  </si>
  <si>
    <t>Локальный сметный расчет № 195Л</t>
  </si>
  <si>
    <t>Строительство РП 10 кВ с установкой 10 ячеек с учетом ТМ</t>
  </si>
  <si>
    <t>Строительство РП 10 кВ с установкой 14 ячеек с учетом ТМ</t>
  </si>
  <si>
    <t>Строительство РП 10 кВ с установкой 20 ячеек с учетом ТМ</t>
  </si>
  <si>
    <t>Локальный сметный расчет № 151Л</t>
  </si>
  <si>
    <t>Локальный сметный расчет № 196Л</t>
  </si>
  <si>
    <t>Локальный сметный расчет № 197Л</t>
  </si>
  <si>
    <t>Локальный сметный расчет №164Л</t>
  </si>
  <si>
    <t>Локальный сметный расчет №165Л</t>
  </si>
  <si>
    <t>Устройство ГНБ без учета кабеля для Московской области (1 прокол, 2 трубы, 160 мм)</t>
  </si>
  <si>
    <t>Устройство ГНБ без учета кабеля для Московской области (1 прокол, 2 трубы, 225 мм)</t>
  </si>
  <si>
    <t>Устройство ГНБ без учета кабеля для Московской области (1 прокол, 3 трубы, 225  мм)</t>
  </si>
  <si>
    <t>Локальный сметный расчет №167Л</t>
  </si>
  <si>
    <t>Затягивание в ГНБ кабеля 0,4 кВ 70мм2 (1 км)</t>
  </si>
  <si>
    <t>Локальный сметный расчет №171Л</t>
  </si>
  <si>
    <t>Локальный сметный расчет №172Л</t>
  </si>
  <si>
    <t>Затягивание в ГНБ кабеля 0,4 кВ 95мм2 (1 км)</t>
  </si>
  <si>
    <t>Затягивание в ГНБ кабеля 0,4 кВ 120мм2 (1 км)</t>
  </si>
  <si>
    <t>Локальный сметный расчет №173Л</t>
  </si>
  <si>
    <t>Затягивание в ГНБ кабеля 0,4 кВ 150мм2 (1 км)</t>
  </si>
  <si>
    <t>Локальный сметный расчет №174Л</t>
  </si>
  <si>
    <t>Затягивание в ГНБ кабеля 0,4 кВ 185мм2 (1 км)</t>
  </si>
  <si>
    <t>Локальный сметный расчет №175Л</t>
  </si>
  <si>
    <t>Затягивание в ГНБ кабеля 0,4 кВ 240мм2 (1 км)</t>
  </si>
  <si>
    <t>Локальный сметный расчет №176Л</t>
  </si>
  <si>
    <t>Затягивание в ГНБ кабеля 0,4 кВ 300мм2 (1 км)</t>
  </si>
  <si>
    <t>Локальный сметный расчет №177Л</t>
  </si>
  <si>
    <t>Затягивание в ГНБ кабеля 10 кВ 35мм2 АСБ (1 км)</t>
  </si>
  <si>
    <t>Локальный сметный расчет №187Л</t>
  </si>
  <si>
    <t>Локальный сметный расчет №188Л</t>
  </si>
  <si>
    <t>Затягивание в ГНБ кабеля 10 кВ 50мм2 АСБ (1 км)</t>
  </si>
  <si>
    <t>Локальный сметный расчет №189Л</t>
  </si>
  <si>
    <t>Затягивание в ГНБ кабеля 10 кВ 70мм2 АСБ (1 км)</t>
  </si>
  <si>
    <t>Затягивание в ГНБ кабеля 10 кВ 95мм2 АСБ (1 км)</t>
  </si>
  <si>
    <t>Локальный сметный расчет №190Л</t>
  </si>
  <si>
    <t>Локальный сметный расчет №191Л</t>
  </si>
  <si>
    <t>Затягивание в ГНБ кабеля 10 кВ 120мм2 АСБ (1 км)</t>
  </si>
  <si>
    <t>Локальный сметный расчет №192Л</t>
  </si>
  <si>
    <t>Затягивание в ГНБ кабеля 10 кВ 150мм2 АСБ (1 км)</t>
  </si>
  <si>
    <t>Локальный сметный расчет №193Л</t>
  </si>
  <si>
    <t>Затягивание в ГНБ кабеля 10 кВ 185мм2 АСБ (1 км)</t>
  </si>
  <si>
    <t>Затягивание в ГНБ кабеля 10 кВ 240мм2 АСБ (1 км)</t>
  </si>
  <si>
    <t>Локальный сметный расчет №194Л</t>
  </si>
  <si>
    <t>Затягивание в ГНБ КЛ 10 кВ 95мм2 СПЭ для Московской области</t>
  </si>
  <si>
    <t>Локальный сметный расчет №178Л</t>
  </si>
  <si>
    <t>Локальный сметный расчет №180Л</t>
  </si>
  <si>
    <t>Затягивание в ГНБ КЛ 10 кВ 150мм2 СПЭ для Московской области</t>
  </si>
  <si>
    <t>Локальный сметный расчет №181Л</t>
  </si>
  <si>
    <t>Затягивание в ГНБ КЛ 10 кВ 185мм2 СПЭ для Московской области</t>
  </si>
  <si>
    <t>Затягивание в ГНБ КЛ 10 кВ 240мм2 СПЭ для Московской области</t>
  </si>
  <si>
    <t>Локальный сметный расчет №182Л</t>
  </si>
  <si>
    <t>Затягивание в ГНБ КЛ 10 кВ 300мм2 СПЭ для Московской области</t>
  </si>
  <si>
    <t>Локальный сметный расчет №183Л</t>
  </si>
  <si>
    <t>Затягивание в ГНБ КЛ 10 кВ 400мм2 СПЭ для Московской области</t>
  </si>
  <si>
    <t>Локальный сметный расчет №184Л</t>
  </si>
  <si>
    <t>Затягивание в ГНБ КЛ 10 кВ 500мм2 СПЭ для Московской области</t>
  </si>
  <si>
    <t>Локальный сметный расчет №185Л</t>
  </si>
  <si>
    <t>Затягивание в ГНБ КЛ 10 кВ 800мм2 СПЭ для Московской области</t>
  </si>
  <si>
    <t>Локальный сметный расчет №186Л</t>
  </si>
  <si>
    <t>Строительство 2ВЛЗ-10 кВ СИП-3 50 мм2 (двухцепная)</t>
  </si>
  <si>
    <t>Локальный сметный расчет № 141Л</t>
  </si>
  <si>
    <t>Локальный сметный расчет № 142Л</t>
  </si>
  <si>
    <t>Строительство 2ВЛЗ-10 кВ СИП-3 70 мм2 (двухцепная)</t>
  </si>
  <si>
    <t>Локальный сметный расчет № 143Л</t>
  </si>
  <si>
    <t>Строительство 2ВЛЗ-10 кВ СИП-3 95 мм2 (двухцепная)</t>
  </si>
  <si>
    <t>Строительство 2ВЛЗ-10 кВ СИП-3 120 мм2 (двухцепная)</t>
  </si>
  <si>
    <t>Локальный сметный расчет № 144Л</t>
  </si>
  <si>
    <t>Монтаж ТМ для БКТП</t>
  </si>
  <si>
    <t>Локальный сметный расчет № 154Л</t>
  </si>
  <si>
    <t>Локальный сметный расчет № 95Л</t>
  </si>
  <si>
    <t>Локальный сметный расчет № 199Л</t>
  </si>
  <si>
    <t>Локальный сметный расчет № 200Л</t>
  </si>
  <si>
    <t>Локальный сметный расчет № 201Л</t>
  </si>
  <si>
    <t>Локальный сметный расчет № 202Л</t>
  </si>
  <si>
    <t>Локальный сметный расчет № 203Л</t>
  </si>
  <si>
    <t>Локальный сметный расчет № 204Л</t>
  </si>
  <si>
    <t>Локальный сметный расчет № 205Л</t>
  </si>
  <si>
    <t>Локальный сметный расчет № 206Л</t>
  </si>
  <si>
    <t>Локальный сметный расчет № 207Л</t>
  </si>
  <si>
    <t>Локальный сметный расчет № 208Л</t>
  </si>
  <si>
    <t>Локальный сметный расчет № 209Л</t>
  </si>
  <si>
    <t>Локальный сметный расчет № 152Л</t>
  </si>
  <si>
    <t>Установка ячеек с вакуумным выключателем  в ЗРУ-10 кВ (ПС)</t>
  </si>
  <si>
    <t>Локальный сметный расчет № 153Л</t>
  </si>
  <si>
    <t>Локальный сметный расчет № 145Л</t>
  </si>
  <si>
    <t>Установка ПАРН (ВДТ 3 шт.)</t>
  </si>
  <si>
    <t>МО</t>
  </si>
  <si>
    <t>ф25-001 от 01.01.2025</t>
  </si>
  <si>
    <t>Начальник РЭС</t>
  </si>
  <si>
    <t>Расчет выполнил</t>
  </si>
  <si>
    <r>
      <t xml:space="preserve">Установка ТМ в ячейке КРУ-10 кВ (ПС)
</t>
    </r>
    <r>
      <rPr>
        <sz val="22"/>
        <color rgb="FFFF0000"/>
        <rFont val="Times New Roman"/>
        <family val="1"/>
        <charset val="204"/>
      </rPr>
      <t>применительно для КСО</t>
    </r>
  </si>
  <si>
    <t>Вырубка и подготовка просеки</t>
  </si>
  <si>
    <t>га</t>
  </si>
  <si>
    <t>Локальный сметный расчет № 10</t>
  </si>
  <si>
    <t>Демонтаж ответвлений от ВЛ-0,4 кВ к зданиям проводом СИП-4 (1 ответвление)</t>
  </si>
  <si>
    <t>Локальный сметный расчет № 198Л</t>
  </si>
  <si>
    <t>Локальный сметный расчет № 119Л (2025)</t>
  </si>
  <si>
    <t>Прогноз индексов цен производителей и индексов-дефляторов по видам экономической деятельности, в % г/г (Базовый вариант)
Доведено Письмом Минэкономразвития России №37099-ПК/Д03и от 30 сентября 2025 г. «О применении показателей прогноза социально-экономического развития Российской Федерации в целях ценообразования на продукцию, поставляемую по государственному оборонному заказу»</t>
  </si>
  <si>
    <r>
      <t>отчет</t>
    </r>
    <r>
      <rPr>
        <b/>
        <vertAlign val="superscript"/>
        <sz val="12"/>
        <rFont val="Arial"/>
        <family val="2"/>
        <charset val="204"/>
      </rPr>
      <t>2</t>
    </r>
  </si>
  <si>
    <t>Строительство устройства автоматической балансировки (УАБ) 0,4 кВ</t>
  </si>
  <si>
    <t>Локальный сметный расчет № 261 (2025)</t>
  </si>
  <si>
    <t>НДС-22%, руб.</t>
  </si>
  <si>
    <t>НДС 22%</t>
  </si>
  <si>
    <t>Заявитель: Чупахина Алла Анатольевна, Объект: Жилой дом. Адрес: Российская Федерация, Московская область, муниципальный округ Серебряные Пруды, село Узуново, территория садоводческого некоммерческого товарищество "Узуново-2", дом 112, кадастровый номер жилого дома: 50:39:0020204:310; кадастровый номер земельного участка: 50:39:0020204:195.</t>
  </si>
  <si>
    <t>№ТУ И-26-00-285644/103/Ю8</t>
  </si>
  <si>
    <t>Подвеска провода ВЛ-0,4 СИП-2 4х50 по существующим опорам  (протяжённость трассы 1 км)(приминительно сеч.25 кв.мм)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</si>
</sst>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43" formatCode="_-* #,##0.00_-;\-* #,##0.00_-;_-* &quot;-&quot;??_-;_-@_-"/>
    <numFmt numFmtId="164" formatCode="_-* #,##0.00\ _₽_-;\-* #,##0.00\ _₽_-;_-* &quot;-&quot;??\ _₽_-;_-@_-"/>
    <numFmt numFmtId="165" formatCode="0.0"/>
    <numFmt numFmtId="166" formatCode="#,##0.0"/>
    <numFmt numFmtId="167" formatCode="#,##0.000"/>
    <numFmt numFmtId="168" formatCode="0_)"/>
    <numFmt numFmtId="169" formatCode="d\ mmmm\,\ yyyy"/>
    <numFmt numFmtId="170" formatCode="0.0_)"/>
    <numFmt numFmtId="171" formatCode="0.00_)"/>
    <numFmt numFmtId="172" formatCode="0.000"/>
    <numFmt numFmtId="173" formatCode="0.00000"/>
    <numFmt numFmtId="174" formatCode="#,##0.00000"/>
    <numFmt numFmtId="175" formatCode="#,##0.00_ ;[Red]\-#,##0.00\ "/>
    <numFmt numFmtId="176" formatCode="_-* #,##0.00_р_._-;\-* #,##0.00_р_._-;_-* &quot;-&quot;??_р_._-;_-@_-"/>
    <numFmt numFmtId="177" formatCode="&quot;$&quot;#,##0_);[Red]\(&quot;$&quot;#,##0\)"/>
    <numFmt numFmtId="178" formatCode="&quot;$&quot;#,##0.00_);[Red]\(&quot;$&quot;#,##0.00\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_(* #,##0.00_);_(* \(#,##0.00\);_(* &quot;-&quot;??_);_(@_)"/>
    <numFmt numFmtId="182" formatCode="_-* #,##0\ _р_._-;\-* #,##0\ _р_._-;_-* &quot;-&quot;\ _р_._-;_-@_-"/>
    <numFmt numFmtId="183" formatCode="_-* #,##0.00&quot;$&quot;_-;\-* #,##0.00&quot;$&quot;_-;_-* &quot;-&quot;??&quot;$&quot;_-;_-@_-"/>
    <numFmt numFmtId="184" formatCode="General_)"/>
    <numFmt numFmtId="185" formatCode="#,##0_);\(#,##0\);&quot;- &quot;;&quot;  &quot;@"/>
    <numFmt numFmtId="186" formatCode="_-* #,##0\ _d_._-;\-* #,##0\ _d_._-;_-* &quot;-&quot;\ _d_._-;_-@_-"/>
    <numFmt numFmtId="187" formatCode="_-* #,##0.00\ _d_._-;\-* #,##0.00\ _d_._-;_-* &quot;-&quot;??\ _d_._-;_-@_-"/>
    <numFmt numFmtId="188" formatCode="#,##0_);[Red]\(#,##0\)"/>
    <numFmt numFmtId="189" formatCode="_-* #,##0.00\ _р_._-;\-* #,##0.00\ _р_._-;_-* &quot;-&quot;??\ _р_._-;_-@_-"/>
    <numFmt numFmtId="190" formatCode="#,##0;\-#,##0;&quot;-&quot;"/>
    <numFmt numFmtId="191" formatCode="#,##0.00;\-#,##0.00;&quot;-&quot;"/>
    <numFmt numFmtId="192" formatCode="#,##0%;\-#,##0%;&quot;- &quot;"/>
    <numFmt numFmtId="193" formatCode="#,##0.0%;\-#,##0.0%;&quot;- &quot;"/>
    <numFmt numFmtId="194" formatCode="#,##0.00%;\-#,##0.00%;&quot;- &quot;"/>
    <numFmt numFmtId="195" formatCode="#,##0.0;\-#,##0.0;&quot;-&quot;"/>
    <numFmt numFmtId="196" formatCode="_-* #,##0\ _D_M_-;\-* #,##0\ _D_M_-;_-* &quot;-&quot;\ _D_M_-;_-@_-"/>
    <numFmt numFmtId="197" formatCode="_-* #,##0.00\ _D_M_-;\-* #,##0.00\ _D_M_-;_-* &quot;-&quot;??\ _D_M_-;_-@_-"/>
    <numFmt numFmtId="198" formatCode="_-* #,##0.00[$€-1]_-;\-* #,##0.00[$€-1]_-;_-* &quot;-&quot;??[$€-1]_-"/>
    <numFmt numFmtId="199" formatCode="0%;\(0%\)"/>
    <numFmt numFmtId="200" formatCode="\ \ @"/>
    <numFmt numFmtId="201" formatCode="\ \ \ \ @"/>
    <numFmt numFmtId="202" formatCode="0.000_)"/>
  </numFmts>
  <fonts count="20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3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3"/>
      <color indexed="1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6"/>
      <name val="Times New Roman"/>
      <family val="1"/>
      <charset val="204"/>
    </font>
    <font>
      <sz val="22"/>
      <name val="Arial"/>
      <family val="2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6"/>
      <name val="Arial"/>
      <family val="2"/>
      <charset val="204"/>
    </font>
    <font>
      <sz val="20"/>
      <name val="Arial"/>
      <family val="2"/>
      <charset val="204"/>
    </font>
    <font>
      <b/>
      <sz val="16"/>
      <name val="Times New Roman"/>
      <family val="1"/>
      <charset val="204"/>
    </font>
    <font>
      <sz val="26"/>
      <color theme="1"/>
      <name val="Calibri"/>
      <family val="2"/>
      <scheme val="minor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sz val="2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2"/>
      <name val="Times New Roman"/>
      <family val="1"/>
      <charset val="204"/>
    </font>
    <font>
      <i/>
      <sz val="22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18"/>
      <name val="Arial"/>
      <family val="2"/>
      <charset val="204"/>
    </font>
    <font>
      <b/>
      <sz val="14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0"/>
      <name val="Arial"/>
      <family val="2"/>
      <charset val="204"/>
    </font>
    <font>
      <b/>
      <u/>
      <sz val="18"/>
      <name val="Times New Roman"/>
      <family val="1"/>
      <charset val="204"/>
    </font>
    <font>
      <sz val="10"/>
      <name val="Helv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ourier New Cyr"/>
      <charset val="204"/>
    </font>
    <font>
      <sz val="15"/>
      <color indexed="8"/>
      <name val="Times New Roman"/>
      <family val="1"/>
      <charset val="204"/>
    </font>
    <font>
      <sz val="10"/>
      <name val="Courier"/>
      <family val="1"/>
      <charset val="204"/>
    </font>
    <font>
      <sz val="12"/>
      <color indexed="8"/>
      <name val="Times New Roman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6"/>
      <name val="Courier New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Courier New Cyr"/>
      <charset val="204"/>
    </font>
    <font>
      <sz val="10"/>
      <color indexed="8"/>
      <name val="Courier New CYR"/>
      <charset val="204"/>
    </font>
    <font>
      <b/>
      <sz val="16"/>
      <color indexed="8"/>
      <name val="Courier New Cyr"/>
      <charset val="204"/>
    </font>
    <font>
      <b/>
      <sz val="12"/>
      <color rgb="FF203277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3"/>
      <name val="Times New Roman"/>
      <family val="1"/>
      <charset val="204"/>
    </font>
    <font>
      <sz val="12"/>
      <color rgb="FF000000"/>
      <name val="Times New Roman"/>
      <family val="2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2"/>
    </font>
    <font>
      <b/>
      <u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b/>
      <u/>
      <sz val="14"/>
      <color rgb="FFFF0000"/>
      <name val="Arial"/>
      <family val="2"/>
      <charset val="204"/>
    </font>
    <font>
      <b/>
      <sz val="12"/>
      <color theme="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1"/>
      <name val="Arial Cyr"/>
      <charset val="204"/>
    </font>
    <font>
      <b/>
      <u/>
      <sz val="11"/>
      <name val="Arial Cyr"/>
      <charset val="204"/>
    </font>
    <font>
      <b/>
      <sz val="11"/>
      <name val="Arial Cyr"/>
      <charset val="204"/>
    </font>
    <font>
      <u/>
      <sz val="11"/>
      <name val="Arial Cyr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vertAlign val="superscript"/>
      <sz val="13"/>
      <color indexed="8"/>
      <name val="Arial"/>
      <family val="2"/>
      <charset val="204"/>
    </font>
    <font>
      <sz val="12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Courier New"/>
      <family val="3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1"/>
      <name val="Times New Roman Cyr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Verdana"/>
      <family val="2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</font>
    <font>
      <b/>
      <sz val="11"/>
      <name val="Arial Cyr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10"/>
      <color indexed="14"/>
      <name val="Arial"/>
      <family val="2"/>
    </font>
    <font>
      <sz val="11"/>
      <color indexed="17"/>
      <name val="Calibri"/>
      <family val="2"/>
    </font>
    <font>
      <sz val="10"/>
      <color indexed="10"/>
      <name val="Arial"/>
      <family val="2"/>
    </font>
    <font>
      <sz val="10"/>
      <color indexed="39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63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18"/>
      <name val="Arial"/>
      <family val="2"/>
    </font>
    <font>
      <b/>
      <sz val="10"/>
      <color indexed="9"/>
      <name val="Verdana"/>
      <family val="2"/>
      <charset val="204"/>
    </font>
    <font>
      <sz val="10"/>
      <color indexed="9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name val="Tahoma"/>
      <family val="2"/>
      <charset val="204"/>
    </font>
    <font>
      <sz val="12"/>
      <name val="Times New Roman Cyr"/>
    </font>
    <font>
      <sz val="10"/>
      <name val="Arial Cyr"/>
    </font>
    <font>
      <u/>
      <sz val="11"/>
      <color theme="10"/>
      <name val="Calibri"/>
      <family val="2"/>
      <charset val="204"/>
    </font>
    <font>
      <b/>
      <sz val="11"/>
      <color theme="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22"/>
      <color rgb="FFFF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sz val="28"/>
      <name val="Arial"/>
      <family val="2"/>
      <charset val="204"/>
    </font>
    <font>
      <sz val="24"/>
      <color theme="1"/>
      <name val="Times New Roman"/>
      <family val="1"/>
      <charset val="204"/>
    </font>
    <font>
      <b/>
      <vertAlign val="superscript"/>
      <sz val="12"/>
      <name val="Arial"/>
      <family val="2"/>
      <charset val="204"/>
    </font>
    <font>
      <sz val="18"/>
      <color theme="1"/>
      <name val="Calibri"/>
      <family val="2"/>
      <scheme val="minor"/>
    </font>
  </fonts>
  <fills count="1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31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35"/>
        <bgColor indexed="23"/>
      </patternFill>
    </fill>
    <fill>
      <patternFill patternType="solid">
        <fgColor indexed="35"/>
        <bgColor indexed="55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22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FF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3" tint="0.59999389629810485"/>
        <bgColor indexed="64"/>
      </patternFill>
    </fill>
  </fills>
  <borders count="1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00">
    <xf numFmtId="0" fontId="0" fillId="0" borderId="0"/>
    <xf numFmtId="164" fontId="10" fillId="0" borderId="0" applyFont="0" applyFill="0" applyBorder="0" applyAlignment="0" applyProtection="0"/>
    <xf numFmtId="0" fontId="10" fillId="0" borderId="0"/>
    <xf numFmtId="0" fontId="13" fillId="0" borderId="0"/>
    <xf numFmtId="0" fontId="13" fillId="0" borderId="0"/>
    <xf numFmtId="0" fontId="46" fillId="0" borderId="0"/>
    <xf numFmtId="0" fontId="51" fillId="0" borderId="0"/>
    <xf numFmtId="168" fontId="55" fillId="0" borderId="0"/>
    <xf numFmtId="168" fontId="55" fillId="0" borderId="0"/>
    <xf numFmtId="0" fontId="46" fillId="0" borderId="0"/>
    <xf numFmtId="0" fontId="9" fillId="0" borderId="0"/>
    <xf numFmtId="0" fontId="75" fillId="0" borderId="0"/>
    <xf numFmtId="0" fontId="13" fillId="0" borderId="0"/>
    <xf numFmtId="0" fontId="46" fillId="0" borderId="0"/>
    <xf numFmtId="0" fontId="9" fillId="0" borderId="0"/>
    <xf numFmtId="9" fontId="46" fillId="0" borderId="0" applyFont="0" applyFill="0" applyBorder="0" applyAlignment="0" applyProtection="0"/>
    <xf numFmtId="0" fontId="9" fillId="0" borderId="0"/>
    <xf numFmtId="0" fontId="9" fillId="0" borderId="0"/>
    <xf numFmtId="176" fontId="55" fillId="0" borderId="0" applyFont="0" applyFill="0" applyBorder="0" applyAlignment="0" applyProtection="0"/>
    <xf numFmtId="0" fontId="46" fillId="0" borderId="0"/>
    <xf numFmtId="0" fontId="46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13" fillId="0" borderId="0"/>
    <xf numFmtId="0" fontId="51" fillId="0" borderId="0"/>
    <xf numFmtId="0" fontId="133" fillId="0" borderId="0"/>
    <xf numFmtId="0" fontId="51" fillId="0" borderId="0"/>
    <xf numFmtId="0" fontId="134" fillId="0" borderId="0"/>
    <xf numFmtId="0" fontId="133" fillId="0" borderId="0"/>
    <xf numFmtId="0" fontId="134" fillId="0" borderId="0"/>
    <xf numFmtId="0" fontId="155" fillId="0" borderId="0">
      <alignment vertical="top"/>
    </xf>
    <xf numFmtId="0" fontId="133" fillId="0" borderId="0"/>
    <xf numFmtId="0" fontId="156" fillId="18" borderId="70" applyNumberFormat="0">
      <alignment readingOrder="1"/>
      <protection locked="0"/>
    </xf>
    <xf numFmtId="0" fontId="134" fillId="0" borderId="0"/>
    <xf numFmtId="0" fontId="51" fillId="0" borderId="0"/>
    <xf numFmtId="0" fontId="133" fillId="0" borderId="0"/>
    <xf numFmtId="0" fontId="133" fillId="0" borderId="0"/>
    <xf numFmtId="0" fontId="133" fillId="0" borderId="0"/>
    <xf numFmtId="0" fontId="134" fillId="0" borderId="0"/>
    <xf numFmtId="0" fontId="51" fillId="0" borderId="0"/>
    <xf numFmtId="0" fontId="133" fillId="0" borderId="0"/>
    <xf numFmtId="0" fontId="133" fillId="0" borderId="0"/>
    <xf numFmtId="0" fontId="51" fillId="0" borderId="0"/>
    <xf numFmtId="0" fontId="51" fillId="0" borderId="0"/>
    <xf numFmtId="0" fontId="133" fillId="0" borderId="0"/>
    <xf numFmtId="0" fontId="133" fillId="0" borderId="0"/>
    <xf numFmtId="0" fontId="134" fillId="0" borderId="0"/>
    <xf numFmtId="0" fontId="51" fillId="0" borderId="0"/>
    <xf numFmtId="0" fontId="51" fillId="0" borderId="0"/>
    <xf numFmtId="0" fontId="133" fillId="0" borderId="0"/>
    <xf numFmtId="0" fontId="133" fillId="0" borderId="0"/>
    <xf numFmtId="0" fontId="133" fillId="0" borderId="0"/>
    <xf numFmtId="0" fontId="51" fillId="0" borderId="0"/>
    <xf numFmtId="0" fontId="13" fillId="0" borderId="0"/>
    <xf numFmtId="0" fontId="133" fillId="0" borderId="0"/>
    <xf numFmtId="0" fontId="133" fillId="0" borderId="0"/>
    <xf numFmtId="0" fontId="133" fillId="0" borderId="0"/>
    <xf numFmtId="0" fontId="134" fillId="0" borderId="0"/>
    <xf numFmtId="0" fontId="51" fillId="0" borderId="0"/>
    <xf numFmtId="0" fontId="133" fillId="0" borderId="0"/>
    <xf numFmtId="0" fontId="51" fillId="0" borderId="0"/>
    <xf numFmtId="0" fontId="51" fillId="0" borderId="0"/>
    <xf numFmtId="0" fontId="133" fillId="0" borderId="0"/>
    <xf numFmtId="0" fontId="133" fillId="0" borderId="0"/>
    <xf numFmtId="0" fontId="51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7" fillId="19" borderId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75" fillId="22" borderId="0" applyNumberFormat="0" applyBorder="0" applyAlignment="0" applyProtection="0"/>
    <xf numFmtId="0" fontId="75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75" fillId="20" borderId="0" applyNumberFormat="0" applyBorder="0" applyAlignment="0" applyProtection="0"/>
    <xf numFmtId="0" fontId="75" fillId="20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75" fillId="21" borderId="0" applyNumberFormat="0" applyBorder="0" applyAlignment="0" applyProtection="0"/>
    <xf numFmtId="0" fontId="75" fillId="21" borderId="0" applyNumberFormat="0" applyBorder="0" applyAlignment="0" applyProtection="0"/>
    <xf numFmtId="0" fontId="75" fillId="22" borderId="0" applyNumberFormat="0" applyBorder="0" applyAlignment="0" applyProtection="0"/>
    <xf numFmtId="0" fontId="75" fillId="22" borderId="0" applyNumberFormat="0" applyBorder="0" applyAlignment="0" applyProtection="0"/>
    <xf numFmtId="0" fontId="75" fillId="22" borderId="0" applyNumberFormat="0" applyBorder="0" applyAlignment="0" applyProtection="0"/>
    <xf numFmtId="0" fontId="75" fillId="23" borderId="0" applyNumberFormat="0" applyBorder="0" applyAlignment="0" applyProtection="0"/>
    <xf numFmtId="0" fontId="75" fillId="23" borderId="0" applyNumberFormat="0" applyBorder="0" applyAlignment="0" applyProtection="0"/>
    <xf numFmtId="0" fontId="75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4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75" fillId="25" borderId="0" applyNumberFormat="0" applyBorder="0" applyAlignment="0" applyProtection="0"/>
    <xf numFmtId="0" fontId="75" fillId="25" borderId="0" applyNumberFormat="0" applyBorder="0" applyAlignment="0" applyProtection="0"/>
    <xf numFmtId="0" fontId="75" fillId="26" borderId="0" applyNumberFormat="0" applyBorder="0" applyAlignment="0" applyProtection="0"/>
    <xf numFmtId="0" fontId="75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3" borderId="0" applyNumberFormat="0" applyBorder="0" applyAlignment="0" applyProtection="0"/>
    <xf numFmtId="0" fontId="75" fillId="26" borderId="0" applyNumberFormat="0" applyBorder="0" applyAlignment="0" applyProtection="0"/>
    <xf numFmtId="0" fontId="75" fillId="29" borderId="0" applyNumberFormat="0" applyBorder="0" applyAlignment="0" applyProtection="0"/>
    <xf numFmtId="0" fontId="75" fillId="26" borderId="0" applyNumberFormat="0" applyBorder="0" applyAlignment="0" applyProtection="0"/>
    <xf numFmtId="0" fontId="75" fillId="26" borderId="0" applyNumberFormat="0" applyBorder="0" applyAlignment="0" applyProtection="0"/>
    <xf numFmtId="0" fontId="75" fillId="26" borderId="0" applyNumberFormat="0" applyBorder="0" applyAlignment="0" applyProtection="0"/>
    <xf numFmtId="0" fontId="75" fillId="27" borderId="0" applyNumberFormat="0" applyBorder="0" applyAlignment="0" applyProtection="0"/>
    <xf numFmtId="0" fontId="75" fillId="27" borderId="0" applyNumberFormat="0" applyBorder="0" applyAlignment="0" applyProtection="0"/>
    <xf numFmtId="0" fontId="75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8" borderId="0" applyNumberFormat="0" applyBorder="0" applyAlignment="0" applyProtection="0"/>
    <xf numFmtId="0" fontId="75" fillId="28" borderId="0" applyNumberFormat="0" applyBorder="0" applyAlignment="0" applyProtection="0"/>
    <xf numFmtId="0" fontId="75" fillId="23" borderId="0" applyNumberFormat="0" applyBorder="0" applyAlignment="0" applyProtection="0"/>
    <xf numFmtId="0" fontId="75" fillId="23" borderId="0" applyNumberFormat="0" applyBorder="0" applyAlignment="0" applyProtection="0"/>
    <xf numFmtId="0" fontId="75" fillId="23" borderId="0" applyNumberFormat="0" applyBorder="0" applyAlignment="0" applyProtection="0"/>
    <xf numFmtId="0" fontId="75" fillId="26" borderId="0" applyNumberFormat="0" applyBorder="0" applyAlignment="0" applyProtection="0"/>
    <xf numFmtId="0" fontId="75" fillId="26" borderId="0" applyNumberFormat="0" applyBorder="0" applyAlignment="0" applyProtection="0"/>
    <xf numFmtId="0" fontId="75" fillId="26" borderId="0" applyNumberFormat="0" applyBorder="0" applyAlignment="0" applyProtection="0"/>
    <xf numFmtId="0" fontId="75" fillId="29" borderId="0" applyNumberFormat="0" applyBorder="0" applyAlignment="0" applyProtection="0"/>
    <xf numFmtId="0" fontId="75" fillId="29" borderId="0" applyNumberFormat="0" applyBorder="0" applyAlignment="0" applyProtection="0"/>
    <xf numFmtId="0" fontId="75" fillId="29" borderId="0" applyNumberFormat="0" applyBorder="0" applyAlignment="0" applyProtection="0"/>
    <xf numFmtId="0" fontId="117" fillId="30" borderId="0" applyNumberFormat="0" applyBorder="0" applyAlignment="0" applyProtection="0"/>
    <xf numFmtId="0" fontId="117" fillId="27" borderId="0" applyNumberFormat="0" applyBorder="0" applyAlignment="0" applyProtection="0"/>
    <xf numFmtId="0" fontId="117" fillId="28" borderId="0" applyNumberFormat="0" applyBorder="0" applyAlignment="0" applyProtection="0"/>
    <xf numFmtId="0" fontId="117" fillId="31" borderId="0" applyNumberFormat="0" applyBorder="0" applyAlignment="0" applyProtection="0"/>
    <xf numFmtId="0" fontId="117" fillId="32" borderId="0" applyNumberFormat="0" applyBorder="0" applyAlignment="0" applyProtection="0"/>
    <xf numFmtId="0" fontId="117" fillId="33" borderId="0" applyNumberFormat="0" applyBorder="0" applyAlignment="0" applyProtection="0"/>
    <xf numFmtId="0" fontId="117" fillId="30" borderId="0" applyNumberFormat="0" applyBorder="0" applyAlignment="0" applyProtection="0"/>
    <xf numFmtId="0" fontId="117" fillId="30" borderId="0" applyNumberFormat="0" applyBorder="0" applyAlignment="0" applyProtection="0"/>
    <xf numFmtId="0" fontId="117" fillId="27" borderId="0" applyNumberFormat="0" applyBorder="0" applyAlignment="0" applyProtection="0"/>
    <xf numFmtId="0" fontId="117" fillId="27" borderId="0" applyNumberFormat="0" applyBorder="0" applyAlignment="0" applyProtection="0"/>
    <xf numFmtId="0" fontId="117" fillId="28" borderId="0" applyNumberFormat="0" applyBorder="0" applyAlignment="0" applyProtection="0"/>
    <xf numFmtId="0" fontId="117" fillId="28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2" borderId="0" applyNumberFormat="0" applyBorder="0" applyAlignment="0" applyProtection="0"/>
    <xf numFmtId="0" fontId="117" fillId="32" borderId="0" applyNumberFormat="0" applyBorder="0" applyAlignment="0" applyProtection="0"/>
    <xf numFmtId="0" fontId="117" fillId="33" borderId="0" applyNumberFormat="0" applyBorder="0" applyAlignment="0" applyProtection="0"/>
    <xf numFmtId="0" fontId="117" fillId="33" borderId="0" applyNumberFormat="0" applyBorder="0" applyAlignment="0" applyProtection="0"/>
    <xf numFmtId="0" fontId="117" fillId="34" borderId="0" applyNumberFormat="0" applyBorder="0" applyAlignment="0" applyProtection="0"/>
    <xf numFmtId="0" fontId="154" fillId="35" borderId="0" applyNumberFormat="0" applyBorder="0" applyAlignment="0" applyProtection="0"/>
    <xf numFmtId="0" fontId="154" fillId="36" borderId="0" applyNumberFormat="0" applyBorder="0" applyAlignment="0" applyProtection="0"/>
    <xf numFmtId="0" fontId="154" fillId="36" borderId="0" applyNumberFormat="0" applyBorder="0" applyAlignment="0" applyProtection="0"/>
    <xf numFmtId="0" fontId="154" fillId="36" borderId="0" applyNumberFormat="0" applyBorder="0" applyAlignment="0" applyProtection="0"/>
    <xf numFmtId="0" fontId="154" fillId="36" borderId="0" applyNumberFormat="0" applyBorder="0" applyAlignment="0" applyProtection="0"/>
    <xf numFmtId="0" fontId="154" fillId="36" borderId="0" applyNumberFormat="0" applyBorder="0" applyAlignment="0" applyProtection="0"/>
    <xf numFmtId="0" fontId="154" fillId="37" borderId="0" applyNumberFormat="0" applyBorder="0" applyAlignment="0" applyProtection="0"/>
    <xf numFmtId="0" fontId="154" fillId="38" borderId="0" applyNumberFormat="0" applyBorder="0" applyAlignment="0" applyProtection="0"/>
    <xf numFmtId="0" fontId="154" fillId="38" borderId="0" applyNumberFormat="0" applyBorder="0" applyAlignment="0" applyProtection="0"/>
    <xf numFmtId="0" fontId="154" fillId="38" borderId="0" applyNumberFormat="0" applyBorder="0" applyAlignment="0" applyProtection="0"/>
    <xf numFmtId="0" fontId="154" fillId="38" borderId="0" applyNumberFormat="0" applyBorder="0" applyAlignment="0" applyProtection="0"/>
    <xf numFmtId="0" fontId="154" fillId="38" borderId="0" applyNumberFormat="0" applyBorder="0" applyAlignment="0" applyProtection="0"/>
    <xf numFmtId="0" fontId="158" fillId="39" borderId="0" applyNumberFormat="0" applyBorder="0" applyAlignment="0" applyProtection="0"/>
    <xf numFmtId="0" fontId="158" fillId="40" borderId="0" applyNumberFormat="0" applyBorder="0" applyAlignment="0" applyProtection="0"/>
    <xf numFmtId="0" fontId="158" fillId="40" borderId="0" applyNumberFormat="0" applyBorder="0" applyAlignment="0" applyProtection="0"/>
    <xf numFmtId="0" fontId="158" fillId="40" borderId="0" applyNumberFormat="0" applyBorder="0" applyAlignment="0" applyProtection="0"/>
    <xf numFmtId="0" fontId="158" fillId="40" borderId="0" applyNumberFormat="0" applyBorder="0" applyAlignment="0" applyProtection="0"/>
    <xf numFmtId="0" fontId="158" fillId="40" borderId="0" applyNumberFormat="0" applyBorder="0" applyAlignment="0" applyProtection="0"/>
    <xf numFmtId="0" fontId="158" fillId="41" borderId="0" applyNumberFormat="0" applyBorder="0" applyAlignment="0" applyProtection="0"/>
    <xf numFmtId="0" fontId="117" fillId="42" borderId="0" applyNumberFormat="0" applyBorder="0" applyAlignment="0" applyProtection="0"/>
    <xf numFmtId="0" fontId="154" fillId="43" borderId="0" applyNumberFormat="0" applyBorder="0" applyAlignment="0" applyProtection="0"/>
    <xf numFmtId="0" fontId="154" fillId="44" borderId="0" applyNumberFormat="0" applyBorder="0" applyAlignment="0" applyProtection="0"/>
    <xf numFmtId="0" fontId="154" fillId="44" borderId="0" applyNumberFormat="0" applyBorder="0" applyAlignment="0" applyProtection="0"/>
    <xf numFmtId="0" fontId="154" fillId="44" borderId="0" applyNumberFormat="0" applyBorder="0" applyAlignment="0" applyProtection="0"/>
    <xf numFmtId="0" fontId="154" fillId="44" borderId="0" applyNumberFormat="0" applyBorder="0" applyAlignment="0" applyProtection="0"/>
    <xf numFmtId="0" fontId="154" fillId="44" borderId="0" applyNumberFormat="0" applyBorder="0" applyAlignment="0" applyProtection="0"/>
    <xf numFmtId="0" fontId="154" fillId="45" borderId="0" applyNumberFormat="0" applyBorder="0" applyAlignment="0" applyProtection="0"/>
    <xf numFmtId="0" fontId="154" fillId="46" borderId="0" applyNumberFormat="0" applyBorder="0" applyAlignment="0" applyProtection="0"/>
    <xf numFmtId="0" fontId="154" fillId="46" borderId="0" applyNumberFormat="0" applyBorder="0" applyAlignment="0" applyProtection="0"/>
    <xf numFmtId="0" fontId="154" fillId="46" borderId="0" applyNumberFormat="0" applyBorder="0" applyAlignment="0" applyProtection="0"/>
    <xf numFmtId="0" fontId="154" fillId="46" borderId="0" applyNumberFormat="0" applyBorder="0" applyAlignment="0" applyProtection="0"/>
    <xf numFmtId="0" fontId="154" fillId="46" borderId="0" applyNumberFormat="0" applyBorder="0" applyAlignment="0" applyProtection="0"/>
    <xf numFmtId="0" fontId="158" fillId="47" borderId="0" applyNumberFormat="0" applyBorder="0" applyAlignment="0" applyProtection="0"/>
    <xf numFmtId="0" fontId="158" fillId="45" borderId="0" applyNumberFormat="0" applyBorder="0" applyAlignment="0" applyProtection="0"/>
    <xf numFmtId="0" fontId="158" fillId="45" borderId="0" applyNumberFormat="0" applyBorder="0" applyAlignment="0" applyProtection="0"/>
    <xf numFmtId="0" fontId="158" fillId="45" borderId="0" applyNumberFormat="0" applyBorder="0" applyAlignment="0" applyProtection="0"/>
    <xf numFmtId="0" fontId="158" fillId="45" borderId="0" applyNumberFormat="0" applyBorder="0" applyAlignment="0" applyProtection="0"/>
    <xf numFmtId="0" fontId="158" fillId="45" borderId="0" applyNumberFormat="0" applyBorder="0" applyAlignment="0" applyProtection="0"/>
    <xf numFmtId="0" fontId="158" fillId="48" borderId="0" applyNumberFormat="0" applyBorder="0" applyAlignment="0" applyProtection="0"/>
    <xf numFmtId="0" fontId="117" fillId="49" borderId="0" applyNumberFormat="0" applyBorder="0" applyAlignment="0" applyProtection="0"/>
    <xf numFmtId="0" fontId="154" fillId="50" borderId="0" applyNumberFormat="0" applyBorder="0" applyAlignment="0" applyProtection="0"/>
    <xf numFmtId="0" fontId="154" fillId="51" borderId="0" applyNumberFormat="0" applyBorder="0" applyAlignment="0" applyProtection="0"/>
    <xf numFmtId="0" fontId="154" fillId="51" borderId="0" applyNumberFormat="0" applyBorder="0" applyAlignment="0" applyProtection="0"/>
    <xf numFmtId="0" fontId="154" fillId="51" borderId="0" applyNumberFormat="0" applyBorder="0" applyAlignment="0" applyProtection="0"/>
    <xf numFmtId="0" fontId="154" fillId="51" borderId="0" applyNumberFormat="0" applyBorder="0" applyAlignment="0" applyProtection="0"/>
    <xf numFmtId="0" fontId="154" fillId="51" borderId="0" applyNumberFormat="0" applyBorder="0" applyAlignment="0" applyProtection="0"/>
    <xf numFmtId="0" fontId="154" fillId="46" borderId="0" applyNumberFormat="0" applyBorder="0" applyAlignment="0" applyProtection="0"/>
    <xf numFmtId="0" fontId="154" fillId="52" borderId="0" applyNumberFormat="0" applyBorder="0" applyAlignment="0" applyProtection="0"/>
    <xf numFmtId="0" fontId="154" fillId="52" borderId="0" applyNumberFormat="0" applyBorder="0" applyAlignment="0" applyProtection="0"/>
    <xf numFmtId="0" fontId="154" fillId="52" borderId="0" applyNumberFormat="0" applyBorder="0" applyAlignment="0" applyProtection="0"/>
    <xf numFmtId="0" fontId="154" fillId="52" borderId="0" applyNumberFormat="0" applyBorder="0" applyAlignment="0" applyProtection="0"/>
    <xf numFmtId="0" fontId="154" fillId="52" borderId="0" applyNumberFormat="0" applyBorder="0" applyAlignment="0" applyProtection="0"/>
    <xf numFmtId="0" fontId="158" fillId="38" borderId="0" applyNumberFormat="0" applyBorder="0" applyAlignment="0" applyProtection="0"/>
    <xf numFmtId="0" fontId="158" fillId="53" borderId="0" applyNumberFormat="0" applyBorder="0" applyAlignment="0" applyProtection="0"/>
    <xf numFmtId="0" fontId="158" fillId="53" borderId="0" applyNumberFormat="0" applyBorder="0" applyAlignment="0" applyProtection="0"/>
    <xf numFmtId="0" fontId="158" fillId="53" borderId="0" applyNumberFormat="0" applyBorder="0" applyAlignment="0" applyProtection="0"/>
    <xf numFmtId="0" fontId="158" fillId="53" borderId="0" applyNumberFormat="0" applyBorder="0" applyAlignment="0" applyProtection="0"/>
    <xf numFmtId="0" fontId="158" fillId="53" borderId="0" applyNumberFormat="0" applyBorder="0" applyAlignment="0" applyProtection="0"/>
    <xf numFmtId="0" fontId="158" fillId="54" borderId="0" applyNumberFormat="0" applyBorder="0" applyAlignment="0" applyProtection="0"/>
    <xf numFmtId="0" fontId="117" fillId="31" borderId="0" applyNumberFormat="0" applyBorder="0" applyAlignment="0" applyProtection="0"/>
    <xf numFmtId="0" fontId="154" fillId="46" borderId="0" applyNumberFormat="0" applyBorder="0" applyAlignment="0" applyProtection="0"/>
    <xf numFmtId="0" fontId="154" fillId="44" borderId="0" applyNumberFormat="0" applyBorder="0" applyAlignment="0" applyProtection="0"/>
    <xf numFmtId="0" fontId="154" fillId="44" borderId="0" applyNumberFormat="0" applyBorder="0" applyAlignment="0" applyProtection="0"/>
    <xf numFmtId="0" fontId="154" fillId="44" borderId="0" applyNumberFormat="0" applyBorder="0" applyAlignment="0" applyProtection="0"/>
    <xf numFmtId="0" fontId="154" fillId="44" borderId="0" applyNumberFormat="0" applyBorder="0" applyAlignment="0" applyProtection="0"/>
    <xf numFmtId="0" fontId="154" fillId="44" borderId="0" applyNumberFormat="0" applyBorder="0" applyAlignment="0" applyProtection="0"/>
    <xf numFmtId="0" fontId="154" fillId="38" borderId="0" applyNumberFormat="0" applyBorder="0" applyAlignment="0" applyProtection="0"/>
    <xf numFmtId="0" fontId="154" fillId="47" borderId="0" applyNumberFormat="0" applyBorder="0" applyAlignment="0" applyProtection="0"/>
    <xf numFmtId="0" fontId="154" fillId="47" borderId="0" applyNumberFormat="0" applyBorder="0" applyAlignment="0" applyProtection="0"/>
    <xf numFmtId="0" fontId="154" fillId="47" borderId="0" applyNumberFormat="0" applyBorder="0" applyAlignment="0" applyProtection="0"/>
    <xf numFmtId="0" fontId="154" fillId="47" borderId="0" applyNumberFormat="0" applyBorder="0" applyAlignment="0" applyProtection="0"/>
    <xf numFmtId="0" fontId="154" fillId="47" borderId="0" applyNumberFormat="0" applyBorder="0" applyAlignment="0" applyProtection="0"/>
    <xf numFmtId="0" fontId="158" fillId="38" borderId="0" applyNumberFormat="0" applyBorder="0" applyAlignment="0" applyProtection="0"/>
    <xf numFmtId="0" fontId="158" fillId="46" borderId="0" applyNumberFormat="0" applyBorder="0" applyAlignment="0" applyProtection="0"/>
    <xf numFmtId="0" fontId="158" fillId="46" borderId="0" applyNumberFormat="0" applyBorder="0" applyAlignment="0" applyProtection="0"/>
    <xf numFmtId="0" fontId="158" fillId="46" borderId="0" applyNumberFormat="0" applyBorder="0" applyAlignment="0" applyProtection="0"/>
    <xf numFmtId="0" fontId="158" fillId="46" borderId="0" applyNumberFormat="0" applyBorder="0" applyAlignment="0" applyProtection="0"/>
    <xf numFmtId="0" fontId="158" fillId="46" borderId="0" applyNumberFormat="0" applyBorder="0" applyAlignment="0" applyProtection="0"/>
    <xf numFmtId="0" fontId="158" fillId="55" borderId="0" applyNumberFormat="0" applyBorder="0" applyAlignment="0" applyProtection="0"/>
    <xf numFmtId="0" fontId="117" fillId="32" borderId="0" applyNumberFormat="0" applyBorder="0" applyAlignment="0" applyProtection="0"/>
    <xf numFmtId="0" fontId="154" fillId="35" borderId="0" applyNumberFormat="0" applyBorder="0" applyAlignment="0" applyProtection="0"/>
    <xf numFmtId="0" fontId="154" fillId="50" borderId="0" applyNumberFormat="0" applyBorder="0" applyAlignment="0" applyProtection="0"/>
    <xf numFmtId="0" fontId="154" fillId="50" borderId="0" applyNumberFormat="0" applyBorder="0" applyAlignment="0" applyProtection="0"/>
    <xf numFmtId="0" fontId="154" fillId="50" borderId="0" applyNumberFormat="0" applyBorder="0" applyAlignment="0" applyProtection="0"/>
    <xf numFmtId="0" fontId="154" fillId="50" borderId="0" applyNumberFormat="0" applyBorder="0" applyAlignment="0" applyProtection="0"/>
    <xf numFmtId="0" fontId="154" fillId="50" borderId="0" applyNumberFormat="0" applyBorder="0" applyAlignment="0" applyProtection="0"/>
    <xf numFmtId="0" fontId="154" fillId="37" borderId="0" applyNumberFormat="0" applyBorder="0" applyAlignment="0" applyProtection="0"/>
    <xf numFmtId="0" fontId="158" fillId="37" borderId="0" applyNumberFormat="0" applyBorder="0" applyAlignment="0" applyProtection="0"/>
    <xf numFmtId="0" fontId="158" fillId="40" borderId="0" applyNumberFormat="0" applyBorder="0" applyAlignment="0" applyProtection="0"/>
    <xf numFmtId="0" fontId="158" fillId="40" borderId="0" applyNumberFormat="0" applyBorder="0" applyAlignment="0" applyProtection="0"/>
    <xf numFmtId="0" fontId="158" fillId="40" borderId="0" applyNumberFormat="0" applyBorder="0" applyAlignment="0" applyProtection="0"/>
    <xf numFmtId="0" fontId="158" fillId="40" borderId="0" applyNumberFormat="0" applyBorder="0" applyAlignment="0" applyProtection="0"/>
    <xf numFmtId="0" fontId="158" fillId="40" borderId="0" applyNumberFormat="0" applyBorder="0" applyAlignment="0" applyProtection="0"/>
    <xf numFmtId="0" fontId="158" fillId="40" borderId="0" applyNumberFormat="0" applyBorder="0" applyAlignment="0" applyProtection="0"/>
    <xf numFmtId="0" fontId="117" fillId="56" borderId="0" applyNumberFormat="0" applyBorder="0" applyAlignment="0" applyProtection="0"/>
    <xf numFmtId="0" fontId="154" fillId="57" borderId="0" applyNumberFormat="0" applyBorder="0" applyAlignment="0" applyProtection="0"/>
    <xf numFmtId="0" fontId="154" fillId="45" borderId="0" applyNumberFormat="0" applyBorder="0" applyAlignment="0" applyProtection="0"/>
    <xf numFmtId="0" fontId="154" fillId="58" borderId="0" applyNumberFormat="0" applyBorder="0" applyAlignment="0" applyProtection="0"/>
    <xf numFmtId="0" fontId="154" fillId="58" borderId="0" applyNumberFormat="0" applyBorder="0" applyAlignment="0" applyProtection="0"/>
    <xf numFmtId="0" fontId="154" fillId="58" borderId="0" applyNumberFormat="0" applyBorder="0" applyAlignment="0" applyProtection="0"/>
    <xf numFmtId="0" fontId="154" fillId="58" borderId="0" applyNumberFormat="0" applyBorder="0" applyAlignment="0" applyProtection="0"/>
    <xf numFmtId="0" fontId="154" fillId="58" borderId="0" applyNumberFormat="0" applyBorder="0" applyAlignment="0" applyProtection="0"/>
    <xf numFmtId="0" fontId="158" fillId="58" borderId="0" applyNumberFormat="0" applyBorder="0" applyAlignment="0" applyProtection="0"/>
    <xf numFmtId="0" fontId="158" fillId="59" borderId="0" applyNumberFormat="0" applyBorder="0" applyAlignment="0" applyProtection="0"/>
    <xf numFmtId="0" fontId="158" fillId="59" borderId="0" applyNumberFormat="0" applyBorder="0" applyAlignment="0" applyProtection="0"/>
    <xf numFmtId="0" fontId="158" fillId="59" borderId="0" applyNumberFormat="0" applyBorder="0" applyAlignment="0" applyProtection="0"/>
    <xf numFmtId="0" fontId="158" fillId="59" borderId="0" applyNumberFormat="0" applyBorder="0" applyAlignment="0" applyProtection="0"/>
    <xf numFmtId="0" fontId="158" fillId="59" borderId="0" applyNumberFormat="0" applyBorder="0" applyAlignment="0" applyProtection="0"/>
    <xf numFmtId="0" fontId="158" fillId="60" borderId="0" applyNumberFormat="0" applyBorder="0" applyAlignment="0" applyProtection="0"/>
    <xf numFmtId="170" fontId="135" fillId="0" borderId="0">
      <alignment horizontal="left"/>
    </xf>
    <xf numFmtId="0" fontId="46" fillId="0" borderId="0"/>
    <xf numFmtId="49" fontId="157" fillId="22" borderId="1">
      <alignment horizontal="left" vertical="top"/>
      <protection locked="0"/>
    </xf>
    <xf numFmtId="49" fontId="157" fillId="22" borderId="1">
      <alignment horizontal="left" vertical="top"/>
      <protection locked="0"/>
    </xf>
    <xf numFmtId="49" fontId="157" fillId="0" borderId="1">
      <alignment horizontal="left" vertical="top"/>
      <protection locked="0"/>
    </xf>
    <xf numFmtId="49" fontId="157" fillId="0" borderId="1">
      <alignment horizontal="left" vertical="top"/>
      <protection locked="0"/>
    </xf>
    <xf numFmtId="49" fontId="157" fillId="61" borderId="1">
      <alignment horizontal="left" vertical="top"/>
      <protection locked="0"/>
    </xf>
    <xf numFmtId="49" fontId="157" fillId="61" borderId="1">
      <alignment horizontal="left" vertical="top"/>
      <protection locked="0"/>
    </xf>
    <xf numFmtId="0" fontId="157" fillId="0" borderId="0">
      <alignment horizontal="left" vertical="top" wrapText="1"/>
    </xf>
    <xf numFmtId="0" fontId="159" fillId="0" borderId="71">
      <alignment horizontal="left" vertical="top" wrapText="1"/>
    </xf>
    <xf numFmtId="49" fontId="46" fillId="0" borderId="0">
      <alignment horizontal="left" vertical="top" wrapText="1"/>
      <protection locked="0"/>
    </xf>
    <xf numFmtId="0" fontId="160" fillId="0" borderId="0">
      <alignment horizontal="left" vertical="top" wrapText="1"/>
    </xf>
    <xf numFmtId="49" fontId="46" fillId="0" borderId="1">
      <alignment horizontal="center" vertical="top" wrapText="1"/>
      <protection locked="0"/>
    </xf>
    <xf numFmtId="49" fontId="46" fillId="0" borderId="1">
      <alignment horizontal="center" vertical="top" wrapText="1"/>
      <protection locked="0"/>
    </xf>
    <xf numFmtId="49" fontId="157" fillId="0" borderId="0">
      <alignment horizontal="right" vertical="top"/>
      <protection locked="0"/>
    </xf>
    <xf numFmtId="49" fontId="157" fillId="22" borderId="1">
      <alignment horizontal="right" vertical="top"/>
      <protection locked="0"/>
    </xf>
    <xf numFmtId="49" fontId="157" fillId="22" borderId="1">
      <alignment horizontal="right" vertical="top"/>
      <protection locked="0"/>
    </xf>
    <xf numFmtId="0" fontId="157" fillId="22" borderId="1">
      <alignment horizontal="right" vertical="top"/>
      <protection locked="0"/>
    </xf>
    <xf numFmtId="0" fontId="157" fillId="22" borderId="1">
      <alignment horizontal="right" vertical="top"/>
      <protection locked="0"/>
    </xf>
    <xf numFmtId="49" fontId="157" fillId="0" borderId="1">
      <alignment horizontal="right" vertical="top"/>
      <protection locked="0"/>
    </xf>
    <xf numFmtId="49" fontId="157" fillId="0" borderId="1">
      <alignment horizontal="right" vertical="top"/>
      <protection locked="0"/>
    </xf>
    <xf numFmtId="0" fontId="157" fillId="0" borderId="1">
      <alignment horizontal="right" vertical="top"/>
      <protection locked="0"/>
    </xf>
    <xf numFmtId="0" fontId="157" fillId="0" borderId="1">
      <alignment horizontal="right" vertical="top"/>
      <protection locked="0"/>
    </xf>
    <xf numFmtId="49" fontId="157" fillId="61" borderId="1">
      <alignment horizontal="right" vertical="top"/>
      <protection locked="0"/>
    </xf>
    <xf numFmtId="49" fontId="157" fillId="61" borderId="1">
      <alignment horizontal="right" vertical="top"/>
      <protection locked="0"/>
    </xf>
    <xf numFmtId="0" fontId="157" fillId="61" borderId="1">
      <alignment horizontal="right" vertical="top"/>
      <protection locked="0"/>
    </xf>
    <xf numFmtId="0" fontId="157" fillId="61" borderId="1">
      <alignment horizontal="right" vertical="top"/>
      <protection locked="0"/>
    </xf>
    <xf numFmtId="49" fontId="46" fillId="0" borderId="0">
      <alignment horizontal="right" vertical="top" wrapText="1"/>
      <protection locked="0"/>
    </xf>
    <xf numFmtId="0" fontId="160" fillId="0" borderId="0">
      <alignment horizontal="right" vertical="top" wrapText="1"/>
    </xf>
    <xf numFmtId="49" fontId="46" fillId="0" borderId="0">
      <alignment horizontal="center" vertical="top" wrapText="1"/>
      <protection locked="0"/>
    </xf>
    <xf numFmtId="0" fontId="159" fillId="0" borderId="71">
      <alignment horizontal="center" vertical="top" wrapText="1"/>
    </xf>
    <xf numFmtId="49" fontId="157" fillId="0" borderId="1">
      <alignment horizontal="center" vertical="top" wrapText="1"/>
      <protection locked="0"/>
    </xf>
    <xf numFmtId="49" fontId="157" fillId="0" borderId="1">
      <alignment horizontal="center" vertical="top" wrapText="1"/>
      <protection locked="0"/>
    </xf>
    <xf numFmtId="0" fontId="157" fillId="0" borderId="1">
      <alignment horizontal="center" vertical="top" wrapText="1"/>
      <protection locked="0"/>
    </xf>
    <xf numFmtId="0" fontId="157" fillId="0" borderId="1">
      <alignment horizontal="center" vertical="top" wrapText="1"/>
      <protection locked="0"/>
    </xf>
    <xf numFmtId="0" fontId="128" fillId="21" borderId="0" applyNumberFormat="0" applyBorder="0" applyAlignment="0" applyProtection="0"/>
    <xf numFmtId="190" fontId="161" fillId="0" borderId="0" applyFill="0" applyBorder="0" applyAlignment="0"/>
    <xf numFmtId="191" fontId="161" fillId="0" borderId="0" applyFill="0" applyBorder="0" applyAlignment="0"/>
    <xf numFmtId="192" fontId="161" fillId="0" borderId="0" applyFill="0" applyBorder="0" applyAlignment="0"/>
    <xf numFmtId="193" fontId="161" fillId="0" borderId="0" applyFill="0" applyBorder="0" applyAlignment="0"/>
    <xf numFmtId="194" fontId="161" fillId="0" borderId="0" applyFill="0" applyBorder="0" applyAlignment="0"/>
    <xf numFmtId="190" fontId="161" fillId="0" borderId="0" applyFill="0" applyBorder="0" applyAlignment="0"/>
    <xf numFmtId="195" fontId="161" fillId="0" borderId="0" applyFill="0" applyBorder="0" applyAlignment="0"/>
    <xf numFmtId="191" fontId="161" fillId="0" borderId="0" applyFill="0" applyBorder="0" applyAlignment="0"/>
    <xf numFmtId="0" fontId="120" fillId="62" borderId="70" applyNumberFormat="0" applyAlignment="0" applyProtection="0"/>
    <xf numFmtId="0" fontId="125" fillId="63" borderId="72" applyNumberFormat="0" applyAlignment="0" applyProtection="0"/>
    <xf numFmtId="182" fontId="72" fillId="0" borderId="0" applyFont="0" applyFill="0" applyBorder="0" applyAlignment="0" applyProtection="0"/>
    <xf numFmtId="190" fontId="143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46" fillId="0" borderId="0" applyFont="0" applyFill="0" applyBorder="0" applyAlignment="0" applyProtection="0"/>
    <xf numFmtId="43" fontId="13" fillId="0" borderId="0" applyFont="0" applyFill="0" applyBorder="0" applyAlignment="0" applyProtection="0"/>
    <xf numFmtId="3" fontId="136" fillId="0" borderId="0" applyFont="0" applyFill="0" applyBorder="0" applyAlignment="0" applyProtection="0"/>
    <xf numFmtId="177" fontId="137" fillId="0" borderId="0" applyFont="0" applyFill="0" applyBorder="0" applyAlignment="0" applyProtection="0"/>
    <xf numFmtId="191" fontId="143" fillId="0" borderId="0" applyFont="0" applyFill="0" applyBorder="0" applyAlignment="0" applyProtection="0"/>
    <xf numFmtId="183" fontId="13" fillId="0" borderId="0" applyFont="0" applyFill="0" applyBorder="0" applyAlignment="0" applyProtection="0"/>
    <xf numFmtId="0" fontId="46" fillId="0" borderId="0"/>
    <xf numFmtId="0" fontId="46" fillId="0" borderId="0"/>
    <xf numFmtId="0" fontId="136" fillId="0" borderId="0" applyFont="0" applyFill="0" applyBorder="0" applyAlignment="0" applyProtection="0"/>
    <xf numFmtId="14" fontId="161" fillId="0" borderId="0" applyFill="0" applyBorder="0" applyAlignment="0"/>
    <xf numFmtId="0" fontId="162" fillId="0" borderId="0" applyNumberFormat="0" applyFill="0" applyBorder="0" applyAlignment="0" applyProtection="0"/>
    <xf numFmtId="196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184" fontId="138" fillId="0" borderId="0">
      <alignment horizontal="center"/>
    </xf>
    <xf numFmtId="38" fontId="137" fillId="0" borderId="0" applyFont="0" applyFill="0" applyBorder="0" applyAlignment="0" applyProtection="0"/>
    <xf numFmtId="0" fontId="139" fillId="0" borderId="0" applyFont="0" applyFill="0" applyBorder="0" applyAlignment="0" applyProtection="0"/>
    <xf numFmtId="0" fontId="163" fillId="64" borderId="0" applyNumberFormat="0" applyBorder="0" applyAlignment="0" applyProtection="0"/>
    <xf numFmtId="0" fontId="163" fillId="65" borderId="0" applyNumberFormat="0" applyBorder="0" applyAlignment="0" applyProtection="0"/>
    <xf numFmtId="0" fontId="163" fillId="65" borderId="0" applyNumberFormat="0" applyBorder="0" applyAlignment="0" applyProtection="0"/>
    <xf numFmtId="0" fontId="163" fillId="65" borderId="0" applyNumberFormat="0" applyBorder="0" applyAlignment="0" applyProtection="0"/>
    <xf numFmtId="0" fontId="163" fillId="65" borderId="0" applyNumberFormat="0" applyBorder="0" applyAlignment="0" applyProtection="0"/>
    <xf numFmtId="0" fontId="163" fillId="65" borderId="0" applyNumberFormat="0" applyBorder="0" applyAlignment="0" applyProtection="0"/>
    <xf numFmtId="0" fontId="163" fillId="66" borderId="0" applyNumberFormat="0" applyBorder="0" applyAlignment="0" applyProtection="0"/>
    <xf numFmtId="0" fontId="163" fillId="67" borderId="0" applyNumberFormat="0" applyBorder="0" applyAlignment="0" applyProtection="0"/>
    <xf numFmtId="0" fontId="163" fillId="67" borderId="0" applyNumberFormat="0" applyBorder="0" applyAlignment="0" applyProtection="0"/>
    <xf numFmtId="0" fontId="163" fillId="67" borderId="0" applyNumberFormat="0" applyBorder="0" applyAlignment="0" applyProtection="0"/>
    <xf numFmtId="0" fontId="163" fillId="67" borderId="0" applyNumberFormat="0" applyBorder="0" applyAlignment="0" applyProtection="0"/>
    <xf numFmtId="0" fontId="163" fillId="67" borderId="0" applyNumberFormat="0" applyBorder="0" applyAlignment="0" applyProtection="0"/>
    <xf numFmtId="0" fontId="163" fillId="68" borderId="0" applyNumberFormat="0" applyBorder="0" applyAlignment="0" applyProtection="0"/>
    <xf numFmtId="190" fontId="164" fillId="0" borderId="0" applyFill="0" applyBorder="0" applyAlignment="0"/>
    <xf numFmtId="191" fontId="164" fillId="0" borderId="0" applyFill="0" applyBorder="0" applyAlignment="0"/>
    <xf numFmtId="190" fontId="164" fillId="0" borderId="0" applyFill="0" applyBorder="0" applyAlignment="0"/>
    <xf numFmtId="195" fontId="164" fillId="0" borderId="0" applyFill="0" applyBorder="0" applyAlignment="0"/>
    <xf numFmtId="191" fontId="164" fillId="0" borderId="0" applyFill="0" applyBorder="0" applyAlignment="0"/>
    <xf numFmtId="198" fontId="97" fillId="0" borderId="0" applyFont="0" applyFill="0" applyBorder="0" applyAlignment="0" applyProtection="0"/>
    <xf numFmtId="0" fontId="129" fillId="0" borderId="0" applyNumberFormat="0" applyFill="0" applyBorder="0" applyAlignment="0" applyProtection="0"/>
    <xf numFmtId="0" fontId="132" fillId="22" borderId="0" applyNumberFormat="0" applyBorder="0" applyAlignment="0" applyProtection="0"/>
    <xf numFmtId="0" fontId="154" fillId="52" borderId="0" applyNumberFormat="0" applyBorder="0" applyAlignment="0" applyProtection="0"/>
    <xf numFmtId="0" fontId="154" fillId="52" borderId="0" applyNumberFormat="0" applyBorder="0" applyAlignment="0" applyProtection="0"/>
    <xf numFmtId="0" fontId="154" fillId="52" borderId="0" applyNumberFormat="0" applyBorder="0" applyAlignment="0" applyProtection="0"/>
    <xf numFmtId="0" fontId="154" fillId="52" borderId="0" applyNumberFormat="0" applyBorder="0" applyAlignment="0" applyProtection="0"/>
    <xf numFmtId="38" fontId="140" fillId="69" borderId="0" applyNumberFormat="0" applyBorder="0" applyAlignment="0" applyProtection="0"/>
    <xf numFmtId="0" fontId="141" fillId="0" borderId="73" applyNumberFormat="0" applyAlignment="0" applyProtection="0">
      <alignment horizontal="left" vertical="center"/>
    </xf>
    <xf numFmtId="0" fontId="141" fillId="0" borderId="3">
      <alignment horizontal="left" vertical="center"/>
    </xf>
    <xf numFmtId="0" fontId="121" fillId="0" borderId="74" applyNumberFormat="0" applyFill="0" applyAlignment="0" applyProtection="0"/>
    <xf numFmtId="0" fontId="122" fillId="0" borderId="75" applyNumberFormat="0" applyFill="0" applyAlignment="0" applyProtection="0"/>
    <xf numFmtId="0" fontId="123" fillId="0" borderId="76" applyNumberFormat="0" applyFill="0" applyAlignment="0" applyProtection="0"/>
    <xf numFmtId="0" fontId="123" fillId="0" borderId="0" applyNumberFormat="0" applyFill="0" applyBorder="0" applyAlignment="0" applyProtection="0"/>
    <xf numFmtId="0" fontId="142" fillId="0" borderId="0" applyNumberFormat="0" applyFill="0" applyBorder="0" applyAlignment="0" applyProtection="0">
      <alignment vertical="top"/>
      <protection locked="0"/>
    </xf>
    <xf numFmtId="0" fontId="46" fillId="0" borderId="0"/>
    <xf numFmtId="185" fontId="143" fillId="70" borderId="1" applyNumberFormat="0" applyFont="0" applyAlignment="0">
      <protection locked="0"/>
    </xf>
    <xf numFmtId="10" fontId="140" fillId="71" borderId="1" applyNumberFormat="0" applyBorder="0" applyAlignment="0" applyProtection="0"/>
    <xf numFmtId="190" fontId="165" fillId="0" borderId="0" applyFill="0" applyBorder="0" applyAlignment="0"/>
    <xf numFmtId="191" fontId="165" fillId="0" borderId="0" applyFill="0" applyBorder="0" applyAlignment="0"/>
    <xf numFmtId="190" fontId="165" fillId="0" borderId="0" applyFill="0" applyBorder="0" applyAlignment="0"/>
    <xf numFmtId="195" fontId="165" fillId="0" borderId="0" applyFill="0" applyBorder="0" applyAlignment="0"/>
    <xf numFmtId="191" fontId="165" fillId="0" borderId="0" applyFill="0" applyBorder="0" applyAlignment="0"/>
    <xf numFmtId="0" fontId="130" fillId="0" borderId="77" applyNumberFormat="0" applyFill="0" applyAlignment="0" applyProtection="0"/>
    <xf numFmtId="0" fontId="46" fillId="0" borderId="0"/>
    <xf numFmtId="0" fontId="127" fillId="72" borderId="0" applyNumberFormat="0" applyBorder="0" applyAlignment="0" applyProtection="0"/>
    <xf numFmtId="0" fontId="166" fillId="58" borderId="0" applyNumberFormat="0" applyBorder="0" applyAlignment="0" applyProtection="0"/>
    <xf numFmtId="0" fontId="166" fillId="58" borderId="0" applyNumberFormat="0" applyBorder="0" applyAlignment="0" applyProtection="0"/>
    <xf numFmtId="0" fontId="166" fillId="58" borderId="0" applyNumberFormat="0" applyBorder="0" applyAlignment="0" applyProtection="0"/>
    <xf numFmtId="0" fontId="166" fillId="58" borderId="0" applyNumberFormat="0" applyBorder="0" applyAlignment="0" applyProtection="0"/>
    <xf numFmtId="0" fontId="157" fillId="0" borderId="78"/>
    <xf numFmtId="0" fontId="13" fillId="0" borderId="0"/>
    <xf numFmtId="0" fontId="75" fillId="0" borderId="0"/>
    <xf numFmtId="0" fontId="116" fillId="73" borderId="0"/>
    <xf numFmtId="0" fontId="116" fillId="73" borderId="0"/>
    <xf numFmtId="0" fontId="46" fillId="0" borderId="0"/>
    <xf numFmtId="0" fontId="13" fillId="0" borderId="0"/>
    <xf numFmtId="0" fontId="144" fillId="0" borderId="0"/>
    <xf numFmtId="0" fontId="145" fillId="0" borderId="0"/>
    <xf numFmtId="0" fontId="146" fillId="0" borderId="0"/>
    <xf numFmtId="0" fontId="133" fillId="0" borderId="0"/>
    <xf numFmtId="0" fontId="46" fillId="74" borderId="79" applyNumberFormat="0" applyFont="0" applyAlignment="0" applyProtection="0"/>
    <xf numFmtId="0" fontId="116" fillId="57" borderId="80" applyNumberFormat="0" applyFont="0" applyAlignment="0" applyProtection="0"/>
    <xf numFmtId="0" fontId="116" fillId="57" borderId="80" applyNumberFormat="0" applyFont="0" applyAlignment="0" applyProtection="0"/>
    <xf numFmtId="0" fontId="116" fillId="57" borderId="80" applyNumberFormat="0" applyFont="0" applyAlignment="0" applyProtection="0"/>
    <xf numFmtId="0" fontId="116" fillId="57" borderId="80" applyNumberFormat="0" applyFont="0" applyAlignment="0" applyProtection="0"/>
    <xf numFmtId="186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6" fontId="147" fillId="0" borderId="0" applyFont="0" applyFill="0" applyBorder="0" applyAlignment="0" applyProtection="0"/>
    <xf numFmtId="187" fontId="147" fillId="0" borderId="0" applyFont="0" applyFill="0" applyBorder="0" applyAlignment="0" applyProtection="0"/>
    <xf numFmtId="0" fontId="119" fillId="62" borderId="81" applyNumberFormat="0" applyAlignment="0" applyProtection="0"/>
    <xf numFmtId="194" fontId="143" fillId="0" borderId="0" applyFont="0" applyFill="0" applyBorder="0" applyAlignment="0" applyProtection="0"/>
    <xf numFmtId="199" fontId="14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6" fillId="0" borderId="0" applyFont="0" applyFill="0" applyBorder="0" applyAlignment="0" applyProtection="0"/>
    <xf numFmtId="190" fontId="167" fillId="0" borderId="0" applyFill="0" applyBorder="0" applyAlignment="0"/>
    <xf numFmtId="191" fontId="167" fillId="0" borderId="0" applyFill="0" applyBorder="0" applyAlignment="0"/>
    <xf numFmtId="190" fontId="167" fillId="0" borderId="0" applyFill="0" applyBorder="0" applyAlignment="0"/>
    <xf numFmtId="195" fontId="167" fillId="0" borderId="0" applyFill="0" applyBorder="0" applyAlignment="0"/>
    <xf numFmtId="191" fontId="167" fillId="0" borderId="0" applyFill="0" applyBorder="0" applyAlignment="0"/>
    <xf numFmtId="0" fontId="148" fillId="0" borderId="0" applyNumberFormat="0">
      <alignment horizontal="left"/>
    </xf>
    <xf numFmtId="4" fontId="161" fillId="70" borderId="81" applyNumberFormat="0" applyProtection="0">
      <alignment vertical="center"/>
    </xf>
    <xf numFmtId="4" fontId="140" fillId="72" borderId="80" applyNumberFormat="0" applyProtection="0">
      <alignment vertical="center"/>
    </xf>
    <xf numFmtId="4" fontId="140" fillId="72" borderId="80" applyNumberFormat="0" applyProtection="0">
      <alignment vertical="center"/>
    </xf>
    <xf numFmtId="4" fontId="140" fillId="72" borderId="80" applyNumberFormat="0" applyProtection="0">
      <alignment vertical="center"/>
    </xf>
    <xf numFmtId="4" fontId="140" fillId="72" borderId="80" applyNumberFormat="0" applyProtection="0">
      <alignment vertical="center"/>
    </xf>
    <xf numFmtId="4" fontId="140" fillId="72" borderId="80" applyNumberFormat="0" applyProtection="0">
      <alignment vertical="center"/>
    </xf>
    <xf numFmtId="4" fontId="168" fillId="70" borderId="81" applyNumberFormat="0" applyProtection="0">
      <alignment vertical="center"/>
    </xf>
    <xf numFmtId="4" fontId="157" fillId="70" borderId="80" applyNumberFormat="0" applyProtection="0">
      <alignment vertical="center"/>
    </xf>
    <xf numFmtId="4" fontId="157" fillId="70" borderId="80" applyNumberFormat="0" applyProtection="0">
      <alignment vertical="center"/>
    </xf>
    <xf numFmtId="4" fontId="157" fillId="70" borderId="80" applyNumberFormat="0" applyProtection="0">
      <alignment vertical="center"/>
    </xf>
    <xf numFmtId="4" fontId="157" fillId="70" borderId="80" applyNumberFormat="0" applyProtection="0">
      <alignment vertical="center"/>
    </xf>
    <xf numFmtId="4" fontId="157" fillId="70" borderId="80" applyNumberFormat="0" applyProtection="0">
      <alignment vertical="center"/>
    </xf>
    <xf numFmtId="4" fontId="161" fillId="70" borderId="81" applyNumberFormat="0" applyProtection="0">
      <alignment horizontal="left" vertical="center" indent="1"/>
    </xf>
    <xf numFmtId="4" fontId="140" fillId="70" borderId="80" applyNumberFormat="0" applyProtection="0">
      <alignment horizontal="left" vertical="center" indent="1"/>
    </xf>
    <xf numFmtId="4" fontId="140" fillId="70" borderId="80" applyNumberFormat="0" applyProtection="0">
      <alignment horizontal="left" vertical="center" indent="1"/>
    </xf>
    <xf numFmtId="4" fontId="140" fillId="70" borderId="80" applyNumberFormat="0" applyProtection="0">
      <alignment horizontal="left" vertical="center" indent="1"/>
    </xf>
    <xf numFmtId="4" fontId="140" fillId="70" borderId="80" applyNumberFormat="0" applyProtection="0">
      <alignment horizontal="left" vertical="center" indent="1"/>
    </xf>
    <xf numFmtId="4" fontId="140" fillId="70" borderId="80" applyNumberFormat="0" applyProtection="0">
      <alignment horizontal="left" vertical="center" indent="1"/>
    </xf>
    <xf numFmtId="4" fontId="161" fillId="70" borderId="81" applyNumberFormat="0" applyProtection="0">
      <alignment horizontal="left" vertical="center" indent="1"/>
    </xf>
    <xf numFmtId="0" fontId="157" fillId="72" borderId="82" applyNumberFormat="0" applyProtection="0">
      <alignment horizontal="left" vertical="top" indent="1"/>
    </xf>
    <xf numFmtId="0" fontId="157" fillId="72" borderId="82" applyNumberFormat="0" applyProtection="0">
      <alignment horizontal="left" vertical="top" indent="1"/>
    </xf>
    <xf numFmtId="0" fontId="157" fillId="72" borderId="82" applyNumberFormat="0" applyProtection="0">
      <alignment horizontal="left" vertical="top" indent="1"/>
    </xf>
    <xf numFmtId="0" fontId="157" fillId="72" borderId="82" applyNumberFormat="0" applyProtection="0">
      <alignment horizontal="left" vertical="top" indent="1"/>
    </xf>
    <xf numFmtId="0" fontId="157" fillId="72" borderId="82" applyNumberFormat="0" applyProtection="0">
      <alignment horizontal="left" vertical="top" indent="1"/>
    </xf>
    <xf numFmtId="0" fontId="169" fillId="18" borderId="83" applyNumberFormat="0" applyProtection="0">
      <alignment horizontal="center" vertical="center" wrapText="1"/>
    </xf>
    <xf numFmtId="4" fontId="140" fillId="32" borderId="80" applyNumberFormat="0" applyProtection="0">
      <alignment horizontal="left" vertical="center" indent="1"/>
    </xf>
    <xf numFmtId="4" fontId="140" fillId="32" borderId="80" applyNumberFormat="0" applyProtection="0">
      <alignment horizontal="left" vertical="center" indent="1"/>
    </xf>
    <xf numFmtId="4" fontId="140" fillId="32" borderId="80" applyNumberFormat="0" applyProtection="0">
      <alignment horizontal="left" vertical="center" indent="1"/>
    </xf>
    <xf numFmtId="4" fontId="140" fillId="32" borderId="80" applyNumberFormat="0" applyProtection="0">
      <alignment horizontal="left" vertical="center" indent="1"/>
    </xf>
    <xf numFmtId="4" fontId="140" fillId="32" borderId="80" applyNumberFormat="0" applyProtection="0">
      <alignment horizontal="left" vertical="center" indent="1"/>
    </xf>
    <xf numFmtId="4" fontId="140" fillId="32" borderId="80" applyNumberFormat="0" applyProtection="0">
      <alignment horizontal="left" vertical="center" indent="1"/>
    </xf>
    <xf numFmtId="4" fontId="161" fillId="75" borderId="81" applyNumberFormat="0" applyProtection="0">
      <alignment horizontal="right" vertical="center"/>
    </xf>
    <xf numFmtId="4" fontId="140" fillId="21" borderId="80" applyNumberFormat="0" applyProtection="0">
      <alignment horizontal="right" vertical="center"/>
    </xf>
    <xf numFmtId="4" fontId="140" fillId="21" borderId="80" applyNumberFormat="0" applyProtection="0">
      <alignment horizontal="right" vertical="center"/>
    </xf>
    <xf numFmtId="4" fontId="140" fillId="21" borderId="80" applyNumberFormat="0" applyProtection="0">
      <alignment horizontal="right" vertical="center"/>
    </xf>
    <xf numFmtId="4" fontId="140" fillId="21" borderId="80" applyNumberFormat="0" applyProtection="0">
      <alignment horizontal="right" vertical="center"/>
    </xf>
    <xf numFmtId="4" fontId="140" fillId="21" borderId="80" applyNumberFormat="0" applyProtection="0">
      <alignment horizontal="right" vertical="center"/>
    </xf>
    <xf numFmtId="4" fontId="161" fillId="76" borderId="81" applyNumberFormat="0" applyProtection="0">
      <alignment horizontal="right" vertical="center"/>
    </xf>
    <xf numFmtId="4" fontId="140" fillId="77" borderId="80" applyNumberFormat="0" applyProtection="0">
      <alignment horizontal="right" vertical="center"/>
    </xf>
    <xf numFmtId="4" fontId="140" fillId="77" borderId="80" applyNumberFormat="0" applyProtection="0">
      <alignment horizontal="right" vertical="center"/>
    </xf>
    <xf numFmtId="4" fontId="140" fillId="77" borderId="80" applyNumberFormat="0" applyProtection="0">
      <alignment horizontal="right" vertical="center"/>
    </xf>
    <xf numFmtId="4" fontId="140" fillId="77" borderId="80" applyNumberFormat="0" applyProtection="0">
      <alignment horizontal="right" vertical="center"/>
    </xf>
    <xf numFmtId="4" fontId="140" fillId="77" borderId="80" applyNumberFormat="0" applyProtection="0">
      <alignment horizontal="right" vertical="center"/>
    </xf>
    <xf numFmtId="4" fontId="161" fillId="78" borderId="81" applyNumberFormat="0" applyProtection="0">
      <alignment horizontal="right" vertical="center"/>
    </xf>
    <xf numFmtId="4" fontId="140" fillId="42" borderId="71" applyNumberFormat="0" applyProtection="0">
      <alignment horizontal="right" vertical="center"/>
    </xf>
    <xf numFmtId="4" fontId="140" fillId="42" borderId="71" applyNumberFormat="0" applyProtection="0">
      <alignment horizontal="right" vertical="center"/>
    </xf>
    <xf numFmtId="4" fontId="140" fillId="42" borderId="71" applyNumberFormat="0" applyProtection="0">
      <alignment horizontal="right" vertical="center"/>
    </xf>
    <xf numFmtId="4" fontId="140" fillId="42" borderId="71" applyNumberFormat="0" applyProtection="0">
      <alignment horizontal="right" vertical="center"/>
    </xf>
    <xf numFmtId="4" fontId="140" fillId="42" borderId="71" applyNumberFormat="0" applyProtection="0">
      <alignment horizontal="right" vertical="center"/>
    </xf>
    <xf numFmtId="4" fontId="161" fillId="79" borderId="81" applyNumberFormat="0" applyProtection="0">
      <alignment horizontal="right" vertical="center"/>
    </xf>
    <xf numFmtId="4" fontId="140" fillId="29" borderId="80" applyNumberFormat="0" applyProtection="0">
      <alignment horizontal="right" vertical="center"/>
    </xf>
    <xf numFmtId="4" fontId="140" fillId="29" borderId="80" applyNumberFormat="0" applyProtection="0">
      <alignment horizontal="right" vertical="center"/>
    </xf>
    <xf numFmtId="4" fontId="140" fillId="29" borderId="80" applyNumberFormat="0" applyProtection="0">
      <alignment horizontal="right" vertical="center"/>
    </xf>
    <xf numFmtId="4" fontId="140" fillId="29" borderId="80" applyNumberFormat="0" applyProtection="0">
      <alignment horizontal="right" vertical="center"/>
    </xf>
    <xf numFmtId="4" fontId="140" fillId="29" borderId="80" applyNumberFormat="0" applyProtection="0">
      <alignment horizontal="right" vertical="center"/>
    </xf>
    <xf numFmtId="4" fontId="161" fillId="80" borderId="81" applyNumberFormat="0" applyProtection="0">
      <alignment horizontal="right" vertical="center"/>
    </xf>
    <xf numFmtId="4" fontId="140" fillId="33" borderId="80" applyNumberFormat="0" applyProtection="0">
      <alignment horizontal="right" vertical="center"/>
    </xf>
    <xf numFmtId="4" fontId="140" fillId="33" borderId="80" applyNumberFormat="0" applyProtection="0">
      <alignment horizontal="right" vertical="center"/>
    </xf>
    <xf numFmtId="4" fontId="140" fillId="33" borderId="80" applyNumberFormat="0" applyProtection="0">
      <alignment horizontal="right" vertical="center"/>
    </xf>
    <xf numFmtId="4" fontId="140" fillId="33" borderId="80" applyNumberFormat="0" applyProtection="0">
      <alignment horizontal="right" vertical="center"/>
    </xf>
    <xf numFmtId="4" fontId="140" fillId="33" borderId="80" applyNumberFormat="0" applyProtection="0">
      <alignment horizontal="right" vertical="center"/>
    </xf>
    <xf numFmtId="4" fontId="161" fillId="81" borderId="81" applyNumberFormat="0" applyProtection="0">
      <alignment horizontal="right" vertical="center"/>
    </xf>
    <xf numFmtId="4" fontId="140" fillId="56" borderId="80" applyNumberFormat="0" applyProtection="0">
      <alignment horizontal="right" vertical="center"/>
    </xf>
    <xf numFmtId="4" fontId="140" fillId="56" borderId="80" applyNumberFormat="0" applyProtection="0">
      <alignment horizontal="right" vertical="center"/>
    </xf>
    <xf numFmtId="4" fontId="140" fillId="56" borderId="80" applyNumberFormat="0" applyProtection="0">
      <alignment horizontal="right" vertical="center"/>
    </xf>
    <xf numFmtId="4" fontId="140" fillId="56" borderId="80" applyNumberFormat="0" applyProtection="0">
      <alignment horizontal="right" vertical="center"/>
    </xf>
    <xf numFmtId="4" fontId="140" fillId="56" borderId="80" applyNumberFormat="0" applyProtection="0">
      <alignment horizontal="right" vertical="center"/>
    </xf>
    <xf numFmtId="4" fontId="161" fillId="82" borderId="81" applyNumberFormat="0" applyProtection="0">
      <alignment horizontal="right" vertical="center"/>
    </xf>
    <xf numFmtId="4" fontId="140" fillId="49" borderId="80" applyNumberFormat="0" applyProtection="0">
      <alignment horizontal="right" vertical="center"/>
    </xf>
    <xf numFmtId="4" fontId="140" fillId="49" borderId="80" applyNumberFormat="0" applyProtection="0">
      <alignment horizontal="right" vertical="center"/>
    </xf>
    <xf numFmtId="4" fontId="140" fillId="49" borderId="80" applyNumberFormat="0" applyProtection="0">
      <alignment horizontal="right" vertical="center"/>
    </xf>
    <xf numFmtId="4" fontId="140" fillId="49" borderId="80" applyNumberFormat="0" applyProtection="0">
      <alignment horizontal="right" vertical="center"/>
    </xf>
    <xf numFmtId="4" fontId="140" fillId="49" borderId="80" applyNumberFormat="0" applyProtection="0">
      <alignment horizontal="right" vertical="center"/>
    </xf>
    <xf numFmtId="4" fontId="161" fillId="83" borderId="81" applyNumberFormat="0" applyProtection="0">
      <alignment horizontal="right" vertical="center"/>
    </xf>
    <xf numFmtId="4" fontId="140" fillId="84" borderId="80" applyNumberFormat="0" applyProtection="0">
      <alignment horizontal="right" vertical="center"/>
    </xf>
    <xf numFmtId="4" fontId="140" fillId="84" borderId="80" applyNumberFormat="0" applyProtection="0">
      <alignment horizontal="right" vertical="center"/>
    </xf>
    <xf numFmtId="4" fontId="140" fillId="84" borderId="80" applyNumberFormat="0" applyProtection="0">
      <alignment horizontal="right" vertical="center"/>
    </xf>
    <xf numFmtId="4" fontId="140" fillId="84" borderId="80" applyNumberFormat="0" applyProtection="0">
      <alignment horizontal="right" vertical="center"/>
    </xf>
    <xf numFmtId="4" fontId="140" fillId="84" borderId="80" applyNumberFormat="0" applyProtection="0">
      <alignment horizontal="right" vertical="center"/>
    </xf>
    <xf numFmtId="4" fontId="161" fillId="85" borderId="81" applyNumberFormat="0" applyProtection="0">
      <alignment horizontal="right" vertical="center"/>
    </xf>
    <xf numFmtId="4" fontId="140" fillId="28" borderId="80" applyNumberFormat="0" applyProtection="0">
      <alignment horizontal="right" vertical="center"/>
    </xf>
    <xf numFmtId="4" fontId="140" fillId="28" borderId="80" applyNumberFormat="0" applyProtection="0">
      <alignment horizontal="right" vertical="center"/>
    </xf>
    <xf numFmtId="4" fontId="140" fillId="28" borderId="80" applyNumberFormat="0" applyProtection="0">
      <alignment horizontal="right" vertical="center"/>
    </xf>
    <xf numFmtId="4" fontId="140" fillId="28" borderId="80" applyNumberFormat="0" applyProtection="0">
      <alignment horizontal="right" vertical="center"/>
    </xf>
    <xf numFmtId="4" fontId="140" fillId="28" borderId="80" applyNumberFormat="0" applyProtection="0">
      <alignment horizontal="right" vertical="center"/>
    </xf>
    <xf numFmtId="4" fontId="170" fillId="86" borderId="81" applyNumberFormat="0" applyProtection="0">
      <alignment horizontal="left" vertical="center" indent="1"/>
    </xf>
    <xf numFmtId="4" fontId="140" fillId="87" borderId="71" applyNumberFormat="0" applyProtection="0">
      <alignment horizontal="left" vertical="center" indent="1"/>
    </xf>
    <xf numFmtId="4" fontId="140" fillId="87" borderId="71" applyNumberFormat="0" applyProtection="0">
      <alignment horizontal="left" vertical="center" indent="1"/>
    </xf>
    <xf numFmtId="4" fontId="140" fillId="87" borderId="71" applyNumberFormat="0" applyProtection="0">
      <alignment horizontal="left" vertical="center" indent="1"/>
    </xf>
    <xf numFmtId="4" fontId="140" fillId="87" borderId="71" applyNumberFormat="0" applyProtection="0">
      <alignment horizontal="left" vertical="center" indent="1"/>
    </xf>
    <xf numFmtId="4" fontId="140" fillId="87" borderId="71" applyNumberFormat="0" applyProtection="0">
      <alignment horizontal="left" vertical="center" indent="1"/>
    </xf>
    <xf numFmtId="4" fontId="161" fillId="88" borderId="84" applyNumberFormat="0" applyProtection="0">
      <alignment horizontal="left" vertical="center" indent="1"/>
    </xf>
    <xf numFmtId="4" fontId="143" fillId="89" borderId="71" applyNumberFormat="0" applyProtection="0">
      <alignment horizontal="left" vertical="center" indent="1"/>
    </xf>
    <xf numFmtId="4" fontId="143" fillId="89" borderId="71" applyNumberFormat="0" applyProtection="0">
      <alignment horizontal="left" vertical="center" indent="1"/>
    </xf>
    <xf numFmtId="4" fontId="143" fillId="89" borderId="71" applyNumberFormat="0" applyProtection="0">
      <alignment horizontal="left" vertical="center" indent="1"/>
    </xf>
    <xf numFmtId="4" fontId="143" fillId="89" borderId="71" applyNumberFormat="0" applyProtection="0">
      <alignment horizontal="left" vertical="center" indent="1"/>
    </xf>
    <xf numFmtId="4" fontId="143" fillId="89" borderId="71" applyNumberFormat="0" applyProtection="0">
      <alignment horizontal="left" vertical="center" indent="1"/>
    </xf>
    <xf numFmtId="4" fontId="68" fillId="90" borderId="0" applyNumberFormat="0" applyProtection="0">
      <alignment horizontal="left" vertical="center" indent="1"/>
    </xf>
    <xf numFmtId="4" fontId="143" fillId="89" borderId="71" applyNumberFormat="0" applyProtection="0">
      <alignment horizontal="left" vertical="center" indent="1"/>
    </xf>
    <xf numFmtId="4" fontId="143" fillId="89" borderId="71" applyNumberFormat="0" applyProtection="0">
      <alignment horizontal="left" vertical="center" indent="1"/>
    </xf>
    <xf numFmtId="4" fontId="143" fillId="89" borderId="71" applyNumberFormat="0" applyProtection="0">
      <alignment horizontal="left" vertical="center" indent="1"/>
    </xf>
    <xf numFmtId="4" fontId="143" fillId="89" borderId="71" applyNumberFormat="0" applyProtection="0">
      <alignment horizontal="left" vertical="center" indent="1"/>
    </xf>
    <xf numFmtId="4" fontId="143" fillId="89" borderId="71" applyNumberFormat="0" applyProtection="0">
      <alignment horizontal="left" vertical="center" indent="1"/>
    </xf>
    <xf numFmtId="0" fontId="13" fillId="18" borderId="83" applyNumberFormat="0" applyProtection="0">
      <alignment horizontal="left" vertical="center" indent="1"/>
    </xf>
    <xf numFmtId="4" fontId="140" fillId="91" borderId="80" applyNumberFormat="0" applyProtection="0">
      <alignment horizontal="right" vertical="center"/>
    </xf>
    <xf numFmtId="4" fontId="140" fillId="91" borderId="80" applyNumberFormat="0" applyProtection="0">
      <alignment horizontal="right" vertical="center"/>
    </xf>
    <xf numFmtId="4" fontId="140" fillId="91" borderId="80" applyNumberFormat="0" applyProtection="0">
      <alignment horizontal="right" vertical="center"/>
    </xf>
    <xf numFmtId="4" fontId="140" fillId="91" borderId="80" applyNumberFormat="0" applyProtection="0">
      <alignment horizontal="right" vertical="center"/>
    </xf>
    <xf numFmtId="4" fontId="140" fillId="91" borderId="80" applyNumberFormat="0" applyProtection="0">
      <alignment horizontal="right" vertical="center"/>
    </xf>
    <xf numFmtId="4" fontId="171" fillId="88" borderId="83" applyNumberFormat="0" applyProtection="0">
      <alignment horizontal="left" vertical="center" wrapText="1" indent="1"/>
    </xf>
    <xf numFmtId="4" fontId="140" fillId="92" borderId="71" applyNumberFormat="0" applyProtection="0">
      <alignment horizontal="left" vertical="center" indent="1"/>
    </xf>
    <xf numFmtId="4" fontId="140" fillId="92" borderId="71" applyNumberFormat="0" applyProtection="0">
      <alignment horizontal="left" vertical="center" indent="1"/>
    </xf>
    <xf numFmtId="4" fontId="140" fillId="92" borderId="71" applyNumberFormat="0" applyProtection="0">
      <alignment horizontal="left" vertical="center" indent="1"/>
    </xf>
    <xf numFmtId="4" fontId="140" fillId="92" borderId="71" applyNumberFormat="0" applyProtection="0">
      <alignment horizontal="left" vertical="center" indent="1"/>
    </xf>
    <xf numFmtId="4" fontId="140" fillId="92" borderId="71" applyNumberFormat="0" applyProtection="0">
      <alignment horizontal="left" vertical="center" indent="1"/>
    </xf>
    <xf numFmtId="4" fontId="171" fillId="93" borderId="83" applyNumberFormat="0" applyProtection="0">
      <alignment horizontal="left" vertical="center" wrapText="1" indent="1"/>
    </xf>
    <xf numFmtId="4" fontId="140" fillId="91" borderId="71" applyNumberFormat="0" applyProtection="0">
      <alignment horizontal="left" vertical="center" indent="1"/>
    </xf>
    <xf numFmtId="4" fontId="140" fillId="91" borderId="71" applyNumberFormat="0" applyProtection="0">
      <alignment horizontal="left" vertical="center" indent="1"/>
    </xf>
    <xf numFmtId="4" fontId="140" fillId="91" borderId="71" applyNumberFormat="0" applyProtection="0">
      <alignment horizontal="left" vertical="center" indent="1"/>
    </xf>
    <xf numFmtId="4" fontId="140" fillId="91" borderId="71" applyNumberFormat="0" applyProtection="0">
      <alignment horizontal="left" vertical="center" indent="1"/>
    </xf>
    <xf numFmtId="4" fontId="140" fillId="91" borderId="71" applyNumberFormat="0" applyProtection="0">
      <alignment horizontal="left" vertical="center" indent="1"/>
    </xf>
    <xf numFmtId="0" fontId="13" fillId="94" borderId="83" applyNumberFormat="0" applyProtection="0">
      <alignment horizontal="left" vertical="center" wrapText="1" indent="2"/>
    </xf>
    <xf numFmtId="0" fontId="140" fillId="62" borderId="80" applyNumberFormat="0" applyProtection="0">
      <alignment horizontal="left" vertical="center" indent="1"/>
    </xf>
    <xf numFmtId="0" fontId="140" fillId="62" borderId="80" applyNumberFormat="0" applyProtection="0">
      <alignment horizontal="left" vertical="center" indent="1"/>
    </xf>
    <xf numFmtId="0" fontId="140" fillId="62" borderId="80" applyNumberFormat="0" applyProtection="0">
      <alignment horizontal="left" vertical="center" indent="1"/>
    </xf>
    <xf numFmtId="0" fontId="140" fillId="62" borderId="80" applyNumberFormat="0" applyProtection="0">
      <alignment horizontal="left" vertical="center" indent="1"/>
    </xf>
    <xf numFmtId="0" fontId="140" fillId="62" borderId="80" applyNumberFormat="0" applyProtection="0">
      <alignment horizontal="left" vertical="center" indent="1"/>
    </xf>
    <xf numFmtId="0" fontId="140" fillId="62" borderId="80" applyNumberFormat="0" applyProtection="0">
      <alignment horizontal="left" vertical="center" indent="1"/>
    </xf>
    <xf numFmtId="0" fontId="13" fillId="89" borderId="82" applyNumberFormat="0" applyProtection="0">
      <alignment horizontal="left" vertical="center" indent="1"/>
    </xf>
    <xf numFmtId="0" fontId="172" fillId="93" borderId="83" applyNumberFormat="0" applyProtection="0">
      <alignment horizontal="center" vertical="center" wrapText="1"/>
    </xf>
    <xf numFmtId="0" fontId="116" fillId="89" borderId="82" applyNumberFormat="0" applyProtection="0">
      <alignment horizontal="left" vertical="top" indent="1"/>
    </xf>
    <xf numFmtId="0" fontId="116" fillId="89" borderId="82" applyNumberFormat="0" applyProtection="0">
      <alignment horizontal="left" vertical="top" indent="1"/>
    </xf>
    <xf numFmtId="0" fontId="116" fillId="89" borderId="82" applyNumberFormat="0" applyProtection="0">
      <alignment horizontal="left" vertical="top" indent="1"/>
    </xf>
    <xf numFmtId="0" fontId="116" fillId="89" borderId="82" applyNumberFormat="0" applyProtection="0">
      <alignment horizontal="left" vertical="top" indent="1"/>
    </xf>
    <xf numFmtId="0" fontId="116" fillId="89" borderId="82" applyNumberFormat="0" applyProtection="0">
      <alignment horizontal="left" vertical="top" indent="1"/>
    </xf>
    <xf numFmtId="0" fontId="116" fillId="89" borderId="82" applyNumberFormat="0" applyProtection="0">
      <alignment horizontal="left" vertical="top" indent="1"/>
    </xf>
    <xf numFmtId="0" fontId="116" fillId="89" borderId="82" applyNumberFormat="0" applyProtection="0">
      <alignment horizontal="left" vertical="top" indent="1"/>
    </xf>
    <xf numFmtId="0" fontId="116" fillId="89" borderId="82" applyNumberFormat="0" applyProtection="0">
      <alignment horizontal="left" vertical="top" indent="1"/>
    </xf>
    <xf numFmtId="0" fontId="13" fillId="89" borderId="82" applyNumberFormat="0" applyProtection="0">
      <alignment horizontal="left" vertical="top" indent="1"/>
    </xf>
    <xf numFmtId="0" fontId="13" fillId="95" borderId="83" applyNumberFormat="0" applyProtection="0">
      <alignment horizontal="left" vertical="center" wrapText="1" indent="4"/>
    </xf>
    <xf numFmtId="0" fontId="140" fillId="96" borderId="80" applyNumberFormat="0" applyProtection="0">
      <alignment horizontal="left" vertical="center" indent="1"/>
    </xf>
    <xf numFmtId="0" fontId="140" fillId="96" borderId="80" applyNumberFormat="0" applyProtection="0">
      <alignment horizontal="left" vertical="center" indent="1"/>
    </xf>
    <xf numFmtId="0" fontId="140" fillId="96" borderId="80" applyNumberFormat="0" applyProtection="0">
      <alignment horizontal="left" vertical="center" indent="1"/>
    </xf>
    <xf numFmtId="0" fontId="140" fillId="96" borderId="80" applyNumberFormat="0" applyProtection="0">
      <alignment horizontal="left" vertical="center" indent="1"/>
    </xf>
    <xf numFmtId="0" fontId="140" fillId="96" borderId="80" applyNumberFormat="0" applyProtection="0">
      <alignment horizontal="left" vertical="center" indent="1"/>
    </xf>
    <xf numFmtId="0" fontId="140" fillId="96" borderId="80" applyNumberFormat="0" applyProtection="0">
      <alignment horizontal="left" vertical="center" indent="1"/>
    </xf>
    <xf numFmtId="0" fontId="13" fillId="91" borderId="82" applyNumberFormat="0" applyProtection="0">
      <alignment horizontal="left" vertical="center" indent="1"/>
    </xf>
    <xf numFmtId="0" fontId="172" fillId="97" borderId="83" applyNumberFormat="0" applyProtection="0">
      <alignment horizontal="center" vertical="center" wrapText="1"/>
    </xf>
    <xf numFmtId="0" fontId="116" fillId="91" borderId="82" applyNumberFormat="0" applyProtection="0">
      <alignment horizontal="left" vertical="top" indent="1"/>
    </xf>
    <xf numFmtId="0" fontId="116" fillId="91" borderId="82" applyNumberFormat="0" applyProtection="0">
      <alignment horizontal="left" vertical="top" indent="1"/>
    </xf>
    <xf numFmtId="0" fontId="116" fillId="91" borderId="82" applyNumberFormat="0" applyProtection="0">
      <alignment horizontal="left" vertical="top" indent="1"/>
    </xf>
    <xf numFmtId="0" fontId="116" fillId="91" borderId="82" applyNumberFormat="0" applyProtection="0">
      <alignment horizontal="left" vertical="top" indent="1"/>
    </xf>
    <xf numFmtId="0" fontId="116" fillId="91" borderId="82" applyNumberFormat="0" applyProtection="0">
      <alignment horizontal="left" vertical="top" indent="1"/>
    </xf>
    <xf numFmtId="0" fontId="116" fillId="91" borderId="82" applyNumberFormat="0" applyProtection="0">
      <alignment horizontal="left" vertical="top" indent="1"/>
    </xf>
    <xf numFmtId="0" fontId="116" fillId="91" borderId="82" applyNumberFormat="0" applyProtection="0">
      <alignment horizontal="left" vertical="top" indent="1"/>
    </xf>
    <xf numFmtId="0" fontId="116" fillId="91" borderId="82" applyNumberFormat="0" applyProtection="0">
      <alignment horizontal="left" vertical="top" indent="1"/>
    </xf>
    <xf numFmtId="0" fontId="13" fillId="91" borderId="82" applyNumberFormat="0" applyProtection="0">
      <alignment horizontal="left" vertical="top" indent="1"/>
    </xf>
    <xf numFmtId="0" fontId="13" fillId="98" borderId="83" applyNumberFormat="0" applyProtection="0">
      <alignment horizontal="left" vertical="center" wrapText="1" indent="6"/>
    </xf>
    <xf numFmtId="0" fontId="140" fillId="26" borderId="80" applyNumberFormat="0" applyProtection="0">
      <alignment horizontal="left" vertical="center" indent="1"/>
    </xf>
    <xf numFmtId="0" fontId="140" fillId="26" borderId="80" applyNumberFormat="0" applyProtection="0">
      <alignment horizontal="left" vertical="center" indent="1"/>
    </xf>
    <xf numFmtId="0" fontId="140" fillId="26" borderId="80" applyNumberFormat="0" applyProtection="0">
      <alignment horizontal="left" vertical="center" indent="1"/>
    </xf>
    <xf numFmtId="0" fontId="140" fillId="26" borderId="80" applyNumberFormat="0" applyProtection="0">
      <alignment horizontal="left" vertical="center" indent="1"/>
    </xf>
    <xf numFmtId="0" fontId="140" fillId="26" borderId="80" applyNumberFormat="0" applyProtection="0">
      <alignment horizontal="left" vertical="center" indent="1"/>
    </xf>
    <xf numFmtId="0" fontId="140" fillId="26" borderId="80" applyNumberFormat="0" applyProtection="0">
      <alignment horizontal="left" vertical="center" indent="1"/>
    </xf>
    <xf numFmtId="0" fontId="13" fillId="69" borderId="81" applyNumberFormat="0" applyProtection="0">
      <alignment horizontal="left" vertical="center" indent="1"/>
    </xf>
    <xf numFmtId="0" fontId="116" fillId="26" borderId="82" applyNumberFormat="0" applyProtection="0">
      <alignment horizontal="left" vertical="top" indent="1"/>
    </xf>
    <xf numFmtId="0" fontId="116" fillId="26" borderId="82" applyNumberFormat="0" applyProtection="0">
      <alignment horizontal="left" vertical="top" indent="1"/>
    </xf>
    <xf numFmtId="0" fontId="116" fillId="26" borderId="82" applyNumberFormat="0" applyProtection="0">
      <alignment horizontal="left" vertical="top" indent="1"/>
    </xf>
    <xf numFmtId="0" fontId="116" fillId="26" borderId="82" applyNumberFormat="0" applyProtection="0">
      <alignment horizontal="left" vertical="top" indent="1"/>
    </xf>
    <xf numFmtId="0" fontId="116" fillId="26" borderId="82" applyNumberFormat="0" applyProtection="0">
      <alignment horizontal="left" vertical="top" indent="1"/>
    </xf>
    <xf numFmtId="0" fontId="116" fillId="26" borderId="82" applyNumberFormat="0" applyProtection="0">
      <alignment horizontal="left" vertical="top" indent="1"/>
    </xf>
    <xf numFmtId="0" fontId="116" fillId="26" borderId="82" applyNumberFormat="0" applyProtection="0">
      <alignment horizontal="left" vertical="top" indent="1"/>
    </xf>
    <xf numFmtId="0" fontId="116" fillId="26" borderId="82" applyNumberFormat="0" applyProtection="0">
      <alignment horizontal="left" vertical="top" indent="1"/>
    </xf>
    <xf numFmtId="0" fontId="13" fillId="26" borderId="82" applyNumberFormat="0" applyProtection="0">
      <alignment horizontal="left" vertical="top" indent="1"/>
    </xf>
    <xf numFmtId="0" fontId="13" fillId="0" borderId="83" applyNumberFormat="0" applyProtection="0">
      <alignment horizontal="left" vertical="center" indent="1"/>
    </xf>
    <xf numFmtId="0" fontId="140" fillId="92" borderId="80" applyNumberFormat="0" applyProtection="0">
      <alignment horizontal="left" vertical="center" indent="1"/>
    </xf>
    <xf numFmtId="0" fontId="140" fillId="92" borderId="80" applyNumberFormat="0" applyProtection="0">
      <alignment horizontal="left" vertical="center" indent="1"/>
    </xf>
    <xf numFmtId="0" fontId="140" fillId="92" borderId="80" applyNumberFormat="0" applyProtection="0">
      <alignment horizontal="left" vertical="center" indent="1"/>
    </xf>
    <xf numFmtId="0" fontId="140" fillId="92" borderId="80" applyNumberFormat="0" applyProtection="0">
      <alignment horizontal="left" vertical="center" indent="1"/>
    </xf>
    <xf numFmtId="0" fontId="140" fillId="92" borderId="80" applyNumberFormat="0" applyProtection="0">
      <alignment horizontal="left" vertical="center" indent="1"/>
    </xf>
    <xf numFmtId="0" fontId="140" fillId="92" borderId="80" applyNumberFormat="0" applyProtection="0">
      <alignment horizontal="left" vertical="center" indent="1"/>
    </xf>
    <xf numFmtId="0" fontId="13" fillId="18" borderId="81" applyNumberFormat="0" applyProtection="0">
      <alignment horizontal="left" vertical="center" indent="1"/>
    </xf>
    <xf numFmtId="0" fontId="116" fillId="92" borderId="82" applyNumberFormat="0" applyProtection="0">
      <alignment horizontal="left" vertical="top" indent="1"/>
    </xf>
    <xf numFmtId="0" fontId="116" fillId="92" borderId="82" applyNumberFormat="0" applyProtection="0">
      <alignment horizontal="left" vertical="top" indent="1"/>
    </xf>
    <xf numFmtId="0" fontId="116" fillId="92" borderId="82" applyNumberFormat="0" applyProtection="0">
      <alignment horizontal="left" vertical="top" indent="1"/>
    </xf>
    <xf numFmtId="0" fontId="116" fillId="92" borderId="82" applyNumberFormat="0" applyProtection="0">
      <alignment horizontal="left" vertical="top" indent="1"/>
    </xf>
    <xf numFmtId="0" fontId="116" fillId="92" borderId="82" applyNumberFormat="0" applyProtection="0">
      <alignment horizontal="left" vertical="top" indent="1"/>
    </xf>
    <xf numFmtId="0" fontId="116" fillId="92" borderId="82" applyNumberFormat="0" applyProtection="0">
      <alignment horizontal="left" vertical="top" indent="1"/>
    </xf>
    <xf numFmtId="0" fontId="116" fillId="92" borderId="82" applyNumberFormat="0" applyProtection="0">
      <alignment horizontal="left" vertical="top" indent="1"/>
    </xf>
    <xf numFmtId="0" fontId="116" fillId="92" borderId="82" applyNumberFormat="0" applyProtection="0">
      <alignment horizontal="left" vertical="top" indent="1"/>
    </xf>
    <xf numFmtId="0" fontId="13" fillId="92" borderId="82" applyNumberFormat="0" applyProtection="0">
      <alignment horizontal="left" vertical="top" indent="1"/>
    </xf>
    <xf numFmtId="0" fontId="13" fillId="99" borderId="1" applyNumberFormat="0">
      <protection locked="0"/>
    </xf>
    <xf numFmtId="0" fontId="13" fillId="99" borderId="1" applyNumberFormat="0">
      <protection locked="0"/>
    </xf>
    <xf numFmtId="0" fontId="116" fillId="99" borderId="85" applyNumberFormat="0">
      <protection locked="0"/>
    </xf>
    <xf numFmtId="0" fontId="116" fillId="99" borderId="85" applyNumberFormat="0">
      <protection locked="0"/>
    </xf>
    <xf numFmtId="0" fontId="116" fillId="99" borderId="85" applyNumberFormat="0">
      <protection locked="0"/>
    </xf>
    <xf numFmtId="0" fontId="116" fillId="99" borderId="85" applyNumberFormat="0">
      <protection locked="0"/>
    </xf>
    <xf numFmtId="0" fontId="116" fillId="99" borderId="85" applyNumberFormat="0">
      <protection locked="0"/>
    </xf>
    <xf numFmtId="0" fontId="116" fillId="99" borderId="85" applyNumberFormat="0">
      <protection locked="0"/>
    </xf>
    <xf numFmtId="0" fontId="116" fillId="99" borderId="85" applyNumberFormat="0">
      <protection locked="0"/>
    </xf>
    <xf numFmtId="0" fontId="116" fillId="99" borderId="85" applyNumberFormat="0">
      <protection locked="0"/>
    </xf>
    <xf numFmtId="0" fontId="13" fillId="99" borderId="1" applyNumberFormat="0">
      <protection locked="0"/>
    </xf>
    <xf numFmtId="0" fontId="173" fillId="89" borderId="86" applyBorder="0"/>
    <xf numFmtId="4" fontId="161" fillId="71" borderId="81" applyNumberFormat="0" applyProtection="0">
      <alignment vertical="center"/>
    </xf>
    <xf numFmtId="4" fontId="174" fillId="74" borderId="82" applyNumberFormat="0" applyProtection="0">
      <alignment vertical="center"/>
    </xf>
    <xf numFmtId="4" fontId="174" fillId="74" borderId="82" applyNumberFormat="0" applyProtection="0">
      <alignment vertical="center"/>
    </xf>
    <xf numFmtId="4" fontId="174" fillId="74" borderId="82" applyNumberFormat="0" applyProtection="0">
      <alignment vertical="center"/>
    </xf>
    <xf numFmtId="4" fontId="174" fillId="74" borderId="82" applyNumberFormat="0" applyProtection="0">
      <alignment vertical="center"/>
    </xf>
    <xf numFmtId="4" fontId="174" fillId="74" borderId="82" applyNumberFormat="0" applyProtection="0">
      <alignment vertical="center"/>
    </xf>
    <xf numFmtId="4" fontId="168" fillId="71" borderId="81" applyNumberFormat="0" applyProtection="0">
      <alignment vertical="center"/>
    </xf>
    <xf numFmtId="4" fontId="157" fillId="71" borderId="1" applyNumberFormat="0" applyProtection="0">
      <alignment vertical="center"/>
    </xf>
    <xf numFmtId="4" fontId="157" fillId="71" borderId="1" applyNumberFormat="0" applyProtection="0">
      <alignment vertical="center"/>
    </xf>
    <xf numFmtId="4" fontId="157" fillId="71" borderId="1" applyNumberFormat="0" applyProtection="0">
      <alignment vertical="center"/>
    </xf>
    <xf numFmtId="4" fontId="157" fillId="71" borderId="1" applyNumberFormat="0" applyProtection="0">
      <alignment vertical="center"/>
    </xf>
    <xf numFmtId="4" fontId="157" fillId="71" borderId="1" applyNumberFormat="0" applyProtection="0">
      <alignment vertical="center"/>
    </xf>
    <xf numFmtId="4" fontId="157" fillId="71" borderId="1" applyNumberFormat="0" applyProtection="0">
      <alignment vertical="center"/>
    </xf>
    <xf numFmtId="4" fontId="157" fillId="71" borderId="1" applyNumberFormat="0" applyProtection="0">
      <alignment vertical="center"/>
    </xf>
    <xf numFmtId="4" fontId="157" fillId="71" borderId="1" applyNumberFormat="0" applyProtection="0">
      <alignment vertical="center"/>
    </xf>
    <xf numFmtId="4" fontId="157" fillId="71" borderId="1" applyNumberFormat="0" applyProtection="0">
      <alignment vertical="center"/>
    </xf>
    <xf numFmtId="4" fontId="157" fillId="71" borderId="1" applyNumberFormat="0" applyProtection="0">
      <alignment vertical="center"/>
    </xf>
    <xf numFmtId="4" fontId="161" fillId="71" borderId="81" applyNumberFormat="0" applyProtection="0">
      <alignment horizontal="left" vertical="center" indent="1"/>
    </xf>
    <xf numFmtId="4" fontId="174" fillId="62" borderId="82" applyNumberFormat="0" applyProtection="0">
      <alignment horizontal="left" vertical="center" indent="1"/>
    </xf>
    <xf numFmtId="4" fontId="174" fillId="62" borderId="82" applyNumberFormat="0" applyProtection="0">
      <alignment horizontal="left" vertical="center" indent="1"/>
    </xf>
    <xf numFmtId="4" fontId="174" fillId="62" borderId="82" applyNumberFormat="0" applyProtection="0">
      <alignment horizontal="left" vertical="center" indent="1"/>
    </xf>
    <xf numFmtId="4" fontId="174" fillId="62" borderId="82" applyNumberFormat="0" applyProtection="0">
      <alignment horizontal="left" vertical="center" indent="1"/>
    </xf>
    <xf numFmtId="4" fontId="174" fillId="62" borderId="82" applyNumberFormat="0" applyProtection="0">
      <alignment horizontal="left" vertical="center" indent="1"/>
    </xf>
    <xf numFmtId="4" fontId="161" fillId="71" borderId="81" applyNumberFormat="0" applyProtection="0">
      <alignment horizontal="left" vertical="center" indent="1"/>
    </xf>
    <xf numFmtId="0" fontId="174" fillId="74" borderId="82" applyNumberFormat="0" applyProtection="0">
      <alignment horizontal="left" vertical="top" indent="1"/>
    </xf>
    <xf numFmtId="0" fontId="174" fillId="74" borderId="82" applyNumberFormat="0" applyProtection="0">
      <alignment horizontal="left" vertical="top" indent="1"/>
    </xf>
    <xf numFmtId="0" fontId="174" fillId="74" borderId="82" applyNumberFormat="0" applyProtection="0">
      <alignment horizontal="left" vertical="top" indent="1"/>
    </xf>
    <xf numFmtId="0" fontId="174" fillId="74" borderId="82" applyNumberFormat="0" applyProtection="0">
      <alignment horizontal="left" vertical="top" indent="1"/>
    </xf>
    <xf numFmtId="0" fontId="174" fillId="74" borderId="82" applyNumberFormat="0" applyProtection="0">
      <alignment horizontal="left" vertical="top" indent="1"/>
    </xf>
    <xf numFmtId="4" fontId="161" fillId="88" borderId="81" applyNumberFormat="0" applyProtection="0">
      <alignment horizontal="right" vertical="center"/>
    </xf>
    <xf numFmtId="4" fontId="140" fillId="0" borderId="80" applyNumberFormat="0" applyProtection="0">
      <alignment horizontal="right" vertical="center"/>
    </xf>
    <xf numFmtId="4" fontId="140" fillId="0" borderId="80" applyNumberFormat="0" applyProtection="0">
      <alignment horizontal="right" vertical="center"/>
    </xf>
    <xf numFmtId="4" fontId="140" fillId="0" borderId="80" applyNumberFormat="0" applyProtection="0">
      <alignment horizontal="right" vertical="center"/>
    </xf>
    <xf numFmtId="4" fontId="140" fillId="0" borderId="80" applyNumberFormat="0" applyProtection="0">
      <alignment horizontal="right" vertical="center"/>
    </xf>
    <xf numFmtId="4" fontId="140" fillId="0" borderId="80" applyNumberFormat="0" applyProtection="0">
      <alignment horizontal="right" vertical="center"/>
    </xf>
    <xf numFmtId="4" fontId="140" fillId="0" borderId="80" applyNumberFormat="0" applyProtection="0">
      <alignment horizontal="right" vertical="center"/>
    </xf>
    <xf numFmtId="4" fontId="168" fillId="88" borderId="81" applyNumberFormat="0" applyProtection="0">
      <alignment horizontal="right" vertical="center"/>
    </xf>
    <xf numFmtId="4" fontId="157" fillId="4" borderId="80" applyNumberFormat="0" applyProtection="0">
      <alignment horizontal="right" vertical="center"/>
    </xf>
    <xf numFmtId="4" fontId="157" fillId="4" borderId="80" applyNumberFormat="0" applyProtection="0">
      <alignment horizontal="right" vertical="center"/>
    </xf>
    <xf numFmtId="4" fontId="157" fillId="4" borderId="80" applyNumberFormat="0" applyProtection="0">
      <alignment horizontal="right" vertical="center"/>
    </xf>
    <xf numFmtId="4" fontId="157" fillId="4" borderId="80" applyNumberFormat="0" applyProtection="0">
      <alignment horizontal="right" vertical="center"/>
    </xf>
    <xf numFmtId="4" fontId="157" fillId="4" borderId="80" applyNumberFormat="0" applyProtection="0">
      <alignment horizontal="right" vertical="center"/>
    </xf>
    <xf numFmtId="0" fontId="13" fillId="18" borderId="87" applyNumberFormat="0" applyProtection="0">
      <alignment horizontal="left" vertical="center" wrapText="1"/>
    </xf>
    <xf numFmtId="4" fontId="140" fillId="32" borderId="80" applyNumberFormat="0" applyProtection="0">
      <alignment horizontal="left" vertical="center" indent="1"/>
    </xf>
    <xf numFmtId="4" fontId="140" fillId="32" borderId="80" applyNumberFormat="0" applyProtection="0">
      <alignment horizontal="left" vertical="center" indent="1"/>
    </xf>
    <xf numFmtId="4" fontId="140" fillId="32" borderId="80" applyNumberFormat="0" applyProtection="0">
      <alignment horizontal="left" vertical="center" indent="1"/>
    </xf>
    <xf numFmtId="4" fontId="140" fillId="32" borderId="80" applyNumberFormat="0" applyProtection="0">
      <alignment horizontal="left" vertical="center" indent="1"/>
    </xf>
    <xf numFmtId="4" fontId="140" fillId="32" borderId="80" applyNumberFormat="0" applyProtection="0">
      <alignment horizontal="left" vertical="center" indent="1"/>
    </xf>
    <xf numFmtId="4" fontId="140" fillId="32" borderId="80" applyNumberFormat="0" applyProtection="0">
      <alignment horizontal="left" vertical="center" indent="1"/>
    </xf>
    <xf numFmtId="4" fontId="140" fillId="32" borderId="80" applyNumberFormat="0" applyProtection="0">
      <alignment horizontal="left" vertical="center" indent="1"/>
    </xf>
    <xf numFmtId="0" fontId="172" fillId="25" borderId="83" applyNumberFormat="0" applyProtection="0">
      <alignment horizontal="center" vertical="center"/>
    </xf>
    <xf numFmtId="0" fontId="174" fillId="91" borderId="82" applyNumberFormat="0" applyProtection="0">
      <alignment horizontal="left" vertical="top" indent="1"/>
    </xf>
    <xf numFmtId="0" fontId="174" fillId="91" borderId="82" applyNumberFormat="0" applyProtection="0">
      <alignment horizontal="left" vertical="top" indent="1"/>
    </xf>
    <xf numFmtId="0" fontId="174" fillId="91" borderId="82" applyNumberFormat="0" applyProtection="0">
      <alignment horizontal="left" vertical="top" indent="1"/>
    </xf>
    <xf numFmtId="0" fontId="174" fillId="91" borderId="82" applyNumberFormat="0" applyProtection="0">
      <alignment horizontal="left" vertical="top" indent="1"/>
    </xf>
    <xf numFmtId="0" fontId="174" fillId="91" borderId="82" applyNumberFormat="0" applyProtection="0">
      <alignment horizontal="left" vertical="top" indent="1"/>
    </xf>
    <xf numFmtId="0" fontId="175" fillId="0" borderId="0" applyNumberFormat="0" applyProtection="0"/>
    <xf numFmtId="4" fontId="157" fillId="100" borderId="71" applyNumberFormat="0" applyProtection="0">
      <alignment horizontal="left" vertical="center" indent="1"/>
    </xf>
    <xf numFmtId="4" fontId="157" fillId="100" borderId="71" applyNumberFormat="0" applyProtection="0">
      <alignment horizontal="left" vertical="center" indent="1"/>
    </xf>
    <xf numFmtId="4" fontId="157" fillId="100" borderId="71" applyNumberFormat="0" applyProtection="0">
      <alignment horizontal="left" vertical="center" indent="1"/>
    </xf>
    <xf numFmtId="4" fontId="157" fillId="100" borderId="71" applyNumberFormat="0" applyProtection="0">
      <alignment horizontal="left" vertical="center" indent="1"/>
    </xf>
    <xf numFmtId="4" fontId="157" fillId="100" borderId="71" applyNumberFormat="0" applyProtection="0">
      <alignment horizontal="left" vertical="center" indent="1"/>
    </xf>
    <xf numFmtId="0" fontId="140" fillId="101" borderId="1"/>
    <xf numFmtId="0" fontId="140" fillId="101" borderId="1"/>
    <xf numFmtId="4" fontId="167" fillId="88" borderId="81" applyNumberFormat="0" applyProtection="0">
      <alignment horizontal="right" vertical="center"/>
    </xf>
    <xf numFmtId="4" fontId="157" fillId="99" borderId="80" applyNumberFormat="0" applyProtection="0">
      <alignment horizontal="right" vertical="center"/>
    </xf>
    <xf numFmtId="4" fontId="157" fillId="99" borderId="80" applyNumberFormat="0" applyProtection="0">
      <alignment horizontal="right" vertical="center"/>
    </xf>
    <xf numFmtId="4" fontId="157" fillId="99" borderId="80" applyNumberFormat="0" applyProtection="0">
      <alignment horizontal="right" vertical="center"/>
    </xf>
    <xf numFmtId="4" fontId="157" fillId="99" borderId="80" applyNumberFormat="0" applyProtection="0">
      <alignment horizontal="right" vertical="center"/>
    </xf>
    <xf numFmtId="4" fontId="157" fillId="99" borderId="80" applyNumberFormat="0" applyProtection="0">
      <alignment horizontal="right" vertical="center"/>
    </xf>
    <xf numFmtId="0" fontId="157" fillId="0" borderId="0" applyNumberFormat="0" applyFill="0" applyBorder="0" applyAlignment="0" applyProtection="0"/>
    <xf numFmtId="0" fontId="55" fillId="0" borderId="0"/>
    <xf numFmtId="2" fontId="176" fillId="102" borderId="88" applyProtection="0"/>
    <xf numFmtId="2" fontId="176" fillId="102" borderId="88" applyProtection="0"/>
    <xf numFmtId="2" fontId="177" fillId="0" borderId="0" applyFill="0" applyBorder="0" applyProtection="0"/>
    <xf numFmtId="2" fontId="156" fillId="0" borderId="0" applyFill="0" applyBorder="0" applyProtection="0"/>
    <xf numFmtId="2" fontId="156" fillId="103" borderId="88" applyProtection="0"/>
    <xf numFmtId="2" fontId="156" fillId="104" borderId="88" applyProtection="0"/>
    <xf numFmtId="2" fontId="156" fillId="105" borderId="88" applyProtection="0"/>
    <xf numFmtId="2" fontId="156" fillId="105" borderId="88" applyProtection="0">
      <alignment horizontal="center"/>
    </xf>
    <xf numFmtId="2" fontId="156" fillId="104" borderId="88" applyProtection="0">
      <alignment horizontal="center"/>
    </xf>
    <xf numFmtId="49" fontId="161" fillId="0" borderId="0" applyFill="0" applyBorder="0" applyAlignment="0"/>
    <xf numFmtId="200" fontId="161" fillId="0" borderId="0" applyFill="0" applyBorder="0" applyAlignment="0"/>
    <xf numFmtId="201" fontId="161" fillId="0" borderId="0" applyFill="0" applyBorder="0" applyAlignment="0"/>
    <xf numFmtId="0" fontId="157" fillId="0" borderId="71">
      <alignment horizontal="left" vertical="top" wrapText="1"/>
    </xf>
    <xf numFmtId="0" fontId="126" fillId="0" borderId="0" applyNumberFormat="0" applyFill="0" applyBorder="0" applyAlignment="0" applyProtection="0"/>
    <xf numFmtId="0" fontId="124" fillId="0" borderId="89" applyNumberFormat="0" applyFill="0" applyAlignment="0" applyProtection="0"/>
    <xf numFmtId="179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7" fillId="0" borderId="0" applyFont="0" applyFill="0" applyBorder="0" applyAlignment="0" applyProtection="0"/>
    <xf numFmtId="178" fontId="137" fillId="0" borderId="0" applyFont="0" applyFill="0" applyBorder="0" applyAlignment="0" applyProtection="0"/>
    <xf numFmtId="0" fontId="131" fillId="0" borderId="0" applyNumberFormat="0" applyFill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42" borderId="0" applyNumberFormat="0" applyBorder="0" applyAlignment="0" applyProtection="0"/>
    <xf numFmtId="0" fontId="117" fillId="42" borderId="0" applyNumberFormat="0" applyBorder="0" applyAlignment="0" applyProtection="0"/>
    <xf numFmtId="0" fontId="117" fillId="49" borderId="0" applyNumberFormat="0" applyBorder="0" applyAlignment="0" applyProtection="0"/>
    <xf numFmtId="0" fontId="117" fillId="49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2" borderId="0" applyNumberFormat="0" applyBorder="0" applyAlignment="0" applyProtection="0"/>
    <xf numFmtId="0" fontId="117" fillId="32" borderId="0" applyNumberFormat="0" applyBorder="0" applyAlignment="0" applyProtection="0"/>
    <xf numFmtId="0" fontId="117" fillId="56" borderId="0" applyNumberFormat="0" applyBorder="0" applyAlignment="0" applyProtection="0"/>
    <xf numFmtId="0" fontId="117" fillId="56" borderId="0" applyNumberFormat="0" applyBorder="0" applyAlignment="0" applyProtection="0"/>
    <xf numFmtId="184" fontId="134" fillId="0" borderId="90">
      <protection locked="0"/>
    </xf>
    <xf numFmtId="0" fontId="118" fillId="25" borderId="70" applyNumberFormat="0" applyAlignment="0" applyProtection="0"/>
    <xf numFmtId="0" fontId="118" fillId="25" borderId="70" applyNumberFormat="0" applyAlignment="0" applyProtection="0"/>
    <xf numFmtId="0" fontId="119" fillId="62" borderId="81" applyNumberFormat="0" applyAlignment="0" applyProtection="0"/>
    <xf numFmtId="0" fontId="119" fillId="62" borderId="81" applyNumberFormat="0" applyAlignment="0" applyProtection="0"/>
    <xf numFmtId="0" fontId="120" fillId="62" borderId="70" applyNumberFormat="0" applyAlignment="0" applyProtection="0"/>
    <xf numFmtId="0" fontId="120" fillId="62" borderId="70" applyNumberFormat="0" applyAlignment="0" applyProtection="0"/>
    <xf numFmtId="0" fontId="182" fillId="0" borderId="0" applyNumberFormat="0" applyFill="0" applyBorder="0" applyAlignment="0" applyProtection="0">
      <alignment vertical="top"/>
      <protection locked="0"/>
    </xf>
    <xf numFmtId="0" fontId="149" fillId="0" borderId="0" applyBorder="0">
      <alignment horizontal="center" vertical="center" wrapText="1"/>
    </xf>
    <xf numFmtId="0" fontId="121" fillId="0" borderId="74" applyNumberFormat="0" applyFill="0" applyAlignment="0" applyProtection="0"/>
    <xf numFmtId="0" fontId="121" fillId="0" borderId="74" applyNumberFormat="0" applyFill="0" applyAlignment="0" applyProtection="0"/>
    <xf numFmtId="0" fontId="122" fillId="0" borderId="75" applyNumberFormat="0" applyFill="0" applyAlignment="0" applyProtection="0"/>
    <xf numFmtId="0" fontId="122" fillId="0" borderId="75" applyNumberFormat="0" applyFill="0" applyAlignment="0" applyProtection="0"/>
    <xf numFmtId="0" fontId="123" fillId="0" borderId="76" applyNumberFormat="0" applyFill="0" applyAlignment="0" applyProtection="0"/>
    <xf numFmtId="0" fontId="123" fillId="0" borderId="76" applyNumberFormat="0" applyFill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50" fillId="0" borderId="12" applyBorder="0">
      <alignment horizontal="center" vertical="center" wrapText="1"/>
    </xf>
    <xf numFmtId="184" fontId="151" fillId="106" borderId="90"/>
    <xf numFmtId="4" fontId="152" fillId="70" borderId="1" applyBorder="0">
      <alignment horizontal="right"/>
    </xf>
    <xf numFmtId="0" fontId="124" fillId="0" borderId="89" applyNumberFormat="0" applyFill="0" applyAlignment="0" applyProtection="0"/>
    <xf numFmtId="0" fontId="124" fillId="0" borderId="89" applyNumberFormat="0" applyFill="0" applyAlignment="0" applyProtection="0"/>
    <xf numFmtId="0" fontId="125" fillId="63" borderId="72" applyNumberFormat="0" applyAlignment="0" applyProtection="0"/>
    <xf numFmtId="0" fontId="125" fillId="63" borderId="72" applyNumberFormat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7" fillId="72" borderId="0" applyNumberFormat="0" applyBorder="0" applyAlignment="0" applyProtection="0"/>
    <xf numFmtId="0" fontId="127" fillId="72" borderId="0" applyNumberFormat="0" applyBorder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3" fillId="0" borderId="0"/>
    <xf numFmtId="0" fontId="46" fillId="0" borderId="0"/>
    <xf numFmtId="0" fontId="46" fillId="0" borderId="0"/>
    <xf numFmtId="0" fontId="75" fillId="0" borderId="0"/>
    <xf numFmtId="0" fontId="75" fillId="0" borderId="0"/>
    <xf numFmtId="0" fontId="75" fillId="0" borderId="0"/>
    <xf numFmtId="0" fontId="13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78" fillId="0" borderId="0"/>
    <xf numFmtId="0" fontId="46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6" fillId="0" borderId="0"/>
    <xf numFmtId="0" fontId="75" fillId="0" borderId="0"/>
    <xf numFmtId="168" fontId="55" fillId="0" borderId="0"/>
    <xf numFmtId="0" fontId="143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" fillId="0" borderId="0"/>
    <xf numFmtId="0" fontId="46" fillId="0" borderId="0"/>
    <xf numFmtId="0" fontId="75" fillId="0" borderId="0"/>
    <xf numFmtId="0" fontId="75" fillId="0" borderId="0"/>
    <xf numFmtId="0" fontId="7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" fillId="74" borderId="79" applyNumberFormat="0" applyFont="0" applyAlignment="0" applyProtection="0"/>
    <xf numFmtId="0" fontId="46" fillId="74" borderId="79" applyNumberFormat="0" applyFont="0" applyAlignment="0" applyProtection="0"/>
    <xf numFmtId="9" fontId="46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7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80" fillId="0" borderId="91"/>
    <xf numFmtId="0" fontId="130" fillId="0" borderId="77" applyNumberFormat="0" applyFill="0" applyAlignment="0" applyProtection="0"/>
    <xf numFmtId="0" fontId="130" fillId="0" borderId="77" applyNumberFormat="0" applyFill="0" applyAlignment="0" applyProtection="0"/>
    <xf numFmtId="0" fontId="153" fillId="0" borderId="0" applyNumberFormat="0" applyFont="0" applyBorder="0" applyAlignment="0">
      <alignment horizontal="center"/>
    </xf>
    <xf numFmtId="0" fontId="51" fillId="0" borderId="0"/>
    <xf numFmtId="0" fontId="133" fillId="0" borderId="0"/>
    <xf numFmtId="188" fontId="116" fillId="0" borderId="0">
      <alignment vertical="top"/>
    </xf>
    <xf numFmtId="0" fontId="133" fillId="0" borderId="0"/>
    <xf numFmtId="0" fontId="133" fillId="0" borderId="0"/>
    <xf numFmtId="0" fontId="133" fillId="0" borderId="0"/>
    <xf numFmtId="0" fontId="133" fillId="0" borderId="0"/>
    <xf numFmtId="0" fontId="51" fillId="0" borderId="0"/>
    <xf numFmtId="0" fontId="134" fillId="0" borderId="56" applyBorder="0" applyAlignment="0">
      <alignment horizontal="left"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182" fontId="46" fillId="0" borderId="0" applyFont="0" applyFill="0" applyBorder="0" applyAlignment="0" applyProtection="0"/>
    <xf numFmtId="189" fontId="46" fillId="0" borderId="0" applyFont="0" applyFill="0" applyBorder="0" applyAlignment="0" applyProtection="0"/>
    <xf numFmtId="181" fontId="1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154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181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1" fontId="13" fillId="0" borderId="0" applyFont="0" applyFill="0" applyBorder="0" applyAlignment="0" applyProtection="0"/>
    <xf numFmtId="176" fontId="46" fillId="0" borderId="0" applyFont="0" applyFill="0" applyBorder="0" applyAlignment="0" applyProtection="0"/>
    <xf numFmtId="4" fontId="152" fillId="107" borderId="0" applyFont="0" applyBorder="0">
      <alignment horizontal="right"/>
    </xf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7" fillId="0" borderId="0"/>
    <xf numFmtId="0" fontId="10" fillId="0" borderId="0"/>
    <xf numFmtId="0" fontId="6" fillId="0" borderId="0"/>
    <xf numFmtId="0" fontId="140" fillId="96" borderId="111" applyNumberFormat="0" applyProtection="0">
      <alignment horizontal="left" vertical="center" indent="1"/>
    </xf>
    <xf numFmtId="0" fontId="116" fillId="89" borderId="113" applyNumberFormat="0" applyProtection="0">
      <alignment horizontal="left" vertical="top" indent="1"/>
    </xf>
    <xf numFmtId="0" fontId="116" fillId="89" borderId="113" applyNumberFormat="0" applyProtection="0">
      <alignment horizontal="left" vertical="top" indent="1"/>
    </xf>
    <xf numFmtId="0" fontId="116" fillId="89" borderId="113" applyNumberFormat="0" applyProtection="0">
      <alignment horizontal="left" vertical="top" indent="1"/>
    </xf>
    <xf numFmtId="0" fontId="116" fillId="89" borderId="113" applyNumberFormat="0" applyProtection="0">
      <alignment horizontal="left" vertical="top" indent="1"/>
    </xf>
    <xf numFmtId="0" fontId="116" fillId="89" borderId="113" applyNumberFormat="0" applyProtection="0">
      <alignment horizontal="left" vertical="top" indent="1"/>
    </xf>
    <xf numFmtId="0" fontId="156" fillId="18" borderId="93" applyNumberFormat="0">
      <alignment readingOrder="1"/>
      <protection locked="0"/>
    </xf>
    <xf numFmtId="0" fontId="116" fillId="89" borderId="113" applyNumberFormat="0" applyProtection="0">
      <alignment horizontal="left" vertical="top" indent="1"/>
    </xf>
    <xf numFmtId="0" fontId="116" fillId="89" borderId="113" applyNumberFormat="0" applyProtection="0">
      <alignment horizontal="left" vertical="top" indent="1"/>
    </xf>
    <xf numFmtId="0" fontId="116" fillId="89" borderId="113" applyNumberFormat="0" applyProtection="0">
      <alignment horizontal="left" vertical="top" indent="1"/>
    </xf>
    <xf numFmtId="0" fontId="140" fillId="62" borderId="111" applyNumberFormat="0" applyProtection="0">
      <alignment horizontal="left" vertical="center" indent="1"/>
    </xf>
    <xf numFmtId="0" fontId="140" fillId="62" borderId="111" applyNumberFormat="0" applyProtection="0">
      <alignment horizontal="left" vertical="center" indent="1"/>
    </xf>
    <xf numFmtId="0" fontId="140" fillId="62" borderId="111" applyNumberFormat="0" applyProtection="0">
      <alignment horizontal="left" vertical="center" indent="1"/>
    </xf>
    <xf numFmtId="0" fontId="140" fillId="62" borderId="111" applyNumberFormat="0" applyProtection="0">
      <alignment horizontal="left" vertical="center" indent="1"/>
    </xf>
    <xf numFmtId="0" fontId="140" fillId="62" borderId="111" applyNumberFormat="0" applyProtection="0">
      <alignment horizontal="left" vertical="center" indent="1"/>
    </xf>
    <xf numFmtId="0" fontId="140" fillId="62" borderId="111" applyNumberFormat="0" applyProtection="0">
      <alignment horizontal="left" vertical="center" indent="1"/>
    </xf>
    <xf numFmtId="4" fontId="140" fillId="91" borderId="108" applyNumberFormat="0" applyProtection="0">
      <alignment horizontal="left" vertical="center" indent="1"/>
    </xf>
    <xf numFmtId="4" fontId="140" fillId="91" borderId="108" applyNumberFormat="0" applyProtection="0">
      <alignment horizontal="left" vertical="center" indent="1"/>
    </xf>
    <xf numFmtId="4" fontId="140" fillId="91" borderId="108" applyNumberFormat="0" applyProtection="0">
      <alignment horizontal="left" vertical="center" indent="1"/>
    </xf>
    <xf numFmtId="4" fontId="140" fillId="91" borderId="108" applyNumberFormat="0" applyProtection="0">
      <alignment horizontal="left" vertical="center" indent="1"/>
    </xf>
    <xf numFmtId="4" fontId="140" fillId="91" borderId="108" applyNumberFormat="0" applyProtection="0">
      <alignment horizontal="left" vertical="center" indent="1"/>
    </xf>
    <xf numFmtId="4" fontId="140" fillId="92" borderId="108" applyNumberFormat="0" applyProtection="0">
      <alignment horizontal="left" vertical="center" indent="1"/>
    </xf>
    <xf numFmtId="4" fontId="140" fillId="92" borderId="108" applyNumberFormat="0" applyProtection="0">
      <alignment horizontal="left" vertical="center" indent="1"/>
    </xf>
    <xf numFmtId="4" fontId="140" fillId="92" borderId="108" applyNumberFormat="0" applyProtection="0">
      <alignment horizontal="left" vertical="center" indent="1"/>
    </xf>
    <xf numFmtId="4" fontId="140" fillId="92" borderId="108" applyNumberFormat="0" applyProtection="0">
      <alignment horizontal="left" vertical="center" indent="1"/>
    </xf>
    <xf numFmtId="4" fontId="140" fillId="92" borderId="108" applyNumberFormat="0" applyProtection="0">
      <alignment horizontal="left" vertical="center" indent="1"/>
    </xf>
    <xf numFmtId="4" fontId="140" fillId="91" borderId="111" applyNumberFormat="0" applyProtection="0">
      <alignment horizontal="right" vertical="center"/>
    </xf>
    <xf numFmtId="4" fontId="140" fillId="91" borderId="111" applyNumberFormat="0" applyProtection="0">
      <alignment horizontal="right" vertical="center"/>
    </xf>
    <xf numFmtId="4" fontId="140" fillId="91" borderId="111" applyNumberFormat="0" applyProtection="0">
      <alignment horizontal="right" vertical="center"/>
    </xf>
    <xf numFmtId="4" fontId="140" fillId="91" borderId="111" applyNumberFormat="0" applyProtection="0">
      <alignment horizontal="right" vertical="center"/>
    </xf>
    <xf numFmtId="4" fontId="140" fillId="91" borderId="111" applyNumberFormat="0" applyProtection="0">
      <alignment horizontal="right" vertical="center"/>
    </xf>
    <xf numFmtId="4" fontId="143" fillId="89" borderId="108" applyNumberFormat="0" applyProtection="0">
      <alignment horizontal="left" vertical="center" indent="1"/>
    </xf>
    <xf numFmtId="4" fontId="143" fillId="89" borderId="108" applyNumberFormat="0" applyProtection="0">
      <alignment horizontal="left" vertical="center" indent="1"/>
    </xf>
    <xf numFmtId="4" fontId="143" fillId="89" borderId="108" applyNumberFormat="0" applyProtection="0">
      <alignment horizontal="left" vertical="center" indent="1"/>
    </xf>
    <xf numFmtId="4" fontId="143" fillId="89" borderId="108" applyNumberFormat="0" applyProtection="0">
      <alignment horizontal="left" vertical="center" indent="1"/>
    </xf>
    <xf numFmtId="4" fontId="143" fillId="89" borderId="108" applyNumberFormat="0" applyProtection="0">
      <alignment horizontal="left" vertical="center" indent="1"/>
    </xf>
    <xf numFmtId="4" fontId="143" fillId="89" borderId="108" applyNumberFormat="0" applyProtection="0">
      <alignment horizontal="left" vertical="center" indent="1"/>
    </xf>
    <xf numFmtId="4" fontId="143" fillId="89" borderId="108" applyNumberFormat="0" applyProtection="0">
      <alignment horizontal="left" vertical="center" indent="1"/>
    </xf>
    <xf numFmtId="4" fontId="143" fillId="89" borderId="108" applyNumberFormat="0" applyProtection="0">
      <alignment horizontal="left" vertical="center" indent="1"/>
    </xf>
    <xf numFmtId="4" fontId="143" fillId="89" borderId="108" applyNumberFormat="0" applyProtection="0">
      <alignment horizontal="left" vertical="center" indent="1"/>
    </xf>
    <xf numFmtId="4" fontId="143" fillId="89" borderId="108" applyNumberFormat="0" applyProtection="0">
      <alignment horizontal="left" vertical="center" indent="1"/>
    </xf>
    <xf numFmtId="4" fontId="140" fillId="87" borderId="108" applyNumberFormat="0" applyProtection="0">
      <alignment horizontal="left" vertical="center" indent="1"/>
    </xf>
    <xf numFmtId="4" fontId="140" fillId="87" borderId="108" applyNumberFormat="0" applyProtection="0">
      <alignment horizontal="left" vertical="center" indent="1"/>
    </xf>
    <xf numFmtId="4" fontId="140" fillId="87" borderId="108" applyNumberFormat="0" applyProtection="0">
      <alignment horizontal="left" vertical="center" indent="1"/>
    </xf>
    <xf numFmtId="4" fontId="140" fillId="87" borderId="108" applyNumberFormat="0" applyProtection="0">
      <alignment horizontal="left" vertical="center" indent="1"/>
    </xf>
    <xf numFmtId="4" fontId="140" fillId="87" borderId="108" applyNumberFormat="0" applyProtection="0">
      <alignment horizontal="left" vertical="center" indent="1"/>
    </xf>
    <xf numFmtId="4" fontId="140" fillId="28" borderId="111" applyNumberFormat="0" applyProtection="0">
      <alignment horizontal="right" vertical="center"/>
    </xf>
    <xf numFmtId="4" fontId="170" fillId="86" borderId="112" applyNumberFormat="0" applyProtection="0">
      <alignment horizontal="left" vertical="center" indent="1"/>
    </xf>
    <xf numFmtId="4" fontId="140" fillId="28" borderId="111" applyNumberFormat="0" applyProtection="0">
      <alignment horizontal="right" vertical="center"/>
    </xf>
    <xf numFmtId="4" fontId="140" fillId="28" borderId="111" applyNumberFormat="0" applyProtection="0">
      <alignment horizontal="right" vertical="center"/>
    </xf>
    <xf numFmtId="4" fontId="140" fillId="28" borderId="111" applyNumberFormat="0" applyProtection="0">
      <alignment horizontal="right" vertical="center"/>
    </xf>
    <xf numFmtId="4" fontId="140" fillId="28" borderId="111" applyNumberFormat="0" applyProtection="0">
      <alignment horizontal="right" vertical="center"/>
    </xf>
    <xf numFmtId="4" fontId="140" fillId="84" borderId="111" applyNumberFormat="0" applyProtection="0">
      <alignment horizontal="right" vertical="center"/>
    </xf>
    <xf numFmtId="4" fontId="161" fillId="85" borderId="112" applyNumberFormat="0" applyProtection="0">
      <alignment horizontal="right" vertical="center"/>
    </xf>
    <xf numFmtId="4" fontId="140" fillId="84" borderId="111" applyNumberFormat="0" applyProtection="0">
      <alignment horizontal="right" vertical="center"/>
    </xf>
    <xf numFmtId="4" fontId="140" fillId="84" borderId="111" applyNumberFormat="0" applyProtection="0">
      <alignment horizontal="right" vertical="center"/>
    </xf>
    <xf numFmtId="4" fontId="140" fillId="84" borderId="111" applyNumberFormat="0" applyProtection="0">
      <alignment horizontal="right" vertical="center"/>
    </xf>
    <xf numFmtId="4" fontId="140" fillId="84" borderId="111" applyNumberFormat="0" applyProtection="0">
      <alignment horizontal="right" vertical="center"/>
    </xf>
    <xf numFmtId="4" fontId="140" fillId="49" borderId="111" applyNumberFormat="0" applyProtection="0">
      <alignment horizontal="right" vertical="center"/>
    </xf>
    <xf numFmtId="4" fontId="161" fillId="83" borderId="112" applyNumberFormat="0" applyProtection="0">
      <alignment horizontal="right" vertical="center"/>
    </xf>
    <xf numFmtId="4" fontId="140" fillId="49" borderId="111" applyNumberFormat="0" applyProtection="0">
      <alignment horizontal="right" vertical="center"/>
    </xf>
    <xf numFmtId="4" fontId="140" fillId="49" borderId="111" applyNumberFormat="0" applyProtection="0">
      <alignment horizontal="right" vertical="center"/>
    </xf>
    <xf numFmtId="4" fontId="140" fillId="49" borderId="111" applyNumberFormat="0" applyProtection="0">
      <alignment horizontal="right" vertical="center"/>
    </xf>
    <xf numFmtId="4" fontId="140" fillId="49" borderId="111" applyNumberFormat="0" applyProtection="0">
      <alignment horizontal="right" vertical="center"/>
    </xf>
    <xf numFmtId="4" fontId="161" fillId="82" borderId="112" applyNumberFormat="0" applyProtection="0">
      <alignment horizontal="right" vertical="center"/>
    </xf>
    <xf numFmtId="4" fontId="140" fillId="56" borderId="111" applyNumberFormat="0" applyProtection="0">
      <alignment horizontal="right" vertical="center"/>
    </xf>
    <xf numFmtId="4" fontId="140" fillId="56" borderId="111" applyNumberFormat="0" applyProtection="0">
      <alignment horizontal="right" vertical="center"/>
    </xf>
    <xf numFmtId="4" fontId="140" fillId="56" borderId="111" applyNumberFormat="0" applyProtection="0">
      <alignment horizontal="right" vertical="center"/>
    </xf>
    <xf numFmtId="4" fontId="140" fillId="56" borderId="111" applyNumberFormat="0" applyProtection="0">
      <alignment horizontal="right" vertical="center"/>
    </xf>
    <xf numFmtId="4" fontId="140" fillId="56" borderId="111" applyNumberFormat="0" applyProtection="0">
      <alignment horizontal="right" vertical="center"/>
    </xf>
    <xf numFmtId="4" fontId="140" fillId="33" borderId="111" applyNumberFormat="0" applyProtection="0">
      <alignment horizontal="right" vertical="center"/>
    </xf>
    <xf numFmtId="4" fontId="161" fillId="81" borderId="112" applyNumberFormat="0" applyProtection="0">
      <alignment horizontal="right" vertical="center"/>
    </xf>
    <xf numFmtId="4" fontId="140" fillId="33" borderId="111" applyNumberFormat="0" applyProtection="0">
      <alignment horizontal="right" vertical="center"/>
    </xf>
    <xf numFmtId="4" fontId="140" fillId="33" borderId="111" applyNumberFormat="0" applyProtection="0">
      <alignment horizontal="right" vertical="center"/>
    </xf>
    <xf numFmtId="4" fontId="140" fillId="33" borderId="111" applyNumberFormat="0" applyProtection="0">
      <alignment horizontal="right" vertical="center"/>
    </xf>
    <xf numFmtId="4" fontId="140" fillId="33" borderId="111" applyNumberFormat="0" applyProtection="0">
      <alignment horizontal="right" vertical="center"/>
    </xf>
    <xf numFmtId="4" fontId="140" fillId="29" borderId="111" applyNumberFormat="0" applyProtection="0">
      <alignment horizontal="right" vertical="center"/>
    </xf>
    <xf numFmtId="4" fontId="161" fillId="80" borderId="112" applyNumberFormat="0" applyProtection="0">
      <alignment horizontal="right" vertical="center"/>
    </xf>
    <xf numFmtId="4" fontId="140" fillId="29" borderId="111" applyNumberFormat="0" applyProtection="0">
      <alignment horizontal="right" vertical="center"/>
    </xf>
    <xf numFmtId="4" fontId="140" fillId="29" borderId="111" applyNumberFormat="0" applyProtection="0">
      <alignment horizontal="right" vertical="center"/>
    </xf>
    <xf numFmtId="4" fontId="140" fillId="29" borderId="111" applyNumberFormat="0" applyProtection="0">
      <alignment horizontal="right" vertical="center"/>
    </xf>
    <xf numFmtId="4" fontId="140" fillId="29" borderId="111" applyNumberFormat="0" applyProtection="0">
      <alignment horizontal="right" vertical="center"/>
    </xf>
    <xf numFmtId="4" fontId="140" fillId="42" borderId="108" applyNumberFormat="0" applyProtection="0">
      <alignment horizontal="right" vertical="center"/>
    </xf>
    <xf numFmtId="4" fontId="161" fillId="79" borderId="112" applyNumberFormat="0" applyProtection="0">
      <alignment horizontal="right" vertical="center"/>
    </xf>
    <xf numFmtId="4" fontId="140" fillId="42" borderId="108" applyNumberFormat="0" applyProtection="0">
      <alignment horizontal="right" vertical="center"/>
    </xf>
    <xf numFmtId="4" fontId="140" fillId="42" borderId="108" applyNumberFormat="0" applyProtection="0">
      <alignment horizontal="right" vertical="center"/>
    </xf>
    <xf numFmtId="4" fontId="140" fillId="42" borderId="108" applyNumberFormat="0" applyProtection="0">
      <alignment horizontal="right" vertical="center"/>
    </xf>
    <xf numFmtId="4" fontId="140" fillId="42" borderId="108" applyNumberFormat="0" applyProtection="0">
      <alignment horizontal="right" vertical="center"/>
    </xf>
    <xf numFmtId="4" fontId="161" fillId="78" borderId="112" applyNumberFormat="0" applyProtection="0">
      <alignment horizontal="right" vertical="center"/>
    </xf>
    <xf numFmtId="4" fontId="140" fillId="77" borderId="111" applyNumberFormat="0" applyProtection="0">
      <alignment horizontal="right" vertical="center"/>
    </xf>
    <xf numFmtId="4" fontId="140" fillId="77" borderId="111" applyNumberFormat="0" applyProtection="0">
      <alignment horizontal="right" vertical="center"/>
    </xf>
    <xf numFmtId="4" fontId="140" fillId="77" borderId="111" applyNumberFormat="0" applyProtection="0">
      <alignment horizontal="right" vertical="center"/>
    </xf>
    <xf numFmtId="4" fontId="140" fillId="77" borderId="111" applyNumberFormat="0" applyProtection="0">
      <alignment horizontal="right" vertical="center"/>
    </xf>
    <xf numFmtId="4" fontId="161" fillId="76" borderId="112" applyNumberFormat="0" applyProtection="0">
      <alignment horizontal="right" vertical="center"/>
    </xf>
    <xf numFmtId="4" fontId="140" fillId="77" borderId="111" applyNumberFormat="0" applyProtection="0">
      <alignment horizontal="right" vertical="center"/>
    </xf>
    <xf numFmtId="4" fontId="140" fillId="21" borderId="111" applyNumberFormat="0" applyProtection="0">
      <alignment horizontal="right" vertical="center"/>
    </xf>
    <xf numFmtId="4" fontId="140" fillId="21" borderId="111" applyNumberFormat="0" applyProtection="0">
      <alignment horizontal="right" vertical="center"/>
    </xf>
    <xf numFmtId="4" fontId="140" fillId="21" borderId="111" applyNumberFormat="0" applyProtection="0">
      <alignment horizontal="right" vertical="center"/>
    </xf>
    <xf numFmtId="4" fontId="140" fillId="21" borderId="111" applyNumberFormat="0" applyProtection="0">
      <alignment horizontal="right" vertical="center"/>
    </xf>
    <xf numFmtId="4" fontId="161" fillId="75" borderId="112" applyNumberFormat="0" applyProtection="0">
      <alignment horizontal="right" vertical="center"/>
    </xf>
    <xf numFmtId="4" fontId="140" fillId="21" borderId="111" applyNumberFormat="0" applyProtection="0">
      <alignment horizontal="right" vertical="center"/>
    </xf>
    <xf numFmtId="4" fontId="140" fillId="32" borderId="111" applyNumberFormat="0" applyProtection="0">
      <alignment horizontal="left" vertical="center" indent="1"/>
    </xf>
    <xf numFmtId="4" fontId="140" fillId="32" borderId="111" applyNumberFormat="0" applyProtection="0">
      <alignment horizontal="left" vertical="center" indent="1"/>
    </xf>
    <xf numFmtId="4" fontId="140" fillId="32" borderId="111" applyNumberFormat="0" applyProtection="0">
      <alignment horizontal="left" vertical="center" indent="1"/>
    </xf>
    <xf numFmtId="4" fontId="140" fillId="32" borderId="111" applyNumberFormat="0" applyProtection="0">
      <alignment horizontal="left" vertical="center" indent="1"/>
    </xf>
    <xf numFmtId="4" fontId="140" fillId="32" borderId="111" applyNumberFormat="0" applyProtection="0">
      <alignment horizontal="left" vertical="center" indent="1"/>
    </xf>
    <xf numFmtId="0" fontId="157" fillId="72" borderId="113" applyNumberFormat="0" applyProtection="0">
      <alignment horizontal="left" vertical="top" indent="1"/>
    </xf>
    <xf numFmtId="0" fontId="157" fillId="72" borderId="113" applyNumberFormat="0" applyProtection="0">
      <alignment horizontal="left" vertical="top" indent="1"/>
    </xf>
    <xf numFmtId="0" fontId="157" fillId="72" borderId="113" applyNumberFormat="0" applyProtection="0">
      <alignment horizontal="left" vertical="top" indent="1"/>
    </xf>
    <xf numFmtId="0" fontId="157" fillId="72" borderId="113" applyNumberFormat="0" applyProtection="0">
      <alignment horizontal="left" vertical="top" indent="1"/>
    </xf>
    <xf numFmtId="0" fontId="157" fillId="72" borderId="113" applyNumberFormat="0" applyProtection="0">
      <alignment horizontal="left" vertical="top" indent="1"/>
    </xf>
    <xf numFmtId="4" fontId="161" fillId="70" borderId="112" applyNumberFormat="0" applyProtection="0">
      <alignment horizontal="left" vertical="center" indent="1"/>
    </xf>
    <xf numFmtId="4" fontId="140" fillId="70" borderId="111" applyNumberFormat="0" applyProtection="0">
      <alignment horizontal="left" vertical="center" indent="1"/>
    </xf>
    <xf numFmtId="4" fontId="140" fillId="70" borderId="111" applyNumberFormat="0" applyProtection="0">
      <alignment horizontal="left" vertical="center" indent="1"/>
    </xf>
    <xf numFmtId="4" fontId="140" fillId="70" borderId="111" applyNumberFormat="0" applyProtection="0">
      <alignment horizontal="left" vertical="center" indent="1"/>
    </xf>
    <xf numFmtId="4" fontId="140" fillId="70" borderId="111" applyNumberFormat="0" applyProtection="0">
      <alignment horizontal="left" vertical="center" indent="1"/>
    </xf>
    <xf numFmtId="4" fontId="140" fillId="70" borderId="111" applyNumberFormat="0" applyProtection="0">
      <alignment horizontal="left" vertical="center" indent="1"/>
    </xf>
    <xf numFmtId="4" fontId="161" fillId="70" borderId="112" applyNumberFormat="0" applyProtection="0">
      <alignment horizontal="left" vertical="center" indent="1"/>
    </xf>
    <xf numFmtId="4" fontId="157" fillId="70" borderId="111" applyNumberFormat="0" applyProtection="0">
      <alignment vertical="center"/>
    </xf>
    <xf numFmtId="4" fontId="157" fillId="70" borderId="111" applyNumberFormat="0" applyProtection="0">
      <alignment vertical="center"/>
    </xf>
    <xf numFmtId="4" fontId="157" fillId="70" borderId="111" applyNumberFormat="0" applyProtection="0">
      <alignment vertical="center"/>
    </xf>
    <xf numFmtId="4" fontId="157" fillId="70" borderId="111" applyNumberFormat="0" applyProtection="0">
      <alignment vertical="center"/>
    </xf>
    <xf numFmtId="4" fontId="157" fillId="70" borderId="111" applyNumberFormat="0" applyProtection="0">
      <alignment vertical="center"/>
    </xf>
    <xf numFmtId="4" fontId="168" fillId="70" borderId="112" applyNumberFormat="0" applyProtection="0">
      <alignment vertical="center"/>
    </xf>
    <xf numFmtId="4" fontId="140" fillId="72" borderId="111" applyNumberFormat="0" applyProtection="0">
      <alignment vertical="center"/>
    </xf>
    <xf numFmtId="4" fontId="140" fillId="72" borderId="111" applyNumberFormat="0" applyProtection="0">
      <alignment vertical="center"/>
    </xf>
    <xf numFmtId="4" fontId="140" fillId="72" borderId="111" applyNumberFormat="0" applyProtection="0">
      <alignment vertical="center"/>
    </xf>
    <xf numFmtId="4" fontId="140" fillId="72" borderId="111" applyNumberFormat="0" applyProtection="0">
      <alignment vertical="center"/>
    </xf>
    <xf numFmtId="4" fontId="140" fillId="72" borderId="111" applyNumberFormat="0" applyProtection="0">
      <alignment vertical="center"/>
    </xf>
    <xf numFmtId="4" fontId="161" fillId="70" borderId="112" applyNumberFormat="0" applyProtection="0">
      <alignment vertical="center"/>
    </xf>
    <xf numFmtId="0" fontId="119" fillId="62" borderId="112" applyNumberFormat="0" applyAlignment="0" applyProtection="0"/>
    <xf numFmtId="0" fontId="116" fillId="57" borderId="111" applyNumberFormat="0" applyFont="0" applyAlignment="0" applyProtection="0"/>
    <xf numFmtId="0" fontId="116" fillId="57" borderId="111" applyNumberFormat="0" applyFont="0" applyAlignment="0" applyProtection="0"/>
    <xf numFmtId="0" fontId="116" fillId="57" borderId="111" applyNumberFormat="0" applyFont="0" applyAlignment="0" applyProtection="0"/>
    <xf numFmtId="0" fontId="46" fillId="74" borderId="110" applyNumberFormat="0" applyFont="0" applyAlignment="0" applyProtection="0"/>
    <xf numFmtId="10" fontId="140" fillId="71" borderId="106" applyNumberFormat="0" applyBorder="0" applyAlignment="0" applyProtection="0"/>
    <xf numFmtId="185" fontId="143" fillId="70" borderId="106" applyNumberFormat="0" applyFont="0" applyAlignment="0">
      <protection locked="0"/>
    </xf>
    <xf numFmtId="0" fontId="123" fillId="0" borderId="109" applyNumberFormat="0" applyFill="0" applyAlignment="0" applyProtection="0"/>
    <xf numFmtId="49" fontId="157" fillId="22" borderId="104">
      <alignment horizontal="left" vertical="top"/>
      <protection locked="0"/>
    </xf>
    <xf numFmtId="0" fontId="141" fillId="0" borderId="105">
      <alignment horizontal="left" vertical="center"/>
    </xf>
    <xf numFmtId="49" fontId="157" fillId="22" borderId="104">
      <alignment horizontal="left" vertical="top"/>
      <protection locked="0"/>
    </xf>
    <xf numFmtId="49" fontId="157" fillId="0" borderId="104">
      <alignment horizontal="left" vertical="top"/>
      <protection locked="0"/>
    </xf>
    <xf numFmtId="49" fontId="157" fillId="0" borderId="104">
      <alignment horizontal="left" vertical="top"/>
      <protection locked="0"/>
    </xf>
    <xf numFmtId="49" fontId="157" fillId="61" borderId="104">
      <alignment horizontal="left" vertical="top"/>
      <protection locked="0"/>
    </xf>
    <xf numFmtId="49" fontId="157" fillId="61" borderId="104">
      <alignment horizontal="left" vertical="top"/>
      <protection locked="0"/>
    </xf>
    <xf numFmtId="49" fontId="46" fillId="0" borderId="104">
      <alignment horizontal="center" vertical="top" wrapText="1"/>
      <protection locked="0"/>
    </xf>
    <xf numFmtId="49" fontId="46" fillId="0" borderId="104">
      <alignment horizontal="center" vertical="top" wrapText="1"/>
      <protection locked="0"/>
    </xf>
    <xf numFmtId="49" fontId="157" fillId="22" borderId="104">
      <alignment horizontal="right" vertical="top"/>
      <protection locked="0"/>
    </xf>
    <xf numFmtId="49" fontId="157" fillId="22" borderId="104">
      <alignment horizontal="right" vertical="top"/>
      <protection locked="0"/>
    </xf>
    <xf numFmtId="0" fontId="157" fillId="22" borderId="104">
      <alignment horizontal="right" vertical="top"/>
      <protection locked="0"/>
    </xf>
    <xf numFmtId="0" fontId="157" fillId="22" borderId="104">
      <alignment horizontal="right" vertical="top"/>
      <protection locked="0"/>
    </xf>
    <xf numFmtId="49" fontId="157" fillId="0" borderId="104">
      <alignment horizontal="right" vertical="top"/>
      <protection locked="0"/>
    </xf>
    <xf numFmtId="49" fontId="157" fillId="0" borderId="104">
      <alignment horizontal="right" vertical="top"/>
      <protection locked="0"/>
    </xf>
    <xf numFmtId="0" fontId="157" fillId="0" borderId="104">
      <alignment horizontal="right" vertical="top"/>
      <protection locked="0"/>
    </xf>
    <xf numFmtId="0" fontId="157" fillId="0" borderId="104">
      <alignment horizontal="right" vertical="top"/>
      <protection locked="0"/>
    </xf>
    <xf numFmtId="49" fontId="157" fillId="61" borderId="104">
      <alignment horizontal="right" vertical="top"/>
      <protection locked="0"/>
    </xf>
    <xf numFmtId="49" fontId="157" fillId="61" borderId="104">
      <alignment horizontal="right" vertical="top"/>
      <protection locked="0"/>
    </xf>
    <xf numFmtId="0" fontId="157" fillId="61" borderId="104">
      <alignment horizontal="right" vertical="top"/>
      <protection locked="0"/>
    </xf>
    <xf numFmtId="0" fontId="157" fillId="61" borderId="104">
      <alignment horizontal="right" vertical="top"/>
      <protection locked="0"/>
    </xf>
    <xf numFmtId="49" fontId="157" fillId="0" borderId="104">
      <alignment horizontal="center" vertical="top" wrapText="1"/>
      <protection locked="0"/>
    </xf>
    <xf numFmtId="49" fontId="157" fillId="0" borderId="104">
      <alignment horizontal="center" vertical="top" wrapText="1"/>
      <protection locked="0"/>
    </xf>
    <xf numFmtId="0" fontId="157" fillId="0" borderId="104">
      <alignment horizontal="center" vertical="top" wrapText="1"/>
      <protection locked="0"/>
    </xf>
    <xf numFmtId="0" fontId="157" fillId="0" borderId="104">
      <alignment horizontal="center" vertical="top" wrapText="1"/>
      <protection locked="0"/>
    </xf>
    <xf numFmtId="0" fontId="159" fillId="0" borderId="94">
      <alignment horizontal="left" vertical="top" wrapText="1"/>
    </xf>
    <xf numFmtId="0" fontId="120" fillId="62" borderId="107" applyNumberFormat="0" applyAlignment="0" applyProtection="0"/>
    <xf numFmtId="0" fontId="159" fillId="0" borderId="94">
      <alignment horizontal="center" vertical="top" wrapText="1"/>
    </xf>
    <xf numFmtId="0" fontId="157" fillId="0" borderId="106">
      <alignment horizontal="center" vertical="top" wrapText="1"/>
      <protection locked="0"/>
    </xf>
    <xf numFmtId="0" fontId="157" fillId="0" borderId="106">
      <alignment horizontal="center" vertical="top" wrapText="1"/>
      <protection locked="0"/>
    </xf>
    <xf numFmtId="49" fontId="157" fillId="0" borderId="106">
      <alignment horizontal="center" vertical="top" wrapText="1"/>
      <protection locked="0"/>
    </xf>
    <xf numFmtId="49" fontId="157" fillId="0" borderId="106">
      <alignment horizontal="center" vertical="top" wrapText="1"/>
      <protection locked="0"/>
    </xf>
    <xf numFmtId="0" fontId="159" fillId="0" borderId="108">
      <alignment horizontal="center" vertical="top" wrapText="1"/>
    </xf>
    <xf numFmtId="0" fontId="157" fillId="61" borderId="106">
      <alignment horizontal="right" vertical="top"/>
      <protection locked="0"/>
    </xf>
    <xf numFmtId="0" fontId="157" fillId="61" borderId="106">
      <alignment horizontal="right" vertical="top"/>
      <protection locked="0"/>
    </xf>
    <xf numFmtId="49" fontId="157" fillId="61" borderId="106">
      <alignment horizontal="right" vertical="top"/>
      <protection locked="0"/>
    </xf>
    <xf numFmtId="49" fontId="157" fillId="61" borderId="106">
      <alignment horizontal="right" vertical="top"/>
      <protection locked="0"/>
    </xf>
    <xf numFmtId="0" fontId="157" fillId="0" borderId="106">
      <alignment horizontal="right" vertical="top"/>
      <protection locked="0"/>
    </xf>
    <xf numFmtId="0" fontId="120" fillId="62" borderId="93" applyNumberFormat="0" applyAlignment="0" applyProtection="0"/>
    <xf numFmtId="0" fontId="157" fillId="0" borderId="106">
      <alignment horizontal="right" vertical="top"/>
      <protection locked="0"/>
    </xf>
    <xf numFmtId="49" fontId="157" fillId="0" borderId="106">
      <alignment horizontal="right" vertical="top"/>
      <protection locked="0"/>
    </xf>
    <xf numFmtId="49" fontId="157" fillId="0" borderId="106">
      <alignment horizontal="right" vertical="top"/>
      <protection locked="0"/>
    </xf>
    <xf numFmtId="0" fontId="157" fillId="22" borderId="106">
      <alignment horizontal="right" vertical="top"/>
      <protection locked="0"/>
    </xf>
    <xf numFmtId="0" fontId="157" fillId="22" borderId="106">
      <alignment horizontal="right" vertical="top"/>
      <protection locked="0"/>
    </xf>
    <xf numFmtId="49" fontId="157" fillId="22" borderId="106">
      <alignment horizontal="right" vertical="top"/>
      <protection locked="0"/>
    </xf>
    <xf numFmtId="49" fontId="157" fillId="22" borderId="106">
      <alignment horizontal="right" vertical="top"/>
      <protection locked="0"/>
    </xf>
    <xf numFmtId="49" fontId="46" fillId="0" borderId="106">
      <alignment horizontal="center" vertical="top" wrapText="1"/>
      <protection locked="0"/>
    </xf>
    <xf numFmtId="49" fontId="46" fillId="0" borderId="106">
      <alignment horizontal="center" vertical="top" wrapText="1"/>
      <protection locked="0"/>
    </xf>
    <xf numFmtId="0" fontId="159" fillId="0" borderId="108">
      <alignment horizontal="left" vertical="top" wrapText="1"/>
    </xf>
    <xf numFmtId="49" fontId="157" fillId="61" borderId="106">
      <alignment horizontal="left" vertical="top"/>
      <protection locked="0"/>
    </xf>
    <xf numFmtId="49" fontId="157" fillId="61" borderId="106">
      <alignment horizontal="left" vertical="top"/>
      <protection locked="0"/>
    </xf>
    <xf numFmtId="49" fontId="157" fillId="0" borderId="106">
      <alignment horizontal="left" vertical="top"/>
      <protection locked="0"/>
    </xf>
    <xf numFmtId="49" fontId="157" fillId="0" borderId="106">
      <alignment horizontal="left" vertical="top"/>
      <protection locked="0"/>
    </xf>
    <xf numFmtId="49" fontId="157" fillId="22" borderId="106">
      <alignment horizontal="left" vertical="top"/>
      <protection locked="0"/>
    </xf>
    <xf numFmtId="49" fontId="157" fillId="22" borderId="106">
      <alignment horizontal="left" vertical="top"/>
      <protection locked="0"/>
    </xf>
    <xf numFmtId="0" fontId="141" fillId="0" borderId="118">
      <alignment horizontal="left" vertical="center"/>
    </xf>
    <xf numFmtId="0" fontId="141" fillId="0" borderId="92">
      <alignment horizontal="left" vertical="center"/>
    </xf>
    <xf numFmtId="185" fontId="143" fillId="70" borderId="104" applyNumberFormat="0" applyFont="0" applyAlignment="0">
      <protection locked="0"/>
    </xf>
    <xf numFmtId="10" fontId="140" fillId="71" borderId="104" applyNumberFormat="0" applyBorder="0" applyAlignment="0" applyProtection="0"/>
    <xf numFmtId="0" fontId="46" fillId="74" borderId="95" applyNumberFormat="0" applyFont="0" applyAlignment="0" applyProtection="0"/>
    <xf numFmtId="0" fontId="116" fillId="57" borderId="96" applyNumberFormat="0" applyFont="0" applyAlignment="0" applyProtection="0"/>
    <xf numFmtId="0" fontId="116" fillId="57" borderId="96" applyNumberFormat="0" applyFont="0" applyAlignment="0" applyProtection="0"/>
    <xf numFmtId="0" fontId="116" fillId="57" borderId="96" applyNumberFormat="0" applyFont="0" applyAlignment="0" applyProtection="0"/>
    <xf numFmtId="0" fontId="119" fillId="62" borderId="97" applyNumberFormat="0" applyAlignment="0" applyProtection="0"/>
    <xf numFmtId="4" fontId="161" fillId="70" borderId="97" applyNumberFormat="0" applyProtection="0">
      <alignment vertical="center"/>
    </xf>
    <xf numFmtId="4" fontId="140" fillId="72" borderId="96" applyNumberFormat="0" applyProtection="0">
      <alignment vertical="center"/>
    </xf>
    <xf numFmtId="4" fontId="140" fillId="72" borderId="96" applyNumberFormat="0" applyProtection="0">
      <alignment vertical="center"/>
    </xf>
    <xf numFmtId="4" fontId="140" fillId="72" borderId="96" applyNumberFormat="0" applyProtection="0">
      <alignment vertical="center"/>
    </xf>
    <xf numFmtId="4" fontId="140" fillId="72" borderId="96" applyNumberFormat="0" applyProtection="0">
      <alignment vertical="center"/>
    </xf>
    <xf numFmtId="4" fontId="140" fillId="72" borderId="96" applyNumberFormat="0" applyProtection="0">
      <alignment vertical="center"/>
    </xf>
    <xf numFmtId="4" fontId="168" fillId="70" borderId="97" applyNumberFormat="0" applyProtection="0">
      <alignment vertical="center"/>
    </xf>
    <xf numFmtId="4" fontId="157" fillId="70" borderId="96" applyNumberFormat="0" applyProtection="0">
      <alignment vertical="center"/>
    </xf>
    <xf numFmtId="4" fontId="157" fillId="70" borderId="96" applyNumberFormat="0" applyProtection="0">
      <alignment vertical="center"/>
    </xf>
    <xf numFmtId="4" fontId="157" fillId="70" borderId="96" applyNumberFormat="0" applyProtection="0">
      <alignment vertical="center"/>
    </xf>
    <xf numFmtId="4" fontId="157" fillId="70" borderId="96" applyNumberFormat="0" applyProtection="0">
      <alignment vertical="center"/>
    </xf>
    <xf numFmtId="4" fontId="157" fillId="70" borderId="96" applyNumberFormat="0" applyProtection="0">
      <alignment vertical="center"/>
    </xf>
    <xf numFmtId="4" fontId="161" fillId="70" borderId="97" applyNumberFormat="0" applyProtection="0">
      <alignment horizontal="left" vertical="center" indent="1"/>
    </xf>
    <xf numFmtId="4" fontId="140" fillId="70" borderId="96" applyNumberFormat="0" applyProtection="0">
      <alignment horizontal="left" vertical="center" indent="1"/>
    </xf>
    <xf numFmtId="4" fontId="140" fillId="70" borderId="96" applyNumberFormat="0" applyProtection="0">
      <alignment horizontal="left" vertical="center" indent="1"/>
    </xf>
    <xf numFmtId="4" fontId="140" fillId="70" borderId="96" applyNumberFormat="0" applyProtection="0">
      <alignment horizontal="left" vertical="center" indent="1"/>
    </xf>
    <xf numFmtId="4" fontId="140" fillId="70" borderId="96" applyNumberFormat="0" applyProtection="0">
      <alignment horizontal="left" vertical="center" indent="1"/>
    </xf>
    <xf numFmtId="4" fontId="140" fillId="70" borderId="96" applyNumberFormat="0" applyProtection="0">
      <alignment horizontal="left" vertical="center" indent="1"/>
    </xf>
    <xf numFmtId="4" fontId="161" fillId="70" borderId="97" applyNumberFormat="0" applyProtection="0">
      <alignment horizontal="left" vertical="center" indent="1"/>
    </xf>
    <xf numFmtId="0" fontId="157" fillId="72" borderId="98" applyNumberFormat="0" applyProtection="0">
      <alignment horizontal="left" vertical="top" indent="1"/>
    </xf>
    <xf numFmtId="0" fontId="157" fillId="72" borderId="98" applyNumberFormat="0" applyProtection="0">
      <alignment horizontal="left" vertical="top" indent="1"/>
    </xf>
    <xf numFmtId="0" fontId="157" fillId="72" borderId="98" applyNumberFormat="0" applyProtection="0">
      <alignment horizontal="left" vertical="top" indent="1"/>
    </xf>
    <xf numFmtId="0" fontId="157" fillId="72" borderId="98" applyNumberFormat="0" applyProtection="0">
      <alignment horizontal="left" vertical="top" indent="1"/>
    </xf>
    <xf numFmtId="0" fontId="157" fillId="72" borderId="98" applyNumberFormat="0" applyProtection="0">
      <alignment horizontal="left" vertical="top" indent="1"/>
    </xf>
    <xf numFmtId="4" fontId="140" fillId="32" borderId="96" applyNumberFormat="0" applyProtection="0">
      <alignment horizontal="left" vertical="center" indent="1"/>
    </xf>
    <xf numFmtId="4" fontId="140" fillId="32" borderId="96" applyNumberFormat="0" applyProtection="0">
      <alignment horizontal="left" vertical="center" indent="1"/>
    </xf>
    <xf numFmtId="4" fontId="140" fillId="32" borderId="96" applyNumberFormat="0" applyProtection="0">
      <alignment horizontal="left" vertical="center" indent="1"/>
    </xf>
    <xf numFmtId="4" fontId="140" fillId="32" borderId="96" applyNumberFormat="0" applyProtection="0">
      <alignment horizontal="left" vertical="center" indent="1"/>
    </xf>
    <xf numFmtId="4" fontId="140" fillId="32" borderId="96" applyNumberFormat="0" applyProtection="0">
      <alignment horizontal="left" vertical="center" indent="1"/>
    </xf>
    <xf numFmtId="4" fontId="161" fillId="75" borderId="97" applyNumberFormat="0" applyProtection="0">
      <alignment horizontal="right" vertical="center"/>
    </xf>
    <xf numFmtId="4" fontId="140" fillId="21" borderId="96" applyNumberFormat="0" applyProtection="0">
      <alignment horizontal="right" vertical="center"/>
    </xf>
    <xf numFmtId="4" fontId="140" fillId="21" borderId="96" applyNumberFormat="0" applyProtection="0">
      <alignment horizontal="right" vertical="center"/>
    </xf>
    <xf numFmtId="4" fontId="140" fillId="21" borderId="96" applyNumberFormat="0" applyProtection="0">
      <alignment horizontal="right" vertical="center"/>
    </xf>
    <xf numFmtId="4" fontId="140" fillId="21" borderId="96" applyNumberFormat="0" applyProtection="0">
      <alignment horizontal="right" vertical="center"/>
    </xf>
    <xf numFmtId="4" fontId="140" fillId="21" borderId="96" applyNumberFormat="0" applyProtection="0">
      <alignment horizontal="right" vertical="center"/>
    </xf>
    <xf numFmtId="4" fontId="161" fillId="76" borderId="97" applyNumberFormat="0" applyProtection="0">
      <alignment horizontal="right" vertical="center"/>
    </xf>
    <xf numFmtId="4" fontId="140" fillId="77" borderId="96" applyNumberFormat="0" applyProtection="0">
      <alignment horizontal="right" vertical="center"/>
    </xf>
    <xf numFmtId="4" fontId="140" fillId="77" borderId="96" applyNumberFormat="0" applyProtection="0">
      <alignment horizontal="right" vertical="center"/>
    </xf>
    <xf numFmtId="4" fontId="140" fillId="77" borderId="96" applyNumberFormat="0" applyProtection="0">
      <alignment horizontal="right" vertical="center"/>
    </xf>
    <xf numFmtId="4" fontId="140" fillId="77" borderId="96" applyNumberFormat="0" applyProtection="0">
      <alignment horizontal="right" vertical="center"/>
    </xf>
    <xf numFmtId="4" fontId="140" fillId="77" borderId="96" applyNumberFormat="0" applyProtection="0">
      <alignment horizontal="right" vertical="center"/>
    </xf>
    <xf numFmtId="4" fontId="161" fillId="78" borderId="97" applyNumberFormat="0" applyProtection="0">
      <alignment horizontal="right" vertical="center"/>
    </xf>
    <xf numFmtId="4" fontId="140" fillId="42" borderId="94" applyNumberFormat="0" applyProtection="0">
      <alignment horizontal="right" vertical="center"/>
    </xf>
    <xf numFmtId="4" fontId="140" fillId="42" borderId="94" applyNumberFormat="0" applyProtection="0">
      <alignment horizontal="right" vertical="center"/>
    </xf>
    <xf numFmtId="4" fontId="140" fillId="42" borderId="94" applyNumberFormat="0" applyProtection="0">
      <alignment horizontal="right" vertical="center"/>
    </xf>
    <xf numFmtId="4" fontId="140" fillId="42" borderId="94" applyNumberFormat="0" applyProtection="0">
      <alignment horizontal="right" vertical="center"/>
    </xf>
    <xf numFmtId="4" fontId="140" fillId="42" borderId="94" applyNumberFormat="0" applyProtection="0">
      <alignment horizontal="right" vertical="center"/>
    </xf>
    <xf numFmtId="4" fontId="161" fillId="79" borderId="97" applyNumberFormat="0" applyProtection="0">
      <alignment horizontal="right" vertical="center"/>
    </xf>
    <xf numFmtId="4" fontId="140" fillId="29" borderId="96" applyNumberFormat="0" applyProtection="0">
      <alignment horizontal="right" vertical="center"/>
    </xf>
    <xf numFmtId="4" fontId="140" fillId="29" borderId="96" applyNumberFormat="0" applyProtection="0">
      <alignment horizontal="right" vertical="center"/>
    </xf>
    <xf numFmtId="4" fontId="140" fillId="29" borderId="96" applyNumberFormat="0" applyProtection="0">
      <alignment horizontal="right" vertical="center"/>
    </xf>
    <xf numFmtId="4" fontId="140" fillId="29" borderId="96" applyNumberFormat="0" applyProtection="0">
      <alignment horizontal="right" vertical="center"/>
    </xf>
    <xf numFmtId="4" fontId="140" fillId="29" borderId="96" applyNumberFormat="0" applyProtection="0">
      <alignment horizontal="right" vertical="center"/>
    </xf>
    <xf numFmtId="4" fontId="161" fillId="80" borderId="97" applyNumberFormat="0" applyProtection="0">
      <alignment horizontal="right" vertical="center"/>
    </xf>
    <xf numFmtId="4" fontId="140" fillId="33" borderId="96" applyNumberFormat="0" applyProtection="0">
      <alignment horizontal="right" vertical="center"/>
    </xf>
    <xf numFmtId="4" fontId="140" fillId="33" borderId="96" applyNumberFormat="0" applyProtection="0">
      <alignment horizontal="right" vertical="center"/>
    </xf>
    <xf numFmtId="4" fontId="140" fillId="33" borderId="96" applyNumberFormat="0" applyProtection="0">
      <alignment horizontal="right" vertical="center"/>
    </xf>
    <xf numFmtId="4" fontId="140" fillId="33" borderId="96" applyNumberFormat="0" applyProtection="0">
      <alignment horizontal="right" vertical="center"/>
    </xf>
    <xf numFmtId="4" fontId="140" fillId="33" borderId="96" applyNumberFormat="0" applyProtection="0">
      <alignment horizontal="right" vertical="center"/>
    </xf>
    <xf numFmtId="4" fontId="161" fillId="81" borderId="97" applyNumberFormat="0" applyProtection="0">
      <alignment horizontal="right" vertical="center"/>
    </xf>
    <xf numFmtId="4" fontId="140" fillId="56" borderId="96" applyNumberFormat="0" applyProtection="0">
      <alignment horizontal="right" vertical="center"/>
    </xf>
    <xf numFmtId="4" fontId="140" fillId="56" borderId="96" applyNumberFormat="0" applyProtection="0">
      <alignment horizontal="right" vertical="center"/>
    </xf>
    <xf numFmtId="4" fontId="140" fillId="56" borderId="96" applyNumberFormat="0" applyProtection="0">
      <alignment horizontal="right" vertical="center"/>
    </xf>
    <xf numFmtId="4" fontId="140" fillId="56" borderId="96" applyNumberFormat="0" applyProtection="0">
      <alignment horizontal="right" vertical="center"/>
    </xf>
    <xf numFmtId="4" fontId="140" fillId="56" borderId="96" applyNumberFormat="0" applyProtection="0">
      <alignment horizontal="right" vertical="center"/>
    </xf>
    <xf numFmtId="4" fontId="161" fillId="82" borderId="97" applyNumberFormat="0" applyProtection="0">
      <alignment horizontal="right" vertical="center"/>
    </xf>
    <xf numFmtId="4" fontId="140" fillId="49" borderId="96" applyNumberFormat="0" applyProtection="0">
      <alignment horizontal="right" vertical="center"/>
    </xf>
    <xf numFmtId="4" fontId="140" fillId="49" borderId="96" applyNumberFormat="0" applyProtection="0">
      <alignment horizontal="right" vertical="center"/>
    </xf>
    <xf numFmtId="4" fontId="140" fillId="49" borderId="96" applyNumberFormat="0" applyProtection="0">
      <alignment horizontal="right" vertical="center"/>
    </xf>
    <xf numFmtId="4" fontId="140" fillId="49" borderId="96" applyNumberFormat="0" applyProtection="0">
      <alignment horizontal="right" vertical="center"/>
    </xf>
    <xf numFmtId="4" fontId="140" fillId="49" borderId="96" applyNumberFormat="0" applyProtection="0">
      <alignment horizontal="right" vertical="center"/>
    </xf>
    <xf numFmtId="4" fontId="161" fillId="83" borderId="97" applyNumberFormat="0" applyProtection="0">
      <alignment horizontal="right" vertical="center"/>
    </xf>
    <xf numFmtId="4" fontId="140" fillId="84" borderId="96" applyNumberFormat="0" applyProtection="0">
      <alignment horizontal="right" vertical="center"/>
    </xf>
    <xf numFmtId="4" fontId="140" fillId="84" borderId="96" applyNumberFormat="0" applyProtection="0">
      <alignment horizontal="right" vertical="center"/>
    </xf>
    <xf numFmtId="4" fontId="140" fillId="84" borderId="96" applyNumberFormat="0" applyProtection="0">
      <alignment horizontal="right" vertical="center"/>
    </xf>
    <xf numFmtId="4" fontId="140" fillId="84" borderId="96" applyNumberFormat="0" applyProtection="0">
      <alignment horizontal="right" vertical="center"/>
    </xf>
    <xf numFmtId="4" fontId="140" fillId="84" borderId="96" applyNumberFormat="0" applyProtection="0">
      <alignment horizontal="right" vertical="center"/>
    </xf>
    <xf numFmtId="4" fontId="161" fillId="85" borderId="97" applyNumberFormat="0" applyProtection="0">
      <alignment horizontal="right" vertical="center"/>
    </xf>
    <xf numFmtId="4" fontId="140" fillId="28" borderId="96" applyNumberFormat="0" applyProtection="0">
      <alignment horizontal="right" vertical="center"/>
    </xf>
    <xf numFmtId="4" fontId="140" fillId="28" borderId="96" applyNumberFormat="0" applyProtection="0">
      <alignment horizontal="right" vertical="center"/>
    </xf>
    <xf numFmtId="4" fontId="140" fillId="28" borderId="96" applyNumberFormat="0" applyProtection="0">
      <alignment horizontal="right" vertical="center"/>
    </xf>
    <xf numFmtId="4" fontId="140" fillId="28" borderId="96" applyNumberFormat="0" applyProtection="0">
      <alignment horizontal="right" vertical="center"/>
    </xf>
    <xf numFmtId="4" fontId="140" fillId="28" borderId="96" applyNumberFormat="0" applyProtection="0">
      <alignment horizontal="right" vertical="center"/>
    </xf>
    <xf numFmtId="4" fontId="170" fillId="86" borderId="97" applyNumberFormat="0" applyProtection="0">
      <alignment horizontal="left" vertical="center" indent="1"/>
    </xf>
    <xf numFmtId="4" fontId="140" fillId="87" borderId="94" applyNumberFormat="0" applyProtection="0">
      <alignment horizontal="left" vertical="center" indent="1"/>
    </xf>
    <xf numFmtId="4" fontId="140" fillId="87" borderId="94" applyNumberFormat="0" applyProtection="0">
      <alignment horizontal="left" vertical="center" indent="1"/>
    </xf>
    <xf numFmtId="4" fontId="140" fillId="87" borderId="94" applyNumberFormat="0" applyProtection="0">
      <alignment horizontal="left" vertical="center" indent="1"/>
    </xf>
    <xf numFmtId="4" fontId="140" fillId="87" borderId="94" applyNumberFormat="0" applyProtection="0">
      <alignment horizontal="left" vertical="center" indent="1"/>
    </xf>
    <xf numFmtId="4" fontId="140" fillId="87" borderId="94" applyNumberFormat="0" applyProtection="0">
      <alignment horizontal="left" vertical="center" indent="1"/>
    </xf>
    <xf numFmtId="4" fontId="161" fillId="88" borderId="99" applyNumberFormat="0" applyProtection="0">
      <alignment horizontal="left" vertical="center" indent="1"/>
    </xf>
    <xf numFmtId="4" fontId="143" fillId="89" borderId="94" applyNumberFormat="0" applyProtection="0">
      <alignment horizontal="left" vertical="center" indent="1"/>
    </xf>
    <xf numFmtId="4" fontId="143" fillId="89" borderId="94" applyNumberFormat="0" applyProtection="0">
      <alignment horizontal="left" vertical="center" indent="1"/>
    </xf>
    <xf numFmtId="4" fontId="143" fillId="89" borderId="94" applyNumberFormat="0" applyProtection="0">
      <alignment horizontal="left" vertical="center" indent="1"/>
    </xf>
    <xf numFmtId="4" fontId="143" fillId="89" borderId="94" applyNumberFormat="0" applyProtection="0">
      <alignment horizontal="left" vertical="center" indent="1"/>
    </xf>
    <xf numFmtId="4" fontId="143" fillId="89" borderId="94" applyNumberFormat="0" applyProtection="0">
      <alignment horizontal="left" vertical="center" indent="1"/>
    </xf>
    <xf numFmtId="4" fontId="143" fillId="89" borderId="94" applyNumberFormat="0" applyProtection="0">
      <alignment horizontal="left" vertical="center" indent="1"/>
    </xf>
    <xf numFmtId="4" fontId="143" fillId="89" borderId="94" applyNumberFormat="0" applyProtection="0">
      <alignment horizontal="left" vertical="center" indent="1"/>
    </xf>
    <xf numFmtId="4" fontId="143" fillId="89" borderId="94" applyNumberFormat="0" applyProtection="0">
      <alignment horizontal="left" vertical="center" indent="1"/>
    </xf>
    <xf numFmtId="4" fontId="143" fillId="89" borderId="94" applyNumberFormat="0" applyProtection="0">
      <alignment horizontal="left" vertical="center" indent="1"/>
    </xf>
    <xf numFmtId="4" fontId="143" fillId="89" borderId="94" applyNumberFormat="0" applyProtection="0">
      <alignment horizontal="left" vertical="center" indent="1"/>
    </xf>
    <xf numFmtId="4" fontId="140" fillId="91" borderId="96" applyNumberFormat="0" applyProtection="0">
      <alignment horizontal="right" vertical="center"/>
    </xf>
    <xf numFmtId="4" fontId="140" fillId="91" borderId="96" applyNumberFormat="0" applyProtection="0">
      <alignment horizontal="right" vertical="center"/>
    </xf>
    <xf numFmtId="4" fontId="140" fillId="91" borderId="96" applyNumberFormat="0" applyProtection="0">
      <alignment horizontal="right" vertical="center"/>
    </xf>
    <xf numFmtId="4" fontId="140" fillId="91" borderId="96" applyNumberFormat="0" applyProtection="0">
      <alignment horizontal="right" vertical="center"/>
    </xf>
    <xf numFmtId="4" fontId="140" fillId="91" borderId="96" applyNumberFormat="0" applyProtection="0">
      <alignment horizontal="right" vertical="center"/>
    </xf>
    <xf numFmtId="4" fontId="140" fillId="92" borderId="94" applyNumberFormat="0" applyProtection="0">
      <alignment horizontal="left" vertical="center" indent="1"/>
    </xf>
    <xf numFmtId="4" fontId="140" fillId="92" borderId="94" applyNumberFormat="0" applyProtection="0">
      <alignment horizontal="left" vertical="center" indent="1"/>
    </xf>
    <xf numFmtId="4" fontId="140" fillId="92" borderId="94" applyNumberFormat="0" applyProtection="0">
      <alignment horizontal="left" vertical="center" indent="1"/>
    </xf>
    <xf numFmtId="4" fontId="140" fillId="92" borderId="94" applyNumberFormat="0" applyProtection="0">
      <alignment horizontal="left" vertical="center" indent="1"/>
    </xf>
    <xf numFmtId="4" fontId="140" fillId="92" borderId="94" applyNumberFormat="0" applyProtection="0">
      <alignment horizontal="left" vertical="center" indent="1"/>
    </xf>
    <xf numFmtId="4" fontId="140" fillId="91" borderId="94" applyNumberFormat="0" applyProtection="0">
      <alignment horizontal="left" vertical="center" indent="1"/>
    </xf>
    <xf numFmtId="4" fontId="140" fillId="91" borderId="94" applyNumberFormat="0" applyProtection="0">
      <alignment horizontal="left" vertical="center" indent="1"/>
    </xf>
    <xf numFmtId="4" fontId="140" fillId="91" borderId="94" applyNumberFormat="0" applyProtection="0">
      <alignment horizontal="left" vertical="center" indent="1"/>
    </xf>
    <xf numFmtId="4" fontId="140" fillId="91" borderId="94" applyNumberFormat="0" applyProtection="0">
      <alignment horizontal="left" vertical="center" indent="1"/>
    </xf>
    <xf numFmtId="4" fontId="140" fillId="91" borderId="94" applyNumberFormat="0" applyProtection="0">
      <alignment horizontal="left" vertical="center" indent="1"/>
    </xf>
    <xf numFmtId="0" fontId="140" fillId="62" borderId="96" applyNumberFormat="0" applyProtection="0">
      <alignment horizontal="left" vertical="center" indent="1"/>
    </xf>
    <xf numFmtId="0" fontId="140" fillId="62" borderId="96" applyNumberFormat="0" applyProtection="0">
      <alignment horizontal="left" vertical="center" indent="1"/>
    </xf>
    <xf numFmtId="0" fontId="140" fillId="62" borderId="96" applyNumberFormat="0" applyProtection="0">
      <alignment horizontal="left" vertical="center" indent="1"/>
    </xf>
    <xf numFmtId="0" fontId="140" fillId="62" borderId="96" applyNumberFormat="0" applyProtection="0">
      <alignment horizontal="left" vertical="center" indent="1"/>
    </xf>
    <xf numFmtId="0" fontId="140" fillId="62" borderId="96" applyNumberFormat="0" applyProtection="0">
      <alignment horizontal="left" vertical="center" indent="1"/>
    </xf>
    <xf numFmtId="0" fontId="140" fillId="62" borderId="96" applyNumberFormat="0" applyProtection="0">
      <alignment horizontal="left" vertical="center" indent="1"/>
    </xf>
    <xf numFmtId="0" fontId="116" fillId="89" borderId="98" applyNumberFormat="0" applyProtection="0">
      <alignment horizontal="left" vertical="top" indent="1"/>
    </xf>
    <xf numFmtId="0" fontId="116" fillId="89" borderId="98" applyNumberFormat="0" applyProtection="0">
      <alignment horizontal="left" vertical="top" indent="1"/>
    </xf>
    <xf numFmtId="0" fontId="116" fillId="89" borderId="98" applyNumberFormat="0" applyProtection="0">
      <alignment horizontal="left" vertical="top" indent="1"/>
    </xf>
    <xf numFmtId="0" fontId="116" fillId="89" borderId="98" applyNumberFormat="0" applyProtection="0">
      <alignment horizontal="left" vertical="top" indent="1"/>
    </xf>
    <xf numFmtId="0" fontId="116" fillId="89" borderId="98" applyNumberFormat="0" applyProtection="0">
      <alignment horizontal="left" vertical="top" indent="1"/>
    </xf>
    <xf numFmtId="0" fontId="116" fillId="89" borderId="98" applyNumberFormat="0" applyProtection="0">
      <alignment horizontal="left" vertical="top" indent="1"/>
    </xf>
    <xf numFmtId="0" fontId="116" fillId="89" borderId="98" applyNumberFormat="0" applyProtection="0">
      <alignment horizontal="left" vertical="top" indent="1"/>
    </xf>
    <xf numFmtId="0" fontId="116" fillId="89" borderId="98" applyNumberFormat="0" applyProtection="0">
      <alignment horizontal="left" vertical="top" indent="1"/>
    </xf>
    <xf numFmtId="0" fontId="140" fillId="96" borderId="96" applyNumberFormat="0" applyProtection="0">
      <alignment horizontal="left" vertical="center" indent="1"/>
    </xf>
    <xf numFmtId="0" fontId="140" fillId="96" borderId="96" applyNumberFormat="0" applyProtection="0">
      <alignment horizontal="left" vertical="center" indent="1"/>
    </xf>
    <xf numFmtId="0" fontId="140" fillId="96" borderId="96" applyNumberFormat="0" applyProtection="0">
      <alignment horizontal="left" vertical="center" indent="1"/>
    </xf>
    <xf numFmtId="0" fontId="140" fillId="96" borderId="96" applyNumberFormat="0" applyProtection="0">
      <alignment horizontal="left" vertical="center" indent="1"/>
    </xf>
    <xf numFmtId="0" fontId="140" fillId="96" borderId="96" applyNumberFormat="0" applyProtection="0">
      <alignment horizontal="left" vertical="center" indent="1"/>
    </xf>
    <xf numFmtId="0" fontId="140" fillId="96" borderId="96" applyNumberFormat="0" applyProtection="0">
      <alignment horizontal="left" vertical="center" indent="1"/>
    </xf>
    <xf numFmtId="0" fontId="116" fillId="91" borderId="98" applyNumberFormat="0" applyProtection="0">
      <alignment horizontal="left" vertical="top" indent="1"/>
    </xf>
    <xf numFmtId="0" fontId="116" fillId="91" borderId="98" applyNumberFormat="0" applyProtection="0">
      <alignment horizontal="left" vertical="top" indent="1"/>
    </xf>
    <xf numFmtId="0" fontId="116" fillId="91" borderId="98" applyNumberFormat="0" applyProtection="0">
      <alignment horizontal="left" vertical="top" indent="1"/>
    </xf>
    <xf numFmtId="0" fontId="116" fillId="91" borderId="98" applyNumberFormat="0" applyProtection="0">
      <alignment horizontal="left" vertical="top" indent="1"/>
    </xf>
    <xf numFmtId="0" fontId="116" fillId="91" borderId="98" applyNumberFormat="0" applyProtection="0">
      <alignment horizontal="left" vertical="top" indent="1"/>
    </xf>
    <xf numFmtId="0" fontId="116" fillId="91" borderId="98" applyNumberFormat="0" applyProtection="0">
      <alignment horizontal="left" vertical="top" indent="1"/>
    </xf>
    <xf numFmtId="0" fontId="116" fillId="91" borderId="98" applyNumberFormat="0" applyProtection="0">
      <alignment horizontal="left" vertical="top" indent="1"/>
    </xf>
    <xf numFmtId="0" fontId="116" fillId="91" borderId="98" applyNumberFormat="0" applyProtection="0">
      <alignment horizontal="left" vertical="top" indent="1"/>
    </xf>
    <xf numFmtId="0" fontId="140" fillId="26" borderId="96" applyNumberFormat="0" applyProtection="0">
      <alignment horizontal="left" vertical="center" indent="1"/>
    </xf>
    <xf numFmtId="0" fontId="140" fillId="26" borderId="96" applyNumberFormat="0" applyProtection="0">
      <alignment horizontal="left" vertical="center" indent="1"/>
    </xf>
    <xf numFmtId="0" fontId="140" fillId="26" borderId="96" applyNumberFormat="0" applyProtection="0">
      <alignment horizontal="left" vertical="center" indent="1"/>
    </xf>
    <xf numFmtId="0" fontId="140" fillId="26" borderId="96" applyNumberFormat="0" applyProtection="0">
      <alignment horizontal="left" vertical="center" indent="1"/>
    </xf>
    <xf numFmtId="0" fontId="140" fillId="26" borderId="96" applyNumberFormat="0" applyProtection="0">
      <alignment horizontal="left" vertical="center" indent="1"/>
    </xf>
    <xf numFmtId="0" fontId="13" fillId="69" borderId="97" applyNumberFormat="0" applyProtection="0">
      <alignment horizontal="left" vertical="center" indent="1"/>
    </xf>
    <xf numFmtId="0" fontId="116" fillId="26" borderId="98" applyNumberFormat="0" applyProtection="0">
      <alignment horizontal="left" vertical="top" indent="1"/>
    </xf>
    <xf numFmtId="0" fontId="116" fillId="26" borderId="98" applyNumberFormat="0" applyProtection="0">
      <alignment horizontal="left" vertical="top" indent="1"/>
    </xf>
    <xf numFmtId="0" fontId="116" fillId="26" borderId="98" applyNumberFormat="0" applyProtection="0">
      <alignment horizontal="left" vertical="top" indent="1"/>
    </xf>
    <xf numFmtId="0" fontId="116" fillId="26" borderId="98" applyNumberFormat="0" applyProtection="0">
      <alignment horizontal="left" vertical="top" indent="1"/>
    </xf>
    <xf numFmtId="0" fontId="116" fillId="26" borderId="98" applyNumberFormat="0" applyProtection="0">
      <alignment horizontal="left" vertical="top" indent="1"/>
    </xf>
    <xf numFmtId="0" fontId="116" fillId="26" borderId="98" applyNumberFormat="0" applyProtection="0">
      <alignment horizontal="left" vertical="top" indent="1"/>
    </xf>
    <xf numFmtId="0" fontId="116" fillId="26" borderId="98" applyNumberFormat="0" applyProtection="0">
      <alignment horizontal="left" vertical="top" indent="1"/>
    </xf>
    <xf numFmtId="0" fontId="116" fillId="26" borderId="98" applyNumberFormat="0" applyProtection="0">
      <alignment horizontal="left" vertical="top" indent="1"/>
    </xf>
    <xf numFmtId="0" fontId="140" fillId="92" borderId="96" applyNumberFormat="0" applyProtection="0">
      <alignment horizontal="left" vertical="center" indent="1"/>
    </xf>
    <xf numFmtId="0" fontId="140" fillId="92" borderId="96" applyNumberFormat="0" applyProtection="0">
      <alignment horizontal="left" vertical="center" indent="1"/>
    </xf>
    <xf numFmtId="0" fontId="140" fillId="92" borderId="96" applyNumberFormat="0" applyProtection="0">
      <alignment horizontal="left" vertical="center" indent="1"/>
    </xf>
    <xf numFmtId="0" fontId="140" fillId="92" borderId="96" applyNumberFormat="0" applyProtection="0">
      <alignment horizontal="left" vertical="center" indent="1"/>
    </xf>
    <xf numFmtId="0" fontId="140" fillId="92" borderId="96" applyNumberFormat="0" applyProtection="0">
      <alignment horizontal="left" vertical="center" indent="1"/>
    </xf>
    <xf numFmtId="0" fontId="13" fillId="18" borderId="97" applyNumberFormat="0" applyProtection="0">
      <alignment horizontal="left" vertical="center" indent="1"/>
    </xf>
    <xf numFmtId="0" fontId="116" fillId="92" borderId="98" applyNumberFormat="0" applyProtection="0">
      <alignment horizontal="left" vertical="top" indent="1"/>
    </xf>
    <xf numFmtId="0" fontId="116" fillId="92" borderId="98" applyNumberFormat="0" applyProtection="0">
      <alignment horizontal="left" vertical="top" indent="1"/>
    </xf>
    <xf numFmtId="0" fontId="116" fillId="92" borderId="98" applyNumberFormat="0" applyProtection="0">
      <alignment horizontal="left" vertical="top" indent="1"/>
    </xf>
    <xf numFmtId="0" fontId="116" fillId="92" borderId="98" applyNumberFormat="0" applyProtection="0">
      <alignment horizontal="left" vertical="top" indent="1"/>
    </xf>
    <xf numFmtId="0" fontId="116" fillId="92" borderId="98" applyNumberFormat="0" applyProtection="0">
      <alignment horizontal="left" vertical="top" indent="1"/>
    </xf>
    <xf numFmtId="0" fontId="116" fillId="92" borderId="98" applyNumberFormat="0" applyProtection="0">
      <alignment horizontal="left" vertical="top" indent="1"/>
    </xf>
    <xf numFmtId="0" fontId="116" fillId="92" borderId="98" applyNumberFormat="0" applyProtection="0">
      <alignment horizontal="left" vertical="top" indent="1"/>
    </xf>
    <xf numFmtId="0" fontId="116" fillId="92" borderId="98" applyNumberFormat="0" applyProtection="0">
      <alignment horizontal="left" vertical="top" indent="1"/>
    </xf>
    <xf numFmtId="0" fontId="173" fillId="89" borderId="100" applyBorder="0"/>
    <xf numFmtId="4" fontId="161" fillId="71" borderId="97" applyNumberFormat="0" applyProtection="0">
      <alignment vertical="center"/>
    </xf>
    <xf numFmtId="4" fontId="174" fillId="74" borderId="98" applyNumberFormat="0" applyProtection="0">
      <alignment vertical="center"/>
    </xf>
    <xf numFmtId="4" fontId="174" fillId="74" borderId="98" applyNumberFormat="0" applyProtection="0">
      <alignment vertical="center"/>
    </xf>
    <xf numFmtId="4" fontId="174" fillId="74" borderId="98" applyNumberFormat="0" applyProtection="0">
      <alignment vertical="center"/>
    </xf>
    <xf numFmtId="4" fontId="174" fillId="74" borderId="98" applyNumberFormat="0" applyProtection="0">
      <alignment vertical="center"/>
    </xf>
    <xf numFmtId="4" fontId="174" fillId="74" borderId="98" applyNumberFormat="0" applyProtection="0">
      <alignment vertical="center"/>
    </xf>
    <xf numFmtId="4" fontId="168" fillId="71" borderId="97" applyNumberFormat="0" applyProtection="0">
      <alignment vertical="center"/>
    </xf>
    <xf numFmtId="4" fontId="161" fillId="71" borderId="97" applyNumberFormat="0" applyProtection="0">
      <alignment horizontal="left" vertical="center" indent="1"/>
    </xf>
    <xf numFmtId="4" fontId="174" fillId="62" borderId="98" applyNumberFormat="0" applyProtection="0">
      <alignment horizontal="left" vertical="center" indent="1"/>
    </xf>
    <xf numFmtId="4" fontId="174" fillId="62" borderId="98" applyNumberFormat="0" applyProtection="0">
      <alignment horizontal="left" vertical="center" indent="1"/>
    </xf>
    <xf numFmtId="4" fontId="174" fillId="62" borderId="98" applyNumberFormat="0" applyProtection="0">
      <alignment horizontal="left" vertical="center" indent="1"/>
    </xf>
    <xf numFmtId="4" fontId="174" fillId="62" borderId="98" applyNumberFormat="0" applyProtection="0">
      <alignment horizontal="left" vertical="center" indent="1"/>
    </xf>
    <xf numFmtId="4" fontId="174" fillId="62" borderId="98" applyNumberFormat="0" applyProtection="0">
      <alignment horizontal="left" vertical="center" indent="1"/>
    </xf>
    <xf numFmtId="4" fontId="161" fillId="71" borderId="97" applyNumberFormat="0" applyProtection="0">
      <alignment horizontal="left" vertical="center" indent="1"/>
    </xf>
    <xf numFmtId="0" fontId="174" fillId="74" borderId="98" applyNumberFormat="0" applyProtection="0">
      <alignment horizontal="left" vertical="top" indent="1"/>
    </xf>
    <xf numFmtId="0" fontId="174" fillId="74" borderId="98" applyNumberFormat="0" applyProtection="0">
      <alignment horizontal="left" vertical="top" indent="1"/>
    </xf>
    <xf numFmtId="0" fontId="174" fillId="74" borderId="98" applyNumberFormat="0" applyProtection="0">
      <alignment horizontal="left" vertical="top" indent="1"/>
    </xf>
    <xf numFmtId="0" fontId="174" fillId="74" borderId="98" applyNumberFormat="0" applyProtection="0">
      <alignment horizontal="left" vertical="top" indent="1"/>
    </xf>
    <xf numFmtId="0" fontId="174" fillId="74" borderId="98" applyNumberFormat="0" applyProtection="0">
      <alignment horizontal="left" vertical="top" indent="1"/>
    </xf>
    <xf numFmtId="4" fontId="161" fillId="88" borderId="97" applyNumberFormat="0" applyProtection="0">
      <alignment horizontal="right" vertical="center"/>
    </xf>
    <xf numFmtId="4" fontId="140" fillId="0" borderId="96" applyNumberFormat="0" applyProtection="0">
      <alignment horizontal="right" vertical="center"/>
    </xf>
    <xf numFmtId="4" fontId="140" fillId="0" borderId="96" applyNumberFormat="0" applyProtection="0">
      <alignment horizontal="right" vertical="center"/>
    </xf>
    <xf numFmtId="4" fontId="140" fillId="0" borderId="96" applyNumberFormat="0" applyProtection="0">
      <alignment horizontal="right" vertical="center"/>
    </xf>
    <xf numFmtId="4" fontId="140" fillId="0" borderId="96" applyNumberFormat="0" applyProtection="0">
      <alignment horizontal="right" vertical="center"/>
    </xf>
    <xf numFmtId="4" fontId="140" fillId="0" borderId="96" applyNumberFormat="0" applyProtection="0">
      <alignment horizontal="right" vertical="center"/>
    </xf>
    <xf numFmtId="4" fontId="168" fillId="88" borderId="97" applyNumberFormat="0" applyProtection="0">
      <alignment horizontal="right" vertical="center"/>
    </xf>
    <xf numFmtId="4" fontId="157" fillId="4" borderId="96" applyNumberFormat="0" applyProtection="0">
      <alignment horizontal="right" vertical="center"/>
    </xf>
    <xf numFmtId="4" fontId="157" fillId="4" borderId="96" applyNumberFormat="0" applyProtection="0">
      <alignment horizontal="right" vertical="center"/>
    </xf>
    <xf numFmtId="4" fontId="157" fillId="4" borderId="96" applyNumberFormat="0" applyProtection="0">
      <alignment horizontal="right" vertical="center"/>
    </xf>
    <xf numFmtId="4" fontId="157" fillId="4" borderId="96" applyNumberFormat="0" applyProtection="0">
      <alignment horizontal="right" vertical="center"/>
    </xf>
    <xf numFmtId="4" fontId="157" fillId="4" borderId="96" applyNumberFormat="0" applyProtection="0">
      <alignment horizontal="right" vertical="center"/>
    </xf>
    <xf numFmtId="4" fontId="140" fillId="32" borderId="96" applyNumberFormat="0" applyProtection="0">
      <alignment horizontal="left" vertical="center" indent="1"/>
    </xf>
    <xf numFmtId="4" fontId="140" fillId="32" borderId="96" applyNumberFormat="0" applyProtection="0">
      <alignment horizontal="left" vertical="center" indent="1"/>
    </xf>
    <xf numFmtId="4" fontId="140" fillId="32" borderId="96" applyNumberFormat="0" applyProtection="0">
      <alignment horizontal="left" vertical="center" indent="1"/>
    </xf>
    <xf numFmtId="4" fontId="140" fillId="32" borderId="96" applyNumberFormat="0" applyProtection="0">
      <alignment horizontal="left" vertical="center" indent="1"/>
    </xf>
    <xf numFmtId="4" fontId="140" fillId="32" borderId="96" applyNumberFormat="0" applyProtection="0">
      <alignment horizontal="left" vertical="center" indent="1"/>
    </xf>
    <xf numFmtId="4" fontId="140" fillId="32" borderId="96" applyNumberFormat="0" applyProtection="0">
      <alignment horizontal="left" vertical="center" indent="1"/>
    </xf>
    <xf numFmtId="0" fontId="174" fillId="91" borderId="98" applyNumberFormat="0" applyProtection="0">
      <alignment horizontal="left" vertical="top" indent="1"/>
    </xf>
    <xf numFmtId="0" fontId="174" fillId="91" borderId="98" applyNumberFormat="0" applyProtection="0">
      <alignment horizontal="left" vertical="top" indent="1"/>
    </xf>
    <xf numFmtId="0" fontId="174" fillId="91" borderId="98" applyNumberFormat="0" applyProtection="0">
      <alignment horizontal="left" vertical="top" indent="1"/>
    </xf>
    <xf numFmtId="0" fontId="174" fillId="91" borderId="98" applyNumberFormat="0" applyProtection="0">
      <alignment horizontal="left" vertical="top" indent="1"/>
    </xf>
    <xf numFmtId="0" fontId="174" fillId="91" borderId="98" applyNumberFormat="0" applyProtection="0">
      <alignment horizontal="left" vertical="top" indent="1"/>
    </xf>
    <xf numFmtId="4" fontId="157" fillId="100" borderId="94" applyNumberFormat="0" applyProtection="0">
      <alignment horizontal="left" vertical="center" indent="1"/>
    </xf>
    <xf numFmtId="4" fontId="157" fillId="100" borderId="94" applyNumberFormat="0" applyProtection="0">
      <alignment horizontal="left" vertical="center" indent="1"/>
    </xf>
    <xf numFmtId="4" fontId="157" fillId="100" borderId="94" applyNumberFormat="0" applyProtection="0">
      <alignment horizontal="left" vertical="center" indent="1"/>
    </xf>
    <xf numFmtId="4" fontId="157" fillId="100" borderId="94" applyNumberFormat="0" applyProtection="0">
      <alignment horizontal="left" vertical="center" indent="1"/>
    </xf>
    <xf numFmtId="4" fontId="157" fillId="100" borderId="94" applyNumberFormat="0" applyProtection="0">
      <alignment horizontal="left" vertical="center" indent="1"/>
    </xf>
    <xf numFmtId="4" fontId="167" fillId="88" borderId="97" applyNumberFormat="0" applyProtection="0">
      <alignment horizontal="right" vertical="center"/>
    </xf>
    <xf numFmtId="4" fontId="157" fillId="99" borderId="96" applyNumberFormat="0" applyProtection="0">
      <alignment horizontal="right" vertical="center"/>
    </xf>
    <xf numFmtId="4" fontId="157" fillId="99" borderId="96" applyNumberFormat="0" applyProtection="0">
      <alignment horizontal="right" vertical="center"/>
    </xf>
    <xf numFmtId="4" fontId="157" fillId="99" borderId="96" applyNumberFormat="0" applyProtection="0">
      <alignment horizontal="right" vertical="center"/>
    </xf>
    <xf numFmtId="4" fontId="157" fillId="99" borderId="96" applyNumberFormat="0" applyProtection="0">
      <alignment horizontal="right" vertical="center"/>
    </xf>
    <xf numFmtId="4" fontId="157" fillId="99" borderId="96" applyNumberFormat="0" applyProtection="0">
      <alignment horizontal="right" vertical="center"/>
    </xf>
    <xf numFmtId="2" fontId="176" fillId="102" borderId="101" applyProtection="0"/>
    <xf numFmtId="2" fontId="176" fillId="102" borderId="101" applyProtection="0"/>
    <xf numFmtId="2" fontId="156" fillId="103" borderId="101" applyProtection="0"/>
    <xf numFmtId="2" fontId="156" fillId="104" borderId="101" applyProtection="0"/>
    <xf numFmtId="2" fontId="156" fillId="105" borderId="101" applyProtection="0"/>
    <xf numFmtId="2" fontId="156" fillId="105" borderId="101" applyProtection="0">
      <alignment horizontal="center"/>
    </xf>
    <xf numFmtId="2" fontId="156" fillId="104" borderId="101" applyProtection="0">
      <alignment horizontal="center"/>
    </xf>
    <xf numFmtId="0" fontId="157" fillId="0" borderId="94">
      <alignment horizontal="left" vertical="top" wrapText="1"/>
    </xf>
    <xf numFmtId="0" fontId="124" fillId="0" borderId="102" applyNumberFormat="0" applyFill="0" applyAlignment="0" applyProtection="0"/>
    <xf numFmtId="0" fontId="118" fillId="25" borderId="93" applyNumberFormat="0" applyAlignment="0" applyProtection="0"/>
    <xf numFmtId="0" fontId="118" fillId="25" borderId="93" applyNumberFormat="0" applyAlignment="0" applyProtection="0"/>
    <xf numFmtId="0" fontId="119" fillId="62" borderId="97" applyNumberFormat="0" applyAlignment="0" applyProtection="0"/>
    <xf numFmtId="0" fontId="119" fillId="62" borderId="97" applyNumberFormat="0" applyAlignment="0" applyProtection="0"/>
    <xf numFmtId="0" fontId="120" fillId="62" borderId="93" applyNumberFormat="0" applyAlignment="0" applyProtection="0"/>
    <xf numFmtId="0" fontId="120" fillId="62" borderId="93" applyNumberFormat="0" applyAlignment="0" applyProtection="0"/>
    <xf numFmtId="0" fontId="124" fillId="0" borderId="102" applyNumberFormat="0" applyFill="0" applyAlignment="0" applyProtection="0"/>
    <xf numFmtId="0" fontId="124" fillId="0" borderId="102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5" fontId="143" fillId="70" borderId="104" applyNumberFormat="0" applyFont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74" borderId="95" applyNumberFormat="0" applyFont="0" applyAlignment="0" applyProtection="0"/>
    <xf numFmtId="0" fontId="46" fillId="74" borderId="95" applyNumberFormat="0" applyFont="0" applyAlignment="0" applyProtection="0"/>
    <xf numFmtId="0" fontId="156" fillId="18" borderId="107" applyNumberFormat="0">
      <alignment readingOrder="1"/>
      <protection locked="0"/>
    </xf>
    <xf numFmtId="9" fontId="6" fillId="0" borderId="0" applyFont="0" applyFill="0" applyBorder="0" applyAlignment="0" applyProtection="0"/>
    <xf numFmtId="0" fontId="180" fillId="0" borderId="103"/>
    <xf numFmtId="0" fontId="6" fillId="0" borderId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/>
    <xf numFmtId="0" fontId="140" fillId="96" borderId="111" applyNumberFormat="0" applyProtection="0">
      <alignment horizontal="left" vertical="center" indent="1"/>
    </xf>
    <xf numFmtId="0" fontId="140" fillId="96" borderId="111" applyNumberFormat="0" applyProtection="0">
      <alignment horizontal="left" vertical="center" indent="1"/>
    </xf>
    <xf numFmtId="0" fontId="140" fillId="96" borderId="111" applyNumberFormat="0" applyProtection="0">
      <alignment horizontal="left" vertical="center" indent="1"/>
    </xf>
    <xf numFmtId="0" fontId="140" fillId="96" borderId="111" applyNumberFormat="0" applyProtection="0">
      <alignment horizontal="left" vertical="center" indent="1"/>
    </xf>
    <xf numFmtId="0" fontId="140" fillId="96" borderId="111" applyNumberFormat="0" applyProtection="0">
      <alignment horizontal="left" vertical="center" indent="1"/>
    </xf>
    <xf numFmtId="0" fontId="116" fillId="91" borderId="113" applyNumberFormat="0" applyProtection="0">
      <alignment horizontal="left" vertical="top" indent="1"/>
    </xf>
    <xf numFmtId="0" fontId="116" fillId="91" borderId="113" applyNumberFormat="0" applyProtection="0">
      <alignment horizontal="left" vertical="top" indent="1"/>
    </xf>
    <xf numFmtId="0" fontId="116" fillId="91" borderId="113" applyNumberFormat="0" applyProtection="0">
      <alignment horizontal="left" vertical="top" indent="1"/>
    </xf>
    <xf numFmtId="0" fontId="116" fillId="91" borderId="113" applyNumberFormat="0" applyProtection="0">
      <alignment horizontal="left" vertical="top" indent="1"/>
    </xf>
    <xf numFmtId="0" fontId="116" fillId="91" borderId="113" applyNumberFormat="0" applyProtection="0">
      <alignment horizontal="left" vertical="top" indent="1"/>
    </xf>
    <xf numFmtId="0" fontId="116" fillId="91" borderId="113" applyNumberFormat="0" applyProtection="0">
      <alignment horizontal="left" vertical="top" indent="1"/>
    </xf>
    <xf numFmtId="0" fontId="116" fillId="91" borderId="113" applyNumberFormat="0" applyProtection="0">
      <alignment horizontal="left" vertical="top" indent="1"/>
    </xf>
    <xf numFmtId="0" fontId="116" fillId="91" borderId="113" applyNumberFormat="0" applyProtection="0">
      <alignment horizontal="left" vertical="top" indent="1"/>
    </xf>
    <xf numFmtId="0" fontId="140" fillId="26" borderId="111" applyNumberFormat="0" applyProtection="0">
      <alignment horizontal="left" vertical="center" indent="1"/>
    </xf>
    <xf numFmtId="0" fontId="140" fillId="26" borderId="111" applyNumberFormat="0" applyProtection="0">
      <alignment horizontal="left" vertical="center" indent="1"/>
    </xf>
    <xf numFmtId="0" fontId="140" fillId="26" borderId="111" applyNumberFormat="0" applyProtection="0">
      <alignment horizontal="left" vertical="center" indent="1"/>
    </xf>
    <xf numFmtId="0" fontId="140" fillId="26" borderId="111" applyNumberFormat="0" applyProtection="0">
      <alignment horizontal="left" vertical="center" indent="1"/>
    </xf>
    <xf numFmtId="0" fontId="140" fillId="26" borderId="111" applyNumberFormat="0" applyProtection="0">
      <alignment horizontal="left" vertical="center" indent="1"/>
    </xf>
    <xf numFmtId="0" fontId="13" fillId="69" borderId="112" applyNumberFormat="0" applyProtection="0">
      <alignment horizontal="left" vertical="center" indent="1"/>
    </xf>
    <xf numFmtId="0" fontId="116" fillId="26" borderId="113" applyNumberFormat="0" applyProtection="0">
      <alignment horizontal="left" vertical="top" indent="1"/>
    </xf>
    <xf numFmtId="0" fontId="116" fillId="26" borderId="113" applyNumberFormat="0" applyProtection="0">
      <alignment horizontal="left" vertical="top" indent="1"/>
    </xf>
    <xf numFmtId="0" fontId="116" fillId="26" borderId="113" applyNumberFormat="0" applyProtection="0">
      <alignment horizontal="left" vertical="top" indent="1"/>
    </xf>
    <xf numFmtId="0" fontId="116" fillId="26" borderId="113" applyNumberFormat="0" applyProtection="0">
      <alignment horizontal="left" vertical="top" indent="1"/>
    </xf>
    <xf numFmtId="0" fontId="116" fillId="26" borderId="113" applyNumberFormat="0" applyProtection="0">
      <alignment horizontal="left" vertical="top" indent="1"/>
    </xf>
    <xf numFmtId="0" fontId="116" fillId="26" borderId="113" applyNumberFormat="0" applyProtection="0">
      <alignment horizontal="left" vertical="top" indent="1"/>
    </xf>
    <xf numFmtId="0" fontId="116" fillId="26" borderId="113" applyNumberFormat="0" applyProtection="0">
      <alignment horizontal="left" vertical="top" indent="1"/>
    </xf>
    <xf numFmtId="0" fontId="116" fillId="26" borderId="113" applyNumberFormat="0" applyProtection="0">
      <alignment horizontal="left" vertical="top" indent="1"/>
    </xf>
    <xf numFmtId="0" fontId="140" fillId="92" borderId="111" applyNumberFormat="0" applyProtection="0">
      <alignment horizontal="left" vertical="center" indent="1"/>
    </xf>
    <xf numFmtId="0" fontId="140" fillId="92" borderId="111" applyNumberFormat="0" applyProtection="0">
      <alignment horizontal="left" vertical="center" indent="1"/>
    </xf>
    <xf numFmtId="0" fontId="140" fillId="92" borderId="111" applyNumberFormat="0" applyProtection="0">
      <alignment horizontal="left" vertical="center" indent="1"/>
    </xf>
    <xf numFmtId="0" fontId="140" fillId="92" borderId="111" applyNumberFormat="0" applyProtection="0">
      <alignment horizontal="left" vertical="center" indent="1"/>
    </xf>
    <xf numFmtId="0" fontId="140" fillId="92" borderId="111" applyNumberFormat="0" applyProtection="0">
      <alignment horizontal="left" vertical="center" indent="1"/>
    </xf>
    <xf numFmtId="0" fontId="13" fillId="18" borderId="112" applyNumberFormat="0" applyProtection="0">
      <alignment horizontal="left" vertical="center" indent="1"/>
    </xf>
    <xf numFmtId="0" fontId="116" fillId="92" borderId="113" applyNumberFormat="0" applyProtection="0">
      <alignment horizontal="left" vertical="top" indent="1"/>
    </xf>
    <xf numFmtId="0" fontId="116" fillId="92" borderId="113" applyNumberFormat="0" applyProtection="0">
      <alignment horizontal="left" vertical="top" indent="1"/>
    </xf>
    <xf numFmtId="0" fontId="116" fillId="92" borderId="113" applyNumberFormat="0" applyProtection="0">
      <alignment horizontal="left" vertical="top" indent="1"/>
    </xf>
    <xf numFmtId="0" fontId="116" fillId="92" borderId="113" applyNumberFormat="0" applyProtection="0">
      <alignment horizontal="left" vertical="top" indent="1"/>
    </xf>
    <xf numFmtId="0" fontId="116" fillId="92" borderId="113" applyNumberFormat="0" applyProtection="0">
      <alignment horizontal="left" vertical="top" indent="1"/>
    </xf>
    <xf numFmtId="0" fontId="116" fillId="92" borderId="113" applyNumberFormat="0" applyProtection="0">
      <alignment horizontal="left" vertical="top" indent="1"/>
    </xf>
    <xf numFmtId="0" fontId="116" fillId="92" borderId="113" applyNumberFormat="0" applyProtection="0">
      <alignment horizontal="left" vertical="top" indent="1"/>
    </xf>
    <xf numFmtId="0" fontId="116" fillId="92" borderId="113" applyNumberFormat="0" applyProtection="0">
      <alignment horizontal="left" vertical="top" indent="1"/>
    </xf>
    <xf numFmtId="0" fontId="13" fillId="99" borderId="106" applyNumberFormat="0">
      <protection locked="0"/>
    </xf>
    <xf numFmtId="0" fontId="13" fillId="99" borderId="106" applyNumberFormat="0">
      <protection locked="0"/>
    </xf>
    <xf numFmtId="0" fontId="173" fillId="89" borderId="114" applyBorder="0"/>
    <xf numFmtId="4" fontId="161" fillId="71" borderId="112" applyNumberFormat="0" applyProtection="0">
      <alignment vertical="center"/>
    </xf>
    <xf numFmtId="4" fontId="174" fillId="74" borderId="113" applyNumberFormat="0" applyProtection="0">
      <alignment vertical="center"/>
    </xf>
    <xf numFmtId="4" fontId="174" fillId="74" borderId="113" applyNumberFormat="0" applyProtection="0">
      <alignment vertical="center"/>
    </xf>
    <xf numFmtId="4" fontId="174" fillId="74" borderId="113" applyNumberFormat="0" applyProtection="0">
      <alignment vertical="center"/>
    </xf>
    <xf numFmtId="4" fontId="174" fillId="74" borderId="113" applyNumberFormat="0" applyProtection="0">
      <alignment vertical="center"/>
    </xf>
    <xf numFmtId="4" fontId="174" fillId="74" borderId="113" applyNumberFormat="0" applyProtection="0">
      <alignment vertical="center"/>
    </xf>
    <xf numFmtId="4" fontId="168" fillId="71" borderId="112" applyNumberFormat="0" applyProtection="0">
      <alignment vertical="center"/>
    </xf>
    <xf numFmtId="4" fontId="157" fillId="71" borderId="106" applyNumberFormat="0" applyProtection="0">
      <alignment vertical="center"/>
    </xf>
    <xf numFmtId="4" fontId="157" fillId="71" borderId="106" applyNumberFormat="0" applyProtection="0">
      <alignment vertical="center"/>
    </xf>
    <xf numFmtId="4" fontId="157" fillId="71" borderId="106" applyNumberFormat="0" applyProtection="0">
      <alignment vertical="center"/>
    </xf>
    <xf numFmtId="4" fontId="157" fillId="71" borderId="106" applyNumberFormat="0" applyProtection="0">
      <alignment vertical="center"/>
    </xf>
    <xf numFmtId="4" fontId="157" fillId="71" borderId="106" applyNumberFormat="0" applyProtection="0">
      <alignment vertical="center"/>
    </xf>
    <xf numFmtId="4" fontId="157" fillId="71" borderId="106" applyNumberFormat="0" applyProtection="0">
      <alignment vertical="center"/>
    </xf>
    <xf numFmtId="4" fontId="157" fillId="71" borderId="106" applyNumberFormat="0" applyProtection="0">
      <alignment vertical="center"/>
    </xf>
    <xf numFmtId="4" fontId="157" fillId="71" borderId="106" applyNumberFormat="0" applyProtection="0">
      <alignment vertical="center"/>
    </xf>
    <xf numFmtId="4" fontId="157" fillId="71" borderId="106" applyNumberFormat="0" applyProtection="0">
      <alignment vertical="center"/>
    </xf>
    <xf numFmtId="4" fontId="157" fillId="71" borderId="106" applyNumberFormat="0" applyProtection="0">
      <alignment vertical="center"/>
    </xf>
    <xf numFmtId="4" fontId="161" fillId="71" borderId="112" applyNumberFormat="0" applyProtection="0">
      <alignment horizontal="left" vertical="center" indent="1"/>
    </xf>
    <xf numFmtId="4" fontId="174" fillId="62" borderId="113" applyNumberFormat="0" applyProtection="0">
      <alignment horizontal="left" vertical="center" indent="1"/>
    </xf>
    <xf numFmtId="4" fontId="174" fillId="62" borderId="113" applyNumberFormat="0" applyProtection="0">
      <alignment horizontal="left" vertical="center" indent="1"/>
    </xf>
    <xf numFmtId="4" fontId="174" fillId="62" borderId="113" applyNumberFormat="0" applyProtection="0">
      <alignment horizontal="left" vertical="center" indent="1"/>
    </xf>
    <xf numFmtId="4" fontId="174" fillId="62" borderId="113" applyNumberFormat="0" applyProtection="0">
      <alignment horizontal="left" vertical="center" indent="1"/>
    </xf>
    <xf numFmtId="4" fontId="174" fillId="62" borderId="113" applyNumberFormat="0" applyProtection="0">
      <alignment horizontal="left" vertical="center" indent="1"/>
    </xf>
    <xf numFmtId="4" fontId="161" fillId="71" borderId="112" applyNumberFormat="0" applyProtection="0">
      <alignment horizontal="left" vertical="center" indent="1"/>
    </xf>
    <xf numFmtId="0" fontId="174" fillId="74" borderId="113" applyNumberFormat="0" applyProtection="0">
      <alignment horizontal="left" vertical="top" indent="1"/>
    </xf>
    <xf numFmtId="0" fontId="174" fillId="74" borderId="113" applyNumberFormat="0" applyProtection="0">
      <alignment horizontal="left" vertical="top" indent="1"/>
    </xf>
    <xf numFmtId="0" fontId="174" fillId="74" borderId="113" applyNumberFormat="0" applyProtection="0">
      <alignment horizontal="left" vertical="top" indent="1"/>
    </xf>
    <xf numFmtId="0" fontId="174" fillId="74" borderId="113" applyNumberFormat="0" applyProtection="0">
      <alignment horizontal="left" vertical="top" indent="1"/>
    </xf>
    <xf numFmtId="0" fontId="174" fillId="74" borderId="113" applyNumberFormat="0" applyProtection="0">
      <alignment horizontal="left" vertical="top" indent="1"/>
    </xf>
    <xf numFmtId="4" fontId="161" fillId="88" borderId="112" applyNumberFormat="0" applyProtection="0">
      <alignment horizontal="right" vertical="center"/>
    </xf>
    <xf numFmtId="4" fontId="140" fillId="0" borderId="111" applyNumberFormat="0" applyProtection="0">
      <alignment horizontal="right" vertical="center"/>
    </xf>
    <xf numFmtId="4" fontId="140" fillId="0" borderId="111" applyNumberFormat="0" applyProtection="0">
      <alignment horizontal="right" vertical="center"/>
    </xf>
    <xf numFmtId="4" fontId="140" fillId="0" borderId="111" applyNumberFormat="0" applyProtection="0">
      <alignment horizontal="right" vertical="center"/>
    </xf>
    <xf numFmtId="4" fontId="140" fillId="0" borderId="111" applyNumberFormat="0" applyProtection="0">
      <alignment horizontal="right" vertical="center"/>
    </xf>
    <xf numFmtId="4" fontId="140" fillId="0" borderId="111" applyNumberFormat="0" applyProtection="0">
      <alignment horizontal="right" vertical="center"/>
    </xf>
    <xf numFmtId="4" fontId="168" fillId="88" borderId="112" applyNumberFormat="0" applyProtection="0">
      <alignment horizontal="right" vertical="center"/>
    </xf>
    <xf numFmtId="4" fontId="157" fillId="4" borderId="111" applyNumberFormat="0" applyProtection="0">
      <alignment horizontal="right" vertical="center"/>
    </xf>
    <xf numFmtId="4" fontId="157" fillId="4" borderId="111" applyNumberFormat="0" applyProtection="0">
      <alignment horizontal="right" vertical="center"/>
    </xf>
    <xf numFmtId="4" fontId="157" fillId="4" borderId="111" applyNumberFormat="0" applyProtection="0">
      <alignment horizontal="right" vertical="center"/>
    </xf>
    <xf numFmtId="4" fontId="157" fillId="4" borderId="111" applyNumberFormat="0" applyProtection="0">
      <alignment horizontal="right" vertical="center"/>
    </xf>
    <xf numFmtId="4" fontId="157" fillId="4" borderId="111" applyNumberFormat="0" applyProtection="0">
      <alignment horizontal="right" vertical="center"/>
    </xf>
    <xf numFmtId="4" fontId="140" fillId="32" borderId="111" applyNumberFormat="0" applyProtection="0">
      <alignment horizontal="left" vertical="center" indent="1"/>
    </xf>
    <xf numFmtId="4" fontId="140" fillId="32" borderId="111" applyNumberFormat="0" applyProtection="0">
      <alignment horizontal="left" vertical="center" indent="1"/>
    </xf>
    <xf numFmtId="4" fontId="140" fillId="32" borderId="111" applyNumberFormat="0" applyProtection="0">
      <alignment horizontal="left" vertical="center" indent="1"/>
    </xf>
    <xf numFmtId="4" fontId="140" fillId="32" borderId="111" applyNumberFormat="0" applyProtection="0">
      <alignment horizontal="left" vertical="center" indent="1"/>
    </xf>
    <xf numFmtId="4" fontId="140" fillId="32" borderId="111" applyNumberFormat="0" applyProtection="0">
      <alignment horizontal="left" vertical="center" indent="1"/>
    </xf>
    <xf numFmtId="4" fontId="140" fillId="32" borderId="111" applyNumberFormat="0" applyProtection="0">
      <alignment horizontal="left" vertical="center" indent="1"/>
    </xf>
    <xf numFmtId="0" fontId="174" fillId="91" borderId="113" applyNumberFormat="0" applyProtection="0">
      <alignment horizontal="left" vertical="top" indent="1"/>
    </xf>
    <xf numFmtId="0" fontId="174" fillId="91" borderId="113" applyNumberFormat="0" applyProtection="0">
      <alignment horizontal="left" vertical="top" indent="1"/>
    </xf>
    <xf numFmtId="0" fontId="174" fillId="91" borderId="113" applyNumberFormat="0" applyProtection="0">
      <alignment horizontal="left" vertical="top" indent="1"/>
    </xf>
    <xf numFmtId="0" fontId="174" fillId="91" borderId="113" applyNumberFormat="0" applyProtection="0">
      <alignment horizontal="left" vertical="top" indent="1"/>
    </xf>
    <xf numFmtId="0" fontId="174" fillId="91" borderId="113" applyNumberFormat="0" applyProtection="0">
      <alignment horizontal="left" vertical="top" indent="1"/>
    </xf>
    <xf numFmtId="4" fontId="157" fillId="100" borderId="108" applyNumberFormat="0" applyProtection="0">
      <alignment horizontal="left" vertical="center" indent="1"/>
    </xf>
    <xf numFmtId="4" fontId="157" fillId="100" borderId="108" applyNumberFormat="0" applyProtection="0">
      <alignment horizontal="left" vertical="center" indent="1"/>
    </xf>
    <xf numFmtId="4" fontId="157" fillId="100" borderId="108" applyNumberFormat="0" applyProtection="0">
      <alignment horizontal="left" vertical="center" indent="1"/>
    </xf>
    <xf numFmtId="4" fontId="157" fillId="100" borderId="108" applyNumberFormat="0" applyProtection="0">
      <alignment horizontal="left" vertical="center" indent="1"/>
    </xf>
    <xf numFmtId="4" fontId="157" fillId="100" borderId="108" applyNumberFormat="0" applyProtection="0">
      <alignment horizontal="left" vertical="center" indent="1"/>
    </xf>
    <xf numFmtId="0" fontId="140" fillId="101" borderId="106"/>
    <xf numFmtId="0" fontId="140" fillId="101" borderId="106"/>
    <xf numFmtId="4" fontId="167" fillId="88" borderId="112" applyNumberFormat="0" applyProtection="0">
      <alignment horizontal="right" vertical="center"/>
    </xf>
    <xf numFmtId="4" fontId="157" fillId="99" borderId="111" applyNumberFormat="0" applyProtection="0">
      <alignment horizontal="right" vertical="center"/>
    </xf>
    <xf numFmtId="4" fontId="157" fillId="99" borderId="111" applyNumberFormat="0" applyProtection="0">
      <alignment horizontal="right" vertical="center"/>
    </xf>
    <xf numFmtId="4" fontId="157" fillId="99" borderId="111" applyNumberFormat="0" applyProtection="0">
      <alignment horizontal="right" vertical="center"/>
    </xf>
    <xf numFmtId="4" fontId="157" fillId="99" borderId="111" applyNumberFormat="0" applyProtection="0">
      <alignment horizontal="right" vertical="center"/>
    </xf>
    <xf numFmtId="4" fontId="157" fillId="99" borderId="111" applyNumberFormat="0" applyProtection="0">
      <alignment horizontal="right" vertical="center"/>
    </xf>
    <xf numFmtId="2" fontId="176" fillId="102" borderId="115" applyProtection="0"/>
    <xf numFmtId="2" fontId="176" fillId="102" borderId="115" applyProtection="0"/>
    <xf numFmtId="2" fontId="156" fillId="103" borderId="115" applyProtection="0"/>
    <xf numFmtId="2" fontId="156" fillId="104" borderId="115" applyProtection="0"/>
    <xf numFmtId="2" fontId="156" fillId="105" borderId="115" applyProtection="0"/>
    <xf numFmtId="2" fontId="156" fillId="105" borderId="115" applyProtection="0">
      <alignment horizontal="center"/>
    </xf>
    <xf numFmtId="2" fontId="156" fillId="104" borderId="115" applyProtection="0">
      <alignment horizontal="center"/>
    </xf>
    <xf numFmtId="0" fontId="157" fillId="0" borderId="108">
      <alignment horizontal="left" vertical="top" wrapText="1"/>
    </xf>
    <xf numFmtId="0" fontId="124" fillId="0" borderId="116" applyNumberFormat="0" applyFill="0" applyAlignment="0" applyProtection="0"/>
    <xf numFmtId="0" fontId="118" fillId="25" borderId="107" applyNumberFormat="0" applyAlignment="0" applyProtection="0"/>
    <xf numFmtId="0" fontId="118" fillId="25" borderId="107" applyNumberFormat="0" applyAlignment="0" applyProtection="0"/>
    <xf numFmtId="0" fontId="119" fillId="62" borderId="112" applyNumberFormat="0" applyAlignment="0" applyProtection="0"/>
    <xf numFmtId="0" fontId="119" fillId="62" borderId="112" applyNumberFormat="0" applyAlignment="0" applyProtection="0"/>
    <xf numFmtId="0" fontId="120" fillId="62" borderId="107" applyNumberFormat="0" applyAlignment="0" applyProtection="0"/>
    <xf numFmtId="0" fontId="120" fillId="62" borderId="107" applyNumberFormat="0" applyAlignment="0" applyProtection="0"/>
    <xf numFmtId="0" fontId="123" fillId="0" borderId="109" applyNumberFormat="0" applyFill="0" applyAlignment="0" applyProtection="0"/>
    <xf numFmtId="0" fontId="123" fillId="0" borderId="109" applyNumberFormat="0" applyFill="0" applyAlignment="0" applyProtection="0"/>
    <xf numFmtId="4" fontId="152" fillId="70" borderId="106" applyBorder="0">
      <alignment horizontal="right"/>
    </xf>
    <xf numFmtId="0" fontId="124" fillId="0" borderId="116" applyNumberFormat="0" applyFill="0" applyAlignment="0" applyProtection="0"/>
    <xf numFmtId="0" fontId="124" fillId="0" borderId="116" applyNumberFormat="0" applyFill="0" applyAlignment="0" applyProtection="0"/>
    <xf numFmtId="0" fontId="6" fillId="0" borderId="0"/>
    <xf numFmtId="0" fontId="13" fillId="74" borderId="110" applyNumberFormat="0" applyFont="0" applyAlignment="0" applyProtection="0"/>
    <xf numFmtId="0" fontId="46" fillId="74" borderId="110" applyNumberFormat="0" applyFont="0" applyAlignment="0" applyProtection="0"/>
    <xf numFmtId="0" fontId="180" fillId="0" borderId="117"/>
    <xf numFmtId="0" fontId="6" fillId="0" borderId="0"/>
    <xf numFmtId="0" fontId="6" fillId="0" borderId="0"/>
    <xf numFmtId="0" fontId="13" fillId="99" borderId="104" applyNumberFormat="0">
      <protection locked="0"/>
    </xf>
    <xf numFmtId="0" fontId="13" fillId="99" borderId="104" applyNumberFormat="0">
      <protection locked="0"/>
    </xf>
    <xf numFmtId="4" fontId="157" fillId="71" borderId="104" applyNumberFormat="0" applyProtection="0">
      <alignment vertical="center"/>
    </xf>
    <xf numFmtId="4" fontId="157" fillId="71" borderId="104" applyNumberFormat="0" applyProtection="0">
      <alignment vertical="center"/>
    </xf>
    <xf numFmtId="4" fontId="157" fillId="71" borderId="104" applyNumberFormat="0" applyProtection="0">
      <alignment vertical="center"/>
    </xf>
    <xf numFmtId="4" fontId="157" fillId="71" borderId="104" applyNumberFormat="0" applyProtection="0">
      <alignment vertical="center"/>
    </xf>
    <xf numFmtId="4" fontId="157" fillId="71" borderId="104" applyNumberFormat="0" applyProtection="0">
      <alignment vertical="center"/>
    </xf>
    <xf numFmtId="4" fontId="157" fillId="71" borderId="104" applyNumberFormat="0" applyProtection="0">
      <alignment vertical="center"/>
    </xf>
    <xf numFmtId="4" fontId="157" fillId="71" borderId="104" applyNumberFormat="0" applyProtection="0">
      <alignment vertical="center"/>
    </xf>
    <xf numFmtId="4" fontId="157" fillId="71" borderId="104" applyNumberFormat="0" applyProtection="0">
      <alignment vertical="center"/>
    </xf>
    <xf numFmtId="4" fontId="157" fillId="71" borderId="104" applyNumberFormat="0" applyProtection="0">
      <alignment vertical="center"/>
    </xf>
    <xf numFmtId="4" fontId="157" fillId="71" borderId="104" applyNumberFormat="0" applyProtection="0">
      <alignment vertical="center"/>
    </xf>
    <xf numFmtId="0" fontId="140" fillId="101" borderId="104"/>
    <xf numFmtId="0" fontId="140" fillId="101" borderId="104"/>
    <xf numFmtId="4" fontId="152" fillId="70" borderId="104" applyBorder="0">
      <alignment horizontal="right"/>
    </xf>
    <xf numFmtId="0" fontId="6" fillId="0" borderId="0"/>
    <xf numFmtId="0" fontId="6" fillId="0" borderId="0"/>
    <xf numFmtId="0" fontId="5" fillId="0" borderId="0"/>
    <xf numFmtId="0" fontId="5" fillId="0" borderId="0"/>
    <xf numFmtId="0" fontId="123" fillId="0" borderId="119" applyNumberFormat="0" applyFill="0" applyAlignment="0" applyProtection="0"/>
    <xf numFmtId="0" fontId="123" fillId="0" borderId="119" applyNumberFormat="0" applyFill="0" applyAlignment="0" applyProtection="0"/>
    <xf numFmtId="0" fontId="123" fillId="0" borderId="1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56" fillId="18" borderId="120" applyNumberFormat="0">
      <alignment readingOrder="1"/>
      <protection locked="0"/>
    </xf>
    <xf numFmtId="0" fontId="123" fillId="0" borderId="138" applyNumberFormat="0" applyFill="0" applyAlignment="0" applyProtection="0"/>
    <xf numFmtId="185" fontId="143" fillId="70" borderId="135" applyNumberFormat="0" applyFont="0" applyAlignment="0">
      <protection locked="0"/>
    </xf>
    <xf numFmtId="0" fontId="141" fillId="0" borderId="136">
      <alignment horizontal="left" vertical="center"/>
    </xf>
    <xf numFmtId="0" fontId="123" fillId="0" borderId="137" applyNumberFormat="0" applyFill="0" applyAlignment="0" applyProtection="0"/>
    <xf numFmtId="185" fontId="143" fillId="70" borderId="135" applyNumberFormat="0" applyFont="0" applyAlignment="0">
      <protection locked="0"/>
    </xf>
    <xf numFmtId="10" fontId="140" fillId="71" borderId="135" applyNumberFormat="0" applyBorder="0" applyAlignment="0" applyProtection="0"/>
    <xf numFmtId="4" fontId="161" fillId="88" borderId="134" applyNumberFormat="0" applyProtection="0">
      <alignment horizontal="left" vertical="center" indent="1"/>
    </xf>
    <xf numFmtId="185" fontId="143" fillId="70" borderId="135" applyNumberFormat="0" applyFont="0" applyAlignment="0">
      <protection locked="0"/>
    </xf>
    <xf numFmtId="10" fontId="140" fillId="71" borderId="131" applyNumberFormat="0" applyBorder="0" applyAlignment="0" applyProtection="0"/>
    <xf numFmtId="185" fontId="143" fillId="70" borderId="131" applyNumberFormat="0" applyFont="0" applyAlignment="0">
      <protection locked="0"/>
    </xf>
    <xf numFmtId="0" fontId="123" fillId="0" borderId="133" applyNumberFormat="0" applyFill="0" applyAlignment="0" applyProtection="0"/>
    <xf numFmtId="0" fontId="141" fillId="0" borderId="132">
      <alignment horizontal="left" vertical="center"/>
    </xf>
    <xf numFmtId="0" fontId="159" fillId="0" borderId="121">
      <alignment horizontal="left" vertical="top" wrapText="1"/>
    </xf>
    <xf numFmtId="0" fontId="159" fillId="0" borderId="121">
      <alignment horizontal="center" vertical="top" wrapText="1"/>
    </xf>
    <xf numFmtId="0" fontId="120" fillId="62" borderId="120" applyNumberFormat="0" applyAlignment="0" applyProtection="0"/>
    <xf numFmtId="0" fontId="157" fillId="0" borderId="131">
      <alignment horizontal="center" vertical="top" wrapText="1"/>
      <protection locked="0"/>
    </xf>
    <xf numFmtId="0" fontId="157" fillId="0" borderId="131">
      <alignment horizontal="center" vertical="top" wrapText="1"/>
      <protection locked="0"/>
    </xf>
    <xf numFmtId="49" fontId="157" fillId="0" borderId="131">
      <alignment horizontal="center" vertical="top" wrapText="1"/>
      <protection locked="0"/>
    </xf>
    <xf numFmtId="49" fontId="157" fillId="0" borderId="131">
      <alignment horizontal="center" vertical="top" wrapText="1"/>
      <protection locked="0"/>
    </xf>
    <xf numFmtId="0" fontId="157" fillId="61" borderId="131">
      <alignment horizontal="right" vertical="top"/>
      <protection locked="0"/>
    </xf>
    <xf numFmtId="0" fontId="157" fillId="61" borderId="131">
      <alignment horizontal="right" vertical="top"/>
      <protection locked="0"/>
    </xf>
    <xf numFmtId="49" fontId="157" fillId="61" borderId="131">
      <alignment horizontal="right" vertical="top"/>
      <protection locked="0"/>
    </xf>
    <xf numFmtId="49" fontId="157" fillId="61" borderId="131">
      <alignment horizontal="right" vertical="top"/>
      <protection locked="0"/>
    </xf>
    <xf numFmtId="0" fontId="157" fillId="0" borderId="131">
      <alignment horizontal="right" vertical="top"/>
      <protection locked="0"/>
    </xf>
    <xf numFmtId="0" fontId="157" fillId="0" borderId="131">
      <alignment horizontal="right" vertical="top"/>
      <protection locked="0"/>
    </xf>
    <xf numFmtId="49" fontId="157" fillId="0" borderId="131">
      <alignment horizontal="right" vertical="top"/>
      <protection locked="0"/>
    </xf>
    <xf numFmtId="49" fontId="157" fillId="0" borderId="131">
      <alignment horizontal="right" vertical="top"/>
      <protection locked="0"/>
    </xf>
    <xf numFmtId="0" fontId="157" fillId="22" borderId="131">
      <alignment horizontal="right" vertical="top"/>
      <protection locked="0"/>
    </xf>
    <xf numFmtId="0" fontId="157" fillId="22" borderId="131">
      <alignment horizontal="right" vertical="top"/>
      <protection locked="0"/>
    </xf>
    <xf numFmtId="49" fontId="157" fillId="22" borderId="131">
      <alignment horizontal="right" vertical="top"/>
      <protection locked="0"/>
    </xf>
    <xf numFmtId="49" fontId="157" fillId="22" borderId="131">
      <alignment horizontal="right" vertical="top"/>
      <protection locked="0"/>
    </xf>
    <xf numFmtId="49" fontId="46" fillId="0" borderId="131">
      <alignment horizontal="center" vertical="top" wrapText="1"/>
      <protection locked="0"/>
    </xf>
    <xf numFmtId="49" fontId="46" fillId="0" borderId="131">
      <alignment horizontal="center" vertical="top" wrapText="1"/>
      <protection locked="0"/>
    </xf>
    <xf numFmtId="49" fontId="157" fillId="61" borderId="131">
      <alignment horizontal="left" vertical="top"/>
      <protection locked="0"/>
    </xf>
    <xf numFmtId="49" fontId="157" fillId="61" borderId="131">
      <alignment horizontal="left" vertical="top"/>
      <protection locked="0"/>
    </xf>
    <xf numFmtId="49" fontId="157" fillId="0" borderId="131">
      <alignment horizontal="left" vertical="top"/>
      <protection locked="0"/>
    </xf>
    <xf numFmtId="49" fontId="157" fillId="0" borderId="131">
      <alignment horizontal="left" vertical="top"/>
      <protection locked="0"/>
    </xf>
    <xf numFmtId="49" fontId="157" fillId="22" borderId="131">
      <alignment horizontal="left" vertical="top"/>
      <protection locked="0"/>
    </xf>
    <xf numFmtId="49" fontId="157" fillId="22" borderId="131">
      <alignment horizontal="left" vertical="top"/>
      <protection locked="0"/>
    </xf>
    <xf numFmtId="0" fontId="13" fillId="99" borderId="135" applyNumberFormat="0">
      <protection locked="0"/>
    </xf>
    <xf numFmtId="0" fontId="13" fillId="99" borderId="135" applyNumberFormat="0">
      <protection locked="0"/>
    </xf>
    <xf numFmtId="0" fontId="46" fillId="74" borderId="122" applyNumberFormat="0" applyFont="0" applyAlignment="0" applyProtection="0"/>
    <xf numFmtId="0" fontId="116" fillId="57" borderId="123" applyNumberFormat="0" applyFont="0" applyAlignment="0" applyProtection="0"/>
    <xf numFmtId="0" fontId="116" fillId="57" borderId="123" applyNumberFormat="0" applyFont="0" applyAlignment="0" applyProtection="0"/>
    <xf numFmtId="0" fontId="116" fillId="57" borderId="123" applyNumberFormat="0" applyFont="0" applyAlignment="0" applyProtection="0"/>
    <xf numFmtId="0" fontId="119" fillId="62" borderId="124" applyNumberFormat="0" applyAlignment="0" applyProtection="0"/>
    <xf numFmtId="4" fontId="157" fillId="71" borderId="135" applyNumberFormat="0" applyProtection="0">
      <alignment vertical="center"/>
    </xf>
    <xf numFmtId="4" fontId="157" fillId="71" borderId="135" applyNumberFormat="0" applyProtection="0">
      <alignment vertical="center"/>
    </xf>
    <xf numFmtId="4" fontId="157" fillId="71" borderId="135" applyNumberFormat="0" applyProtection="0">
      <alignment vertical="center"/>
    </xf>
    <xf numFmtId="4" fontId="157" fillId="71" borderId="135" applyNumberFormat="0" applyProtection="0">
      <alignment vertical="center"/>
    </xf>
    <xf numFmtId="4" fontId="157" fillId="71" borderId="135" applyNumberFormat="0" applyProtection="0">
      <alignment vertical="center"/>
    </xf>
    <xf numFmtId="4" fontId="157" fillId="71" borderId="135" applyNumberFormat="0" applyProtection="0">
      <alignment vertical="center"/>
    </xf>
    <xf numFmtId="4" fontId="157" fillId="71" borderId="135" applyNumberFormat="0" applyProtection="0">
      <alignment vertical="center"/>
    </xf>
    <xf numFmtId="4" fontId="157" fillId="71" borderId="135" applyNumberFormat="0" applyProtection="0">
      <alignment vertical="center"/>
    </xf>
    <xf numFmtId="4" fontId="157" fillId="71" borderId="135" applyNumberFormat="0" applyProtection="0">
      <alignment vertical="center"/>
    </xf>
    <xf numFmtId="4" fontId="161" fillId="70" borderId="124" applyNumberFormat="0" applyProtection="0">
      <alignment vertical="center"/>
    </xf>
    <xf numFmtId="4" fontId="140" fillId="72" borderId="123" applyNumberFormat="0" applyProtection="0">
      <alignment vertical="center"/>
    </xf>
    <xf numFmtId="4" fontId="140" fillId="72" borderId="123" applyNumberFormat="0" applyProtection="0">
      <alignment vertical="center"/>
    </xf>
    <xf numFmtId="4" fontId="140" fillId="72" borderId="123" applyNumberFormat="0" applyProtection="0">
      <alignment vertical="center"/>
    </xf>
    <xf numFmtId="4" fontId="140" fillId="72" borderId="123" applyNumberFormat="0" applyProtection="0">
      <alignment vertical="center"/>
    </xf>
    <xf numFmtId="4" fontId="140" fillId="72" borderId="123" applyNumberFormat="0" applyProtection="0">
      <alignment vertical="center"/>
    </xf>
    <xf numFmtId="4" fontId="168" fillId="70" borderId="124" applyNumberFormat="0" applyProtection="0">
      <alignment vertical="center"/>
    </xf>
    <xf numFmtId="4" fontId="157" fillId="70" borderId="123" applyNumberFormat="0" applyProtection="0">
      <alignment vertical="center"/>
    </xf>
    <xf numFmtId="4" fontId="157" fillId="70" borderId="123" applyNumberFormat="0" applyProtection="0">
      <alignment vertical="center"/>
    </xf>
    <xf numFmtId="4" fontId="157" fillId="70" borderId="123" applyNumberFormat="0" applyProtection="0">
      <alignment vertical="center"/>
    </xf>
    <xf numFmtId="4" fontId="157" fillId="70" borderId="123" applyNumberFormat="0" applyProtection="0">
      <alignment vertical="center"/>
    </xf>
    <xf numFmtId="4" fontId="157" fillId="70" borderId="123" applyNumberFormat="0" applyProtection="0">
      <alignment vertical="center"/>
    </xf>
    <xf numFmtId="4" fontId="161" fillId="70" borderId="124" applyNumberFormat="0" applyProtection="0">
      <alignment horizontal="left" vertical="center" indent="1"/>
    </xf>
    <xf numFmtId="4" fontId="140" fillId="70" borderId="123" applyNumberFormat="0" applyProtection="0">
      <alignment horizontal="left" vertical="center" indent="1"/>
    </xf>
    <xf numFmtId="4" fontId="140" fillId="70" borderId="123" applyNumberFormat="0" applyProtection="0">
      <alignment horizontal="left" vertical="center" indent="1"/>
    </xf>
    <xf numFmtId="4" fontId="140" fillId="70" borderId="123" applyNumberFormat="0" applyProtection="0">
      <alignment horizontal="left" vertical="center" indent="1"/>
    </xf>
    <xf numFmtId="4" fontId="140" fillId="70" borderId="123" applyNumberFormat="0" applyProtection="0">
      <alignment horizontal="left" vertical="center" indent="1"/>
    </xf>
    <xf numFmtId="4" fontId="140" fillId="70" borderId="123" applyNumberFormat="0" applyProtection="0">
      <alignment horizontal="left" vertical="center" indent="1"/>
    </xf>
    <xf numFmtId="4" fontId="161" fillId="70" borderId="124" applyNumberFormat="0" applyProtection="0">
      <alignment horizontal="left" vertical="center" indent="1"/>
    </xf>
    <xf numFmtId="0" fontId="157" fillId="72" borderId="125" applyNumberFormat="0" applyProtection="0">
      <alignment horizontal="left" vertical="top" indent="1"/>
    </xf>
    <xf numFmtId="0" fontId="157" fillId="72" borderId="125" applyNumberFormat="0" applyProtection="0">
      <alignment horizontal="left" vertical="top" indent="1"/>
    </xf>
    <xf numFmtId="0" fontId="157" fillId="72" borderId="125" applyNumberFormat="0" applyProtection="0">
      <alignment horizontal="left" vertical="top" indent="1"/>
    </xf>
    <xf numFmtId="0" fontId="157" fillId="72" borderId="125" applyNumberFormat="0" applyProtection="0">
      <alignment horizontal="left" vertical="top" indent="1"/>
    </xf>
    <xf numFmtId="0" fontId="157" fillId="72" borderId="125" applyNumberFormat="0" applyProtection="0">
      <alignment horizontal="left" vertical="top" indent="1"/>
    </xf>
    <xf numFmtId="4" fontId="157" fillId="71" borderId="135" applyNumberFormat="0" applyProtection="0">
      <alignment vertical="center"/>
    </xf>
    <xf numFmtId="4" fontId="140" fillId="32" borderId="123" applyNumberFormat="0" applyProtection="0">
      <alignment horizontal="left" vertical="center" indent="1"/>
    </xf>
    <xf numFmtId="4" fontId="140" fillId="32" borderId="123" applyNumberFormat="0" applyProtection="0">
      <alignment horizontal="left" vertical="center" indent="1"/>
    </xf>
    <xf numFmtId="4" fontId="140" fillId="32" borderId="123" applyNumberFormat="0" applyProtection="0">
      <alignment horizontal="left" vertical="center" indent="1"/>
    </xf>
    <xf numFmtId="4" fontId="140" fillId="32" borderId="123" applyNumberFormat="0" applyProtection="0">
      <alignment horizontal="left" vertical="center" indent="1"/>
    </xf>
    <xf numFmtId="4" fontId="140" fillId="32" borderId="123" applyNumberFormat="0" applyProtection="0">
      <alignment horizontal="left" vertical="center" indent="1"/>
    </xf>
    <xf numFmtId="4" fontId="161" fillId="75" borderId="124" applyNumberFormat="0" applyProtection="0">
      <alignment horizontal="right" vertical="center"/>
    </xf>
    <xf numFmtId="4" fontId="140" fillId="21" borderId="123" applyNumberFormat="0" applyProtection="0">
      <alignment horizontal="right" vertical="center"/>
    </xf>
    <xf numFmtId="4" fontId="140" fillId="21" borderId="123" applyNumberFormat="0" applyProtection="0">
      <alignment horizontal="right" vertical="center"/>
    </xf>
    <xf numFmtId="4" fontId="140" fillId="21" borderId="123" applyNumberFormat="0" applyProtection="0">
      <alignment horizontal="right" vertical="center"/>
    </xf>
    <xf numFmtId="4" fontId="140" fillId="21" borderId="123" applyNumberFormat="0" applyProtection="0">
      <alignment horizontal="right" vertical="center"/>
    </xf>
    <xf numFmtId="4" fontId="140" fillId="21" borderId="123" applyNumberFormat="0" applyProtection="0">
      <alignment horizontal="right" vertical="center"/>
    </xf>
    <xf numFmtId="4" fontId="161" fillId="76" borderId="124" applyNumberFormat="0" applyProtection="0">
      <alignment horizontal="right" vertical="center"/>
    </xf>
    <xf numFmtId="4" fontId="140" fillId="77" borderId="123" applyNumberFormat="0" applyProtection="0">
      <alignment horizontal="right" vertical="center"/>
    </xf>
    <xf numFmtId="4" fontId="140" fillId="77" borderId="123" applyNumberFormat="0" applyProtection="0">
      <alignment horizontal="right" vertical="center"/>
    </xf>
    <xf numFmtId="4" fontId="140" fillId="77" borderId="123" applyNumberFormat="0" applyProtection="0">
      <alignment horizontal="right" vertical="center"/>
    </xf>
    <xf numFmtId="4" fontId="140" fillId="77" borderId="123" applyNumberFormat="0" applyProtection="0">
      <alignment horizontal="right" vertical="center"/>
    </xf>
    <xf numFmtId="4" fontId="140" fillId="77" borderId="123" applyNumberFormat="0" applyProtection="0">
      <alignment horizontal="right" vertical="center"/>
    </xf>
    <xf numFmtId="4" fontId="161" fillId="78" borderId="124" applyNumberFormat="0" applyProtection="0">
      <alignment horizontal="right" vertical="center"/>
    </xf>
    <xf numFmtId="4" fontId="140" fillId="42" borderId="121" applyNumberFormat="0" applyProtection="0">
      <alignment horizontal="right" vertical="center"/>
    </xf>
    <xf numFmtId="4" fontId="140" fillId="42" borderId="121" applyNumberFormat="0" applyProtection="0">
      <alignment horizontal="right" vertical="center"/>
    </xf>
    <xf numFmtId="4" fontId="140" fillId="42" borderId="121" applyNumberFormat="0" applyProtection="0">
      <alignment horizontal="right" vertical="center"/>
    </xf>
    <xf numFmtId="4" fontId="140" fillId="42" borderId="121" applyNumberFormat="0" applyProtection="0">
      <alignment horizontal="right" vertical="center"/>
    </xf>
    <xf numFmtId="4" fontId="140" fillId="42" borderId="121" applyNumberFormat="0" applyProtection="0">
      <alignment horizontal="right" vertical="center"/>
    </xf>
    <xf numFmtId="4" fontId="161" fillId="79" borderId="124" applyNumberFormat="0" applyProtection="0">
      <alignment horizontal="right" vertical="center"/>
    </xf>
    <xf numFmtId="4" fontId="140" fillId="29" borderId="123" applyNumberFormat="0" applyProtection="0">
      <alignment horizontal="right" vertical="center"/>
    </xf>
    <xf numFmtId="4" fontId="140" fillId="29" borderId="123" applyNumberFormat="0" applyProtection="0">
      <alignment horizontal="right" vertical="center"/>
    </xf>
    <xf numFmtId="4" fontId="140" fillId="29" borderId="123" applyNumberFormat="0" applyProtection="0">
      <alignment horizontal="right" vertical="center"/>
    </xf>
    <xf numFmtId="4" fontId="140" fillId="29" borderId="123" applyNumberFormat="0" applyProtection="0">
      <alignment horizontal="right" vertical="center"/>
    </xf>
    <xf numFmtId="4" fontId="140" fillId="29" borderId="123" applyNumberFormat="0" applyProtection="0">
      <alignment horizontal="right" vertical="center"/>
    </xf>
    <xf numFmtId="4" fontId="161" fillId="80" borderId="124" applyNumberFormat="0" applyProtection="0">
      <alignment horizontal="right" vertical="center"/>
    </xf>
    <xf numFmtId="4" fontId="140" fillId="33" borderId="123" applyNumberFormat="0" applyProtection="0">
      <alignment horizontal="right" vertical="center"/>
    </xf>
    <xf numFmtId="4" fontId="140" fillId="33" borderId="123" applyNumberFormat="0" applyProtection="0">
      <alignment horizontal="right" vertical="center"/>
    </xf>
    <xf numFmtId="4" fontId="140" fillId="33" borderId="123" applyNumberFormat="0" applyProtection="0">
      <alignment horizontal="right" vertical="center"/>
    </xf>
    <xf numFmtId="4" fontId="140" fillId="33" borderId="123" applyNumberFormat="0" applyProtection="0">
      <alignment horizontal="right" vertical="center"/>
    </xf>
    <xf numFmtId="4" fontId="140" fillId="33" borderId="123" applyNumberFormat="0" applyProtection="0">
      <alignment horizontal="right" vertical="center"/>
    </xf>
    <xf numFmtId="4" fontId="161" fillId="81" borderId="124" applyNumberFormat="0" applyProtection="0">
      <alignment horizontal="right" vertical="center"/>
    </xf>
    <xf numFmtId="4" fontId="140" fillId="56" borderId="123" applyNumberFormat="0" applyProtection="0">
      <alignment horizontal="right" vertical="center"/>
    </xf>
    <xf numFmtId="4" fontId="140" fillId="56" borderId="123" applyNumberFormat="0" applyProtection="0">
      <alignment horizontal="right" vertical="center"/>
    </xf>
    <xf numFmtId="4" fontId="140" fillId="56" borderId="123" applyNumberFormat="0" applyProtection="0">
      <alignment horizontal="right" vertical="center"/>
    </xf>
    <xf numFmtId="4" fontId="140" fillId="56" borderId="123" applyNumberFormat="0" applyProtection="0">
      <alignment horizontal="right" vertical="center"/>
    </xf>
    <xf numFmtId="4" fontId="140" fillId="56" borderId="123" applyNumberFormat="0" applyProtection="0">
      <alignment horizontal="right" vertical="center"/>
    </xf>
    <xf numFmtId="4" fontId="161" fillId="82" borderId="124" applyNumberFormat="0" applyProtection="0">
      <alignment horizontal="right" vertical="center"/>
    </xf>
    <xf numFmtId="4" fontId="140" fillId="49" borderId="123" applyNumberFormat="0" applyProtection="0">
      <alignment horizontal="right" vertical="center"/>
    </xf>
    <xf numFmtId="4" fontId="140" fillId="49" borderId="123" applyNumberFormat="0" applyProtection="0">
      <alignment horizontal="right" vertical="center"/>
    </xf>
    <xf numFmtId="4" fontId="140" fillId="49" borderId="123" applyNumberFormat="0" applyProtection="0">
      <alignment horizontal="right" vertical="center"/>
    </xf>
    <xf numFmtId="4" fontId="140" fillId="49" borderId="123" applyNumberFormat="0" applyProtection="0">
      <alignment horizontal="right" vertical="center"/>
    </xf>
    <xf numFmtId="4" fontId="140" fillId="49" borderId="123" applyNumberFormat="0" applyProtection="0">
      <alignment horizontal="right" vertical="center"/>
    </xf>
    <xf numFmtId="4" fontId="161" fillId="83" borderId="124" applyNumberFormat="0" applyProtection="0">
      <alignment horizontal="right" vertical="center"/>
    </xf>
    <xf numFmtId="4" fontId="140" fillId="84" borderId="123" applyNumberFormat="0" applyProtection="0">
      <alignment horizontal="right" vertical="center"/>
    </xf>
    <xf numFmtId="4" fontId="140" fillId="84" borderId="123" applyNumberFormat="0" applyProtection="0">
      <alignment horizontal="right" vertical="center"/>
    </xf>
    <xf numFmtId="4" fontId="140" fillId="84" borderId="123" applyNumberFormat="0" applyProtection="0">
      <alignment horizontal="right" vertical="center"/>
    </xf>
    <xf numFmtId="4" fontId="140" fillId="84" borderId="123" applyNumberFormat="0" applyProtection="0">
      <alignment horizontal="right" vertical="center"/>
    </xf>
    <xf numFmtId="4" fontId="140" fillId="84" borderId="123" applyNumberFormat="0" applyProtection="0">
      <alignment horizontal="right" vertical="center"/>
    </xf>
    <xf numFmtId="4" fontId="161" fillId="85" borderId="124" applyNumberFormat="0" applyProtection="0">
      <alignment horizontal="right" vertical="center"/>
    </xf>
    <xf numFmtId="4" fontId="140" fillId="28" borderId="123" applyNumberFormat="0" applyProtection="0">
      <alignment horizontal="right" vertical="center"/>
    </xf>
    <xf numFmtId="4" fontId="140" fillId="28" borderId="123" applyNumberFormat="0" applyProtection="0">
      <alignment horizontal="right" vertical="center"/>
    </xf>
    <xf numFmtId="4" fontId="140" fillId="28" borderId="123" applyNumberFormat="0" applyProtection="0">
      <alignment horizontal="right" vertical="center"/>
    </xf>
    <xf numFmtId="4" fontId="140" fillId="28" borderId="123" applyNumberFormat="0" applyProtection="0">
      <alignment horizontal="right" vertical="center"/>
    </xf>
    <xf numFmtId="4" fontId="140" fillId="28" borderId="123" applyNumberFormat="0" applyProtection="0">
      <alignment horizontal="right" vertical="center"/>
    </xf>
    <xf numFmtId="4" fontId="170" fillId="86" borderId="124" applyNumberFormat="0" applyProtection="0">
      <alignment horizontal="left" vertical="center" indent="1"/>
    </xf>
    <xf numFmtId="4" fontId="140" fillId="87" borderId="121" applyNumberFormat="0" applyProtection="0">
      <alignment horizontal="left" vertical="center" indent="1"/>
    </xf>
    <xf numFmtId="4" fontId="140" fillId="87" borderId="121" applyNumberFormat="0" applyProtection="0">
      <alignment horizontal="left" vertical="center" indent="1"/>
    </xf>
    <xf numFmtId="4" fontId="140" fillId="87" borderId="121" applyNumberFormat="0" applyProtection="0">
      <alignment horizontal="left" vertical="center" indent="1"/>
    </xf>
    <xf numFmtId="4" fontId="140" fillId="87" borderId="121" applyNumberFormat="0" applyProtection="0">
      <alignment horizontal="left" vertical="center" indent="1"/>
    </xf>
    <xf numFmtId="4" fontId="140" fillId="87" borderId="121" applyNumberFormat="0" applyProtection="0">
      <alignment horizontal="left" vertical="center" indent="1"/>
    </xf>
    <xf numFmtId="4" fontId="161" fillId="88" borderId="126" applyNumberFormat="0" applyProtection="0">
      <alignment horizontal="left" vertical="center" indent="1"/>
    </xf>
    <xf numFmtId="4" fontId="143" fillId="89" borderId="121" applyNumberFormat="0" applyProtection="0">
      <alignment horizontal="left" vertical="center" indent="1"/>
    </xf>
    <xf numFmtId="4" fontId="143" fillId="89" borderId="121" applyNumberFormat="0" applyProtection="0">
      <alignment horizontal="left" vertical="center" indent="1"/>
    </xf>
    <xf numFmtId="4" fontId="143" fillId="89" borderId="121" applyNumberFormat="0" applyProtection="0">
      <alignment horizontal="left" vertical="center" indent="1"/>
    </xf>
    <xf numFmtId="4" fontId="143" fillId="89" borderId="121" applyNumberFormat="0" applyProtection="0">
      <alignment horizontal="left" vertical="center" indent="1"/>
    </xf>
    <xf numFmtId="4" fontId="143" fillId="89" borderId="121" applyNumberFormat="0" applyProtection="0">
      <alignment horizontal="left" vertical="center" indent="1"/>
    </xf>
    <xf numFmtId="4" fontId="143" fillId="89" borderId="121" applyNumberFormat="0" applyProtection="0">
      <alignment horizontal="left" vertical="center" indent="1"/>
    </xf>
    <xf numFmtId="4" fontId="143" fillId="89" borderId="121" applyNumberFormat="0" applyProtection="0">
      <alignment horizontal="left" vertical="center" indent="1"/>
    </xf>
    <xf numFmtId="4" fontId="143" fillId="89" borderId="121" applyNumberFormat="0" applyProtection="0">
      <alignment horizontal="left" vertical="center" indent="1"/>
    </xf>
    <xf numFmtId="4" fontId="143" fillId="89" borderId="121" applyNumberFormat="0" applyProtection="0">
      <alignment horizontal="left" vertical="center" indent="1"/>
    </xf>
    <xf numFmtId="4" fontId="143" fillId="89" borderId="121" applyNumberFormat="0" applyProtection="0">
      <alignment horizontal="left" vertical="center" indent="1"/>
    </xf>
    <xf numFmtId="4" fontId="140" fillId="91" borderId="123" applyNumberFormat="0" applyProtection="0">
      <alignment horizontal="right" vertical="center"/>
    </xf>
    <xf numFmtId="4" fontId="140" fillId="91" borderId="123" applyNumberFormat="0" applyProtection="0">
      <alignment horizontal="right" vertical="center"/>
    </xf>
    <xf numFmtId="4" fontId="140" fillId="91" borderId="123" applyNumberFormat="0" applyProtection="0">
      <alignment horizontal="right" vertical="center"/>
    </xf>
    <xf numFmtId="4" fontId="140" fillId="91" borderId="123" applyNumberFormat="0" applyProtection="0">
      <alignment horizontal="right" vertical="center"/>
    </xf>
    <xf numFmtId="4" fontId="140" fillId="91" borderId="123" applyNumberFormat="0" applyProtection="0">
      <alignment horizontal="right" vertical="center"/>
    </xf>
    <xf numFmtId="4" fontId="140" fillId="92" borderId="121" applyNumberFormat="0" applyProtection="0">
      <alignment horizontal="left" vertical="center" indent="1"/>
    </xf>
    <xf numFmtId="4" fontId="140" fillId="92" borderId="121" applyNumberFormat="0" applyProtection="0">
      <alignment horizontal="left" vertical="center" indent="1"/>
    </xf>
    <xf numFmtId="4" fontId="140" fillId="92" borderId="121" applyNumberFormat="0" applyProtection="0">
      <alignment horizontal="left" vertical="center" indent="1"/>
    </xf>
    <xf numFmtId="4" fontId="140" fillId="92" borderId="121" applyNumberFormat="0" applyProtection="0">
      <alignment horizontal="left" vertical="center" indent="1"/>
    </xf>
    <xf numFmtId="4" fontId="140" fillId="92" borderId="121" applyNumberFormat="0" applyProtection="0">
      <alignment horizontal="left" vertical="center" indent="1"/>
    </xf>
    <xf numFmtId="4" fontId="140" fillId="91" borderId="121" applyNumberFormat="0" applyProtection="0">
      <alignment horizontal="left" vertical="center" indent="1"/>
    </xf>
    <xf numFmtId="4" fontId="140" fillId="91" borderId="121" applyNumberFormat="0" applyProtection="0">
      <alignment horizontal="left" vertical="center" indent="1"/>
    </xf>
    <xf numFmtId="4" fontId="140" fillId="91" borderId="121" applyNumberFormat="0" applyProtection="0">
      <alignment horizontal="left" vertical="center" indent="1"/>
    </xf>
    <xf numFmtId="4" fontId="140" fillId="91" borderId="121" applyNumberFormat="0" applyProtection="0">
      <alignment horizontal="left" vertical="center" indent="1"/>
    </xf>
    <xf numFmtId="4" fontId="140" fillId="91" borderId="121" applyNumberFormat="0" applyProtection="0">
      <alignment horizontal="left" vertical="center" indent="1"/>
    </xf>
    <xf numFmtId="0" fontId="140" fillId="62" borderId="123" applyNumberFormat="0" applyProtection="0">
      <alignment horizontal="left" vertical="center" indent="1"/>
    </xf>
    <xf numFmtId="0" fontId="140" fillId="62" borderId="123" applyNumberFormat="0" applyProtection="0">
      <alignment horizontal="left" vertical="center" indent="1"/>
    </xf>
    <xf numFmtId="0" fontId="140" fillId="62" borderId="123" applyNumberFormat="0" applyProtection="0">
      <alignment horizontal="left" vertical="center" indent="1"/>
    </xf>
    <xf numFmtId="0" fontId="140" fillId="62" borderId="123" applyNumberFormat="0" applyProtection="0">
      <alignment horizontal="left" vertical="center" indent="1"/>
    </xf>
    <xf numFmtId="0" fontId="140" fillId="62" borderId="123" applyNumberFormat="0" applyProtection="0">
      <alignment horizontal="left" vertical="center" indent="1"/>
    </xf>
    <xf numFmtId="0" fontId="140" fillId="62" borderId="123" applyNumberFormat="0" applyProtection="0">
      <alignment horizontal="left" vertical="center" indent="1"/>
    </xf>
    <xf numFmtId="0" fontId="116" fillId="89" borderId="125" applyNumberFormat="0" applyProtection="0">
      <alignment horizontal="left" vertical="top" indent="1"/>
    </xf>
    <xf numFmtId="0" fontId="116" fillId="89" borderId="125" applyNumberFormat="0" applyProtection="0">
      <alignment horizontal="left" vertical="top" indent="1"/>
    </xf>
    <xf numFmtId="0" fontId="116" fillId="89" borderId="125" applyNumberFormat="0" applyProtection="0">
      <alignment horizontal="left" vertical="top" indent="1"/>
    </xf>
    <xf numFmtId="0" fontId="116" fillId="89" borderId="125" applyNumberFormat="0" applyProtection="0">
      <alignment horizontal="left" vertical="top" indent="1"/>
    </xf>
    <xf numFmtId="0" fontId="116" fillId="89" borderId="125" applyNumberFormat="0" applyProtection="0">
      <alignment horizontal="left" vertical="top" indent="1"/>
    </xf>
    <xf numFmtId="0" fontId="116" fillId="89" borderId="125" applyNumberFormat="0" applyProtection="0">
      <alignment horizontal="left" vertical="top" indent="1"/>
    </xf>
    <xf numFmtId="0" fontId="116" fillId="89" borderId="125" applyNumberFormat="0" applyProtection="0">
      <alignment horizontal="left" vertical="top" indent="1"/>
    </xf>
    <xf numFmtId="0" fontId="116" fillId="89" borderId="125" applyNumberFormat="0" applyProtection="0">
      <alignment horizontal="left" vertical="top" indent="1"/>
    </xf>
    <xf numFmtId="0" fontId="140" fillId="96" borderId="123" applyNumberFormat="0" applyProtection="0">
      <alignment horizontal="left" vertical="center" indent="1"/>
    </xf>
    <xf numFmtId="0" fontId="140" fillId="96" borderId="123" applyNumberFormat="0" applyProtection="0">
      <alignment horizontal="left" vertical="center" indent="1"/>
    </xf>
    <xf numFmtId="0" fontId="140" fillId="96" borderId="123" applyNumberFormat="0" applyProtection="0">
      <alignment horizontal="left" vertical="center" indent="1"/>
    </xf>
    <xf numFmtId="0" fontId="140" fillId="96" borderId="123" applyNumberFormat="0" applyProtection="0">
      <alignment horizontal="left" vertical="center" indent="1"/>
    </xf>
    <xf numFmtId="0" fontId="140" fillId="96" borderId="123" applyNumberFormat="0" applyProtection="0">
      <alignment horizontal="left" vertical="center" indent="1"/>
    </xf>
    <xf numFmtId="0" fontId="140" fillId="96" borderId="123" applyNumberFormat="0" applyProtection="0">
      <alignment horizontal="left" vertical="center" indent="1"/>
    </xf>
    <xf numFmtId="0" fontId="116" fillId="91" borderId="125" applyNumberFormat="0" applyProtection="0">
      <alignment horizontal="left" vertical="top" indent="1"/>
    </xf>
    <xf numFmtId="0" fontId="116" fillId="91" borderId="125" applyNumberFormat="0" applyProtection="0">
      <alignment horizontal="left" vertical="top" indent="1"/>
    </xf>
    <xf numFmtId="0" fontId="116" fillId="91" borderId="125" applyNumberFormat="0" applyProtection="0">
      <alignment horizontal="left" vertical="top" indent="1"/>
    </xf>
    <xf numFmtId="0" fontId="116" fillId="91" borderId="125" applyNumberFormat="0" applyProtection="0">
      <alignment horizontal="left" vertical="top" indent="1"/>
    </xf>
    <xf numFmtId="0" fontId="116" fillId="91" borderId="125" applyNumberFormat="0" applyProtection="0">
      <alignment horizontal="left" vertical="top" indent="1"/>
    </xf>
    <xf numFmtId="0" fontId="116" fillId="91" borderId="125" applyNumberFormat="0" applyProtection="0">
      <alignment horizontal="left" vertical="top" indent="1"/>
    </xf>
    <xf numFmtId="0" fontId="116" fillId="91" borderId="125" applyNumberFormat="0" applyProtection="0">
      <alignment horizontal="left" vertical="top" indent="1"/>
    </xf>
    <xf numFmtId="0" fontId="116" fillId="91" borderId="125" applyNumberFormat="0" applyProtection="0">
      <alignment horizontal="left" vertical="top" indent="1"/>
    </xf>
    <xf numFmtId="0" fontId="140" fillId="26" borderId="123" applyNumberFormat="0" applyProtection="0">
      <alignment horizontal="left" vertical="center" indent="1"/>
    </xf>
    <xf numFmtId="0" fontId="140" fillId="26" borderId="123" applyNumberFormat="0" applyProtection="0">
      <alignment horizontal="left" vertical="center" indent="1"/>
    </xf>
    <xf numFmtId="0" fontId="140" fillId="26" borderId="123" applyNumberFormat="0" applyProtection="0">
      <alignment horizontal="left" vertical="center" indent="1"/>
    </xf>
    <xf numFmtId="0" fontId="140" fillId="26" borderId="123" applyNumberFormat="0" applyProtection="0">
      <alignment horizontal="left" vertical="center" indent="1"/>
    </xf>
    <xf numFmtId="0" fontId="140" fillId="26" borderId="123" applyNumberFormat="0" applyProtection="0">
      <alignment horizontal="left" vertical="center" indent="1"/>
    </xf>
    <xf numFmtId="0" fontId="13" fillId="69" borderId="124" applyNumberFormat="0" applyProtection="0">
      <alignment horizontal="left" vertical="center" indent="1"/>
    </xf>
    <xf numFmtId="0" fontId="116" fillId="26" borderId="125" applyNumberFormat="0" applyProtection="0">
      <alignment horizontal="left" vertical="top" indent="1"/>
    </xf>
    <xf numFmtId="0" fontId="116" fillId="26" borderId="125" applyNumberFormat="0" applyProtection="0">
      <alignment horizontal="left" vertical="top" indent="1"/>
    </xf>
    <xf numFmtId="0" fontId="116" fillId="26" borderId="125" applyNumberFormat="0" applyProtection="0">
      <alignment horizontal="left" vertical="top" indent="1"/>
    </xf>
    <xf numFmtId="0" fontId="116" fillId="26" borderId="125" applyNumberFormat="0" applyProtection="0">
      <alignment horizontal="left" vertical="top" indent="1"/>
    </xf>
    <xf numFmtId="0" fontId="116" fillId="26" borderId="125" applyNumberFormat="0" applyProtection="0">
      <alignment horizontal="left" vertical="top" indent="1"/>
    </xf>
    <xf numFmtId="0" fontId="116" fillId="26" borderId="125" applyNumberFormat="0" applyProtection="0">
      <alignment horizontal="left" vertical="top" indent="1"/>
    </xf>
    <xf numFmtId="0" fontId="116" fillId="26" borderId="125" applyNumberFormat="0" applyProtection="0">
      <alignment horizontal="left" vertical="top" indent="1"/>
    </xf>
    <xf numFmtId="0" fontId="116" fillId="26" borderId="125" applyNumberFormat="0" applyProtection="0">
      <alignment horizontal="left" vertical="top" indent="1"/>
    </xf>
    <xf numFmtId="0" fontId="140" fillId="92" borderId="123" applyNumberFormat="0" applyProtection="0">
      <alignment horizontal="left" vertical="center" indent="1"/>
    </xf>
    <xf numFmtId="0" fontId="140" fillId="92" borderId="123" applyNumberFormat="0" applyProtection="0">
      <alignment horizontal="left" vertical="center" indent="1"/>
    </xf>
    <xf numFmtId="0" fontId="140" fillId="92" borderId="123" applyNumberFormat="0" applyProtection="0">
      <alignment horizontal="left" vertical="center" indent="1"/>
    </xf>
    <xf numFmtId="0" fontId="140" fillId="92" borderId="123" applyNumberFormat="0" applyProtection="0">
      <alignment horizontal="left" vertical="center" indent="1"/>
    </xf>
    <xf numFmtId="0" fontId="140" fillId="92" borderId="123" applyNumberFormat="0" applyProtection="0">
      <alignment horizontal="left" vertical="center" indent="1"/>
    </xf>
    <xf numFmtId="0" fontId="13" fillId="18" borderId="124" applyNumberFormat="0" applyProtection="0">
      <alignment horizontal="left" vertical="center" indent="1"/>
    </xf>
    <xf numFmtId="0" fontId="116" fillId="92" borderId="125" applyNumberFormat="0" applyProtection="0">
      <alignment horizontal="left" vertical="top" indent="1"/>
    </xf>
    <xf numFmtId="0" fontId="116" fillId="92" borderId="125" applyNumberFormat="0" applyProtection="0">
      <alignment horizontal="left" vertical="top" indent="1"/>
    </xf>
    <xf numFmtId="0" fontId="116" fillId="92" borderId="125" applyNumberFormat="0" applyProtection="0">
      <alignment horizontal="left" vertical="top" indent="1"/>
    </xf>
    <xf numFmtId="0" fontId="116" fillId="92" borderId="125" applyNumberFormat="0" applyProtection="0">
      <alignment horizontal="left" vertical="top" indent="1"/>
    </xf>
    <xf numFmtId="0" fontId="116" fillId="92" borderId="125" applyNumberFormat="0" applyProtection="0">
      <alignment horizontal="left" vertical="top" indent="1"/>
    </xf>
    <xf numFmtId="0" fontId="116" fillId="92" borderId="125" applyNumberFormat="0" applyProtection="0">
      <alignment horizontal="left" vertical="top" indent="1"/>
    </xf>
    <xf numFmtId="0" fontId="116" fillId="92" borderId="125" applyNumberFormat="0" applyProtection="0">
      <alignment horizontal="left" vertical="top" indent="1"/>
    </xf>
    <xf numFmtId="0" fontId="116" fillId="92" borderId="125" applyNumberFormat="0" applyProtection="0">
      <alignment horizontal="left" vertical="top" indent="1"/>
    </xf>
    <xf numFmtId="0" fontId="173" fillId="89" borderId="127" applyBorder="0"/>
    <xf numFmtId="4" fontId="161" fillId="71" borderId="124" applyNumberFormat="0" applyProtection="0">
      <alignment vertical="center"/>
    </xf>
    <xf numFmtId="4" fontId="174" fillId="74" borderId="125" applyNumberFormat="0" applyProtection="0">
      <alignment vertical="center"/>
    </xf>
    <xf numFmtId="4" fontId="174" fillId="74" borderId="125" applyNumberFormat="0" applyProtection="0">
      <alignment vertical="center"/>
    </xf>
    <xf numFmtId="4" fontId="174" fillId="74" borderId="125" applyNumberFormat="0" applyProtection="0">
      <alignment vertical="center"/>
    </xf>
    <xf numFmtId="4" fontId="174" fillId="74" borderId="125" applyNumberFormat="0" applyProtection="0">
      <alignment vertical="center"/>
    </xf>
    <xf numFmtId="4" fontId="174" fillId="74" borderId="125" applyNumberFormat="0" applyProtection="0">
      <alignment vertical="center"/>
    </xf>
    <xf numFmtId="4" fontId="168" fillId="71" borderId="124" applyNumberFormat="0" applyProtection="0">
      <alignment vertical="center"/>
    </xf>
    <xf numFmtId="4" fontId="161" fillId="71" borderId="124" applyNumberFormat="0" applyProtection="0">
      <alignment horizontal="left" vertical="center" indent="1"/>
    </xf>
    <xf numFmtId="4" fontId="174" fillId="62" borderId="125" applyNumberFormat="0" applyProtection="0">
      <alignment horizontal="left" vertical="center" indent="1"/>
    </xf>
    <xf numFmtId="4" fontId="174" fillId="62" borderId="125" applyNumberFormat="0" applyProtection="0">
      <alignment horizontal="left" vertical="center" indent="1"/>
    </xf>
    <xf numFmtId="4" fontId="174" fillId="62" borderId="125" applyNumberFormat="0" applyProtection="0">
      <alignment horizontal="left" vertical="center" indent="1"/>
    </xf>
    <xf numFmtId="4" fontId="174" fillId="62" borderId="125" applyNumberFormat="0" applyProtection="0">
      <alignment horizontal="left" vertical="center" indent="1"/>
    </xf>
    <xf numFmtId="4" fontId="174" fillId="62" borderId="125" applyNumberFormat="0" applyProtection="0">
      <alignment horizontal="left" vertical="center" indent="1"/>
    </xf>
    <xf numFmtId="4" fontId="161" fillId="71" borderId="124" applyNumberFormat="0" applyProtection="0">
      <alignment horizontal="left" vertical="center" indent="1"/>
    </xf>
    <xf numFmtId="0" fontId="174" fillId="74" borderId="125" applyNumberFormat="0" applyProtection="0">
      <alignment horizontal="left" vertical="top" indent="1"/>
    </xf>
    <xf numFmtId="0" fontId="174" fillId="74" borderId="125" applyNumberFormat="0" applyProtection="0">
      <alignment horizontal="left" vertical="top" indent="1"/>
    </xf>
    <xf numFmtId="0" fontId="174" fillId="74" borderId="125" applyNumberFormat="0" applyProtection="0">
      <alignment horizontal="left" vertical="top" indent="1"/>
    </xf>
    <xf numFmtId="0" fontId="174" fillId="74" borderId="125" applyNumberFormat="0" applyProtection="0">
      <alignment horizontal="left" vertical="top" indent="1"/>
    </xf>
    <xf numFmtId="0" fontId="174" fillId="74" borderId="125" applyNumberFormat="0" applyProtection="0">
      <alignment horizontal="left" vertical="top" indent="1"/>
    </xf>
    <xf numFmtId="4" fontId="161" fillId="88" borderId="124" applyNumberFormat="0" applyProtection="0">
      <alignment horizontal="right" vertical="center"/>
    </xf>
    <xf numFmtId="4" fontId="140" fillId="0" borderId="123" applyNumberFormat="0" applyProtection="0">
      <alignment horizontal="right" vertical="center"/>
    </xf>
    <xf numFmtId="4" fontId="140" fillId="0" borderId="123" applyNumberFormat="0" applyProtection="0">
      <alignment horizontal="right" vertical="center"/>
    </xf>
    <xf numFmtId="4" fontId="140" fillId="0" borderId="123" applyNumberFormat="0" applyProtection="0">
      <alignment horizontal="right" vertical="center"/>
    </xf>
    <xf numFmtId="4" fontId="140" fillId="0" borderId="123" applyNumberFormat="0" applyProtection="0">
      <alignment horizontal="right" vertical="center"/>
    </xf>
    <xf numFmtId="4" fontId="140" fillId="0" borderId="123" applyNumberFormat="0" applyProtection="0">
      <alignment horizontal="right" vertical="center"/>
    </xf>
    <xf numFmtId="4" fontId="168" fillId="88" borderId="124" applyNumberFormat="0" applyProtection="0">
      <alignment horizontal="right" vertical="center"/>
    </xf>
    <xf numFmtId="4" fontId="157" fillId="4" borderId="123" applyNumberFormat="0" applyProtection="0">
      <alignment horizontal="right" vertical="center"/>
    </xf>
    <xf numFmtId="4" fontId="157" fillId="4" borderId="123" applyNumberFormat="0" applyProtection="0">
      <alignment horizontal="right" vertical="center"/>
    </xf>
    <xf numFmtId="4" fontId="157" fillId="4" borderId="123" applyNumberFormat="0" applyProtection="0">
      <alignment horizontal="right" vertical="center"/>
    </xf>
    <xf numFmtId="4" fontId="157" fillId="4" borderId="123" applyNumberFormat="0" applyProtection="0">
      <alignment horizontal="right" vertical="center"/>
    </xf>
    <xf numFmtId="4" fontId="157" fillId="4" borderId="123" applyNumberFormat="0" applyProtection="0">
      <alignment horizontal="right" vertical="center"/>
    </xf>
    <xf numFmtId="4" fontId="140" fillId="32" borderId="123" applyNumberFormat="0" applyProtection="0">
      <alignment horizontal="left" vertical="center" indent="1"/>
    </xf>
    <xf numFmtId="4" fontId="140" fillId="32" borderId="123" applyNumberFormat="0" applyProtection="0">
      <alignment horizontal="left" vertical="center" indent="1"/>
    </xf>
    <xf numFmtId="4" fontId="140" fillId="32" borderId="123" applyNumberFormat="0" applyProtection="0">
      <alignment horizontal="left" vertical="center" indent="1"/>
    </xf>
    <xf numFmtId="4" fontId="140" fillId="32" borderId="123" applyNumberFormat="0" applyProtection="0">
      <alignment horizontal="left" vertical="center" indent="1"/>
    </xf>
    <xf numFmtId="4" fontId="140" fillId="32" borderId="123" applyNumberFormat="0" applyProtection="0">
      <alignment horizontal="left" vertical="center" indent="1"/>
    </xf>
    <xf numFmtId="4" fontId="140" fillId="32" borderId="123" applyNumberFormat="0" applyProtection="0">
      <alignment horizontal="left" vertical="center" indent="1"/>
    </xf>
    <xf numFmtId="0" fontId="174" fillId="91" borderId="125" applyNumberFormat="0" applyProtection="0">
      <alignment horizontal="left" vertical="top" indent="1"/>
    </xf>
    <xf numFmtId="0" fontId="174" fillId="91" borderId="125" applyNumberFormat="0" applyProtection="0">
      <alignment horizontal="left" vertical="top" indent="1"/>
    </xf>
    <xf numFmtId="0" fontId="174" fillId="91" borderId="125" applyNumberFormat="0" applyProtection="0">
      <alignment horizontal="left" vertical="top" indent="1"/>
    </xf>
    <xf numFmtId="0" fontId="174" fillId="91" borderId="125" applyNumberFormat="0" applyProtection="0">
      <alignment horizontal="left" vertical="top" indent="1"/>
    </xf>
    <xf numFmtId="0" fontId="174" fillId="91" borderId="125" applyNumberFormat="0" applyProtection="0">
      <alignment horizontal="left" vertical="top" indent="1"/>
    </xf>
    <xf numFmtId="4" fontId="157" fillId="100" borderId="121" applyNumberFormat="0" applyProtection="0">
      <alignment horizontal="left" vertical="center" indent="1"/>
    </xf>
    <xf numFmtId="4" fontId="157" fillId="100" borderId="121" applyNumberFormat="0" applyProtection="0">
      <alignment horizontal="left" vertical="center" indent="1"/>
    </xf>
    <xf numFmtId="4" fontId="157" fillId="100" borderId="121" applyNumberFormat="0" applyProtection="0">
      <alignment horizontal="left" vertical="center" indent="1"/>
    </xf>
    <xf numFmtId="4" fontId="157" fillId="100" borderId="121" applyNumberFormat="0" applyProtection="0">
      <alignment horizontal="left" vertical="center" indent="1"/>
    </xf>
    <xf numFmtId="4" fontId="157" fillId="100" borderId="121" applyNumberFormat="0" applyProtection="0">
      <alignment horizontal="left" vertical="center" indent="1"/>
    </xf>
    <xf numFmtId="4" fontId="167" fillId="88" borderId="124" applyNumberFormat="0" applyProtection="0">
      <alignment horizontal="right" vertical="center"/>
    </xf>
    <xf numFmtId="4" fontId="157" fillId="99" borderId="123" applyNumberFormat="0" applyProtection="0">
      <alignment horizontal="right" vertical="center"/>
    </xf>
    <xf numFmtId="4" fontId="157" fillId="99" borderId="123" applyNumberFormat="0" applyProtection="0">
      <alignment horizontal="right" vertical="center"/>
    </xf>
    <xf numFmtId="4" fontId="157" fillId="99" borderId="123" applyNumberFormat="0" applyProtection="0">
      <alignment horizontal="right" vertical="center"/>
    </xf>
    <xf numFmtId="4" fontId="157" fillId="99" borderId="123" applyNumberFormat="0" applyProtection="0">
      <alignment horizontal="right" vertical="center"/>
    </xf>
    <xf numFmtId="4" fontId="157" fillId="99" borderId="123" applyNumberFormat="0" applyProtection="0">
      <alignment horizontal="right" vertical="center"/>
    </xf>
    <xf numFmtId="2" fontId="176" fillId="102" borderId="128" applyProtection="0"/>
    <xf numFmtId="2" fontId="176" fillId="102" borderId="128" applyProtection="0"/>
    <xf numFmtId="2" fontId="156" fillId="103" borderId="128" applyProtection="0"/>
    <xf numFmtId="2" fontId="156" fillId="104" borderId="128" applyProtection="0"/>
    <xf numFmtId="2" fontId="156" fillId="105" borderId="128" applyProtection="0"/>
    <xf numFmtId="2" fontId="156" fillId="105" borderId="128" applyProtection="0">
      <alignment horizontal="center"/>
    </xf>
    <xf numFmtId="2" fontId="156" fillId="104" borderId="128" applyProtection="0">
      <alignment horizontal="center"/>
    </xf>
    <xf numFmtId="0" fontId="157" fillId="0" borderId="121">
      <alignment horizontal="left" vertical="top" wrapText="1"/>
    </xf>
    <xf numFmtId="0" fontId="124" fillId="0" borderId="129" applyNumberFormat="0" applyFill="0" applyAlignment="0" applyProtection="0"/>
    <xf numFmtId="0" fontId="140" fillId="101" borderId="135"/>
    <xf numFmtId="0" fontId="140" fillId="101" borderId="135"/>
    <xf numFmtId="0" fontId="118" fillId="25" borderId="120" applyNumberFormat="0" applyAlignment="0" applyProtection="0"/>
    <xf numFmtId="0" fontId="118" fillId="25" borderId="120" applyNumberFormat="0" applyAlignment="0" applyProtection="0"/>
    <xf numFmtId="0" fontId="119" fillId="62" borderId="124" applyNumberFormat="0" applyAlignment="0" applyProtection="0"/>
    <xf numFmtId="0" fontId="119" fillId="62" borderId="124" applyNumberFormat="0" applyAlignment="0" applyProtection="0"/>
    <xf numFmtId="0" fontId="120" fillId="62" borderId="120" applyNumberFormat="0" applyAlignment="0" applyProtection="0"/>
    <xf numFmtId="0" fontId="120" fillId="62" borderId="120" applyNumberFormat="0" applyAlignment="0" applyProtection="0"/>
    <xf numFmtId="0" fontId="124" fillId="0" borderId="129" applyNumberFormat="0" applyFill="0" applyAlignment="0" applyProtection="0"/>
    <xf numFmtId="0" fontId="124" fillId="0" borderId="129" applyNumberFormat="0" applyFill="0" applyAlignment="0" applyProtection="0"/>
    <xf numFmtId="0" fontId="123" fillId="0" borderId="138" applyNumberFormat="0" applyFill="0" applyAlignment="0" applyProtection="0"/>
    <xf numFmtId="0" fontId="123" fillId="0" borderId="138" applyNumberFormat="0" applyFill="0" applyAlignment="0" applyProtection="0"/>
    <xf numFmtId="0" fontId="123" fillId="0" borderId="137" applyNumberFormat="0" applyFill="0" applyAlignment="0" applyProtection="0"/>
    <xf numFmtId="0" fontId="123" fillId="0" borderId="137" applyNumberFormat="0" applyFill="0" applyAlignment="0" applyProtection="0"/>
    <xf numFmtId="4" fontId="152" fillId="70" borderId="135" applyBorder="0">
      <alignment horizontal="right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74" borderId="122" applyNumberFormat="0" applyFont="0" applyAlignment="0" applyProtection="0"/>
    <xf numFmtId="0" fontId="46" fillId="74" borderId="122" applyNumberFormat="0" applyFont="0" applyAlignment="0" applyProtection="0"/>
    <xf numFmtId="9" fontId="4" fillId="0" borderId="0" applyFont="0" applyFill="0" applyBorder="0" applyAlignment="0" applyProtection="0"/>
    <xf numFmtId="0" fontId="180" fillId="0" borderId="130"/>
    <xf numFmtId="0" fontId="4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157" fillId="0" borderId="135">
      <alignment horizontal="center" vertical="top" wrapText="1"/>
      <protection locked="0"/>
    </xf>
    <xf numFmtId="0" fontId="157" fillId="0" borderId="135">
      <alignment horizontal="center" vertical="top" wrapText="1"/>
      <protection locked="0"/>
    </xf>
    <xf numFmtId="49" fontId="157" fillId="0" borderId="135">
      <alignment horizontal="center" vertical="top" wrapText="1"/>
      <protection locked="0"/>
    </xf>
    <xf numFmtId="49" fontId="157" fillId="0" borderId="135">
      <alignment horizontal="center" vertical="top" wrapText="1"/>
      <protection locked="0"/>
    </xf>
    <xf numFmtId="0" fontId="157" fillId="61" borderId="135">
      <alignment horizontal="right" vertical="top"/>
      <protection locked="0"/>
    </xf>
    <xf numFmtId="0" fontId="157" fillId="61" borderId="135">
      <alignment horizontal="right" vertical="top"/>
      <protection locked="0"/>
    </xf>
    <xf numFmtId="49" fontId="157" fillId="61" borderId="135">
      <alignment horizontal="right" vertical="top"/>
      <protection locked="0"/>
    </xf>
    <xf numFmtId="49" fontId="157" fillId="61" borderId="135">
      <alignment horizontal="right" vertical="top"/>
      <protection locked="0"/>
    </xf>
    <xf numFmtId="0" fontId="157" fillId="0" borderId="135">
      <alignment horizontal="right" vertical="top"/>
      <protection locked="0"/>
    </xf>
    <xf numFmtId="0" fontId="157" fillId="0" borderId="135">
      <alignment horizontal="right" vertical="top"/>
      <protection locked="0"/>
    </xf>
    <xf numFmtId="49" fontId="157" fillId="0" borderId="135">
      <alignment horizontal="right" vertical="top"/>
      <protection locked="0"/>
    </xf>
    <xf numFmtId="49" fontId="157" fillId="0" borderId="135">
      <alignment horizontal="right" vertical="top"/>
      <protection locked="0"/>
    </xf>
    <xf numFmtId="0" fontId="157" fillId="22" borderId="135">
      <alignment horizontal="right" vertical="top"/>
      <protection locked="0"/>
    </xf>
    <xf numFmtId="0" fontId="157" fillId="22" borderId="135">
      <alignment horizontal="right" vertical="top"/>
      <protection locked="0"/>
    </xf>
    <xf numFmtId="49" fontId="157" fillId="22" borderId="135">
      <alignment horizontal="right" vertical="top"/>
      <protection locked="0"/>
    </xf>
    <xf numFmtId="49" fontId="157" fillId="22" borderId="135">
      <alignment horizontal="right" vertical="top"/>
      <protection locked="0"/>
    </xf>
    <xf numFmtId="49" fontId="46" fillId="0" borderId="135">
      <alignment horizontal="center" vertical="top" wrapText="1"/>
      <protection locked="0"/>
    </xf>
    <xf numFmtId="0" fontId="13" fillId="99" borderId="131" applyNumberFormat="0">
      <protection locked="0"/>
    </xf>
    <xf numFmtId="0" fontId="13" fillId="99" borderId="131" applyNumberFormat="0">
      <protection locked="0"/>
    </xf>
    <xf numFmtId="49" fontId="46" fillId="0" borderId="135">
      <alignment horizontal="center" vertical="top" wrapText="1"/>
      <protection locked="0"/>
    </xf>
    <xf numFmtId="49" fontId="157" fillId="61" borderId="135">
      <alignment horizontal="left" vertical="top"/>
      <protection locked="0"/>
    </xf>
    <xf numFmtId="49" fontId="157" fillId="61" borderId="135">
      <alignment horizontal="left" vertical="top"/>
      <protection locked="0"/>
    </xf>
    <xf numFmtId="49" fontId="157" fillId="0" borderId="135">
      <alignment horizontal="left" vertical="top"/>
      <protection locked="0"/>
    </xf>
    <xf numFmtId="49" fontId="157" fillId="0" borderId="135">
      <alignment horizontal="left" vertical="top"/>
      <protection locked="0"/>
    </xf>
    <xf numFmtId="49" fontId="157" fillId="22" borderId="135">
      <alignment horizontal="left" vertical="top"/>
      <protection locked="0"/>
    </xf>
    <xf numFmtId="49" fontId="157" fillId="22" borderId="135">
      <alignment horizontal="left" vertical="top"/>
      <protection locked="0"/>
    </xf>
    <xf numFmtId="4" fontId="157" fillId="71" borderId="131" applyNumberFormat="0" applyProtection="0">
      <alignment vertical="center"/>
    </xf>
    <xf numFmtId="4" fontId="157" fillId="71" borderId="131" applyNumberFormat="0" applyProtection="0">
      <alignment vertical="center"/>
    </xf>
    <xf numFmtId="4" fontId="157" fillId="71" borderId="131" applyNumberFormat="0" applyProtection="0">
      <alignment vertical="center"/>
    </xf>
    <xf numFmtId="4" fontId="157" fillId="71" borderId="131" applyNumberFormat="0" applyProtection="0">
      <alignment vertical="center"/>
    </xf>
    <xf numFmtId="4" fontId="157" fillId="71" borderId="131" applyNumberFormat="0" applyProtection="0">
      <alignment vertical="center"/>
    </xf>
    <xf numFmtId="4" fontId="157" fillId="71" borderId="131" applyNumberFormat="0" applyProtection="0">
      <alignment vertical="center"/>
    </xf>
    <xf numFmtId="4" fontId="157" fillId="71" borderId="131" applyNumberFormat="0" applyProtection="0">
      <alignment vertical="center"/>
    </xf>
    <xf numFmtId="4" fontId="157" fillId="71" borderId="131" applyNumberFormat="0" applyProtection="0">
      <alignment vertical="center"/>
    </xf>
    <xf numFmtId="4" fontId="157" fillId="71" borderId="131" applyNumberFormat="0" applyProtection="0">
      <alignment vertical="center"/>
    </xf>
    <xf numFmtId="4" fontId="157" fillId="71" borderId="131" applyNumberFormat="0" applyProtection="0">
      <alignment vertical="center"/>
    </xf>
    <xf numFmtId="0" fontId="140" fillId="101" borderId="131"/>
    <xf numFmtId="0" fontId="140" fillId="101" borderId="131"/>
    <xf numFmtId="0" fontId="123" fillId="0" borderId="133" applyNumberFormat="0" applyFill="0" applyAlignment="0" applyProtection="0"/>
    <xf numFmtId="0" fontId="123" fillId="0" borderId="133" applyNumberFormat="0" applyFill="0" applyAlignment="0" applyProtection="0"/>
    <xf numFmtId="4" fontId="152" fillId="70" borderId="131" applyBorder="0">
      <alignment horizontal="right"/>
    </xf>
    <xf numFmtId="0" fontId="4" fillId="0" borderId="0"/>
    <xf numFmtId="0" fontId="4" fillId="0" borderId="0"/>
    <xf numFmtId="0" fontId="4" fillId="0" borderId="0"/>
    <xf numFmtId="0" fontId="3" fillId="0" borderId="0"/>
    <xf numFmtId="0" fontId="123" fillId="0" borderId="140" applyNumberFormat="0" applyFill="0" applyAlignment="0" applyProtection="0"/>
    <xf numFmtId="0" fontId="123" fillId="0" borderId="140" applyNumberFormat="0" applyFill="0" applyAlignment="0" applyProtection="0"/>
    <xf numFmtId="0" fontId="123" fillId="0" borderId="142" applyNumberFormat="0" applyFill="0" applyAlignment="0" applyProtection="0"/>
    <xf numFmtId="0" fontId="123" fillId="0" borderId="142" applyNumberFormat="0" applyFill="0" applyAlignment="0" applyProtection="0"/>
    <xf numFmtId="0" fontId="123" fillId="0" borderId="141" applyNumberFormat="0" applyFill="0" applyAlignment="0" applyProtection="0"/>
    <xf numFmtId="0" fontId="141" fillId="0" borderId="139">
      <alignment horizontal="left" vertical="center"/>
    </xf>
    <xf numFmtId="0" fontId="123" fillId="0" borderId="140" applyNumberFormat="0" applyFill="0" applyAlignment="0" applyProtection="0"/>
    <xf numFmtId="0" fontId="123" fillId="0" borderId="142" applyNumberFormat="0" applyFill="0" applyAlignment="0" applyProtection="0"/>
    <xf numFmtId="0" fontId="123" fillId="0" borderId="141" applyNumberFormat="0" applyFill="0" applyAlignment="0" applyProtection="0"/>
    <xf numFmtId="0" fontId="123" fillId="0" borderId="141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/>
    <xf numFmtId="0" fontId="2" fillId="0" borderId="0"/>
    <xf numFmtId="0" fontId="188" fillId="0" borderId="0"/>
  </cellStyleXfs>
  <cellXfs count="964">
    <xf numFmtId="0" fontId="0" fillId="0" borderId="0" xfId="0"/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Border="1" applyAlignment="1">
      <alignment horizontal="left" vertical="top"/>
    </xf>
    <xf numFmtId="0" fontId="14" fillId="0" borderId="0" xfId="0" applyFont="1" applyAlignment="1">
      <alignment vertical="center"/>
    </xf>
    <xf numFmtId="0" fontId="14" fillId="0" borderId="6" xfId="0" applyFont="1" applyBorder="1"/>
    <xf numFmtId="0" fontId="14" fillId="3" borderId="6" xfId="0" applyFont="1" applyFill="1" applyBorder="1" applyAlignment="1">
      <alignment horizontal="center" vertical="center"/>
    </xf>
    <xf numFmtId="0" fontId="14" fillId="0" borderId="0" xfId="0" applyFont="1" applyFill="1" applyBorder="1"/>
    <xf numFmtId="165" fontId="17" fillId="0" borderId="0" xfId="0" applyNumberFormat="1" applyFont="1" applyFill="1" applyBorder="1" applyAlignment="1">
      <alignment horizontal="center" wrapText="1"/>
    </xf>
    <xf numFmtId="0" fontId="17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18" fillId="3" borderId="1" xfId="0" applyFont="1" applyFill="1" applyBorder="1"/>
    <xf numFmtId="0" fontId="14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24" fillId="4" borderId="0" xfId="0" applyNumberFormat="1" applyFont="1" applyFill="1" applyBorder="1" applyAlignment="1">
      <alignment horizontal="left" vertical="center" wrapText="1"/>
    </xf>
    <xf numFmtId="0" fontId="26" fillId="0" borderId="0" xfId="0" applyFont="1"/>
    <xf numFmtId="0" fontId="27" fillId="0" borderId="0" xfId="0" applyFont="1"/>
    <xf numFmtId="4" fontId="27" fillId="0" borderId="0" xfId="0" applyNumberFormat="1" applyFont="1"/>
    <xf numFmtId="0" fontId="29" fillId="0" borderId="0" xfId="2" applyFont="1" applyBorder="1"/>
    <xf numFmtId="0" fontId="31" fillId="4" borderId="8" xfId="2" applyFont="1" applyFill="1" applyBorder="1" applyAlignment="1">
      <alignment horizontal="center" vertical="center" wrapText="1"/>
    </xf>
    <xf numFmtId="0" fontId="25" fillId="4" borderId="8" xfId="2" applyFont="1" applyFill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4" fontId="20" fillId="0" borderId="17" xfId="2" applyNumberFormat="1" applyFont="1" applyFill="1" applyBorder="1" applyAlignment="1">
      <alignment horizontal="center" vertical="center"/>
    </xf>
    <xf numFmtId="4" fontId="19" fillId="0" borderId="18" xfId="2" applyNumberFormat="1" applyFont="1" applyFill="1" applyBorder="1" applyAlignment="1">
      <alignment horizontal="center" vertical="center"/>
    </xf>
    <xf numFmtId="4" fontId="19" fillId="0" borderId="20" xfId="2" applyNumberFormat="1" applyFont="1" applyFill="1" applyBorder="1" applyAlignment="1">
      <alignment horizontal="center" vertical="center"/>
    </xf>
    <xf numFmtId="4" fontId="19" fillId="0" borderId="15" xfId="2" applyNumberFormat="1" applyFont="1" applyFill="1" applyBorder="1" applyAlignment="1">
      <alignment horizontal="center" vertical="center"/>
    </xf>
    <xf numFmtId="4" fontId="20" fillId="0" borderId="19" xfId="2" applyNumberFormat="1" applyFont="1" applyFill="1" applyBorder="1" applyAlignment="1">
      <alignment horizontal="center" vertical="center"/>
    </xf>
    <xf numFmtId="4" fontId="20" fillId="0" borderId="21" xfId="2" applyNumberFormat="1" applyFont="1" applyFill="1" applyBorder="1" applyAlignment="1">
      <alignment horizontal="center" vertical="center"/>
    </xf>
    <xf numFmtId="4" fontId="29" fillId="5" borderId="0" xfId="2" applyNumberFormat="1" applyFont="1" applyFill="1" applyBorder="1"/>
    <xf numFmtId="4" fontId="36" fillId="0" borderId="29" xfId="2" applyNumberFormat="1" applyFont="1" applyFill="1" applyBorder="1" applyAlignment="1">
      <alignment horizontal="center" vertical="center"/>
    </xf>
    <xf numFmtId="0" fontId="29" fillId="5" borderId="0" xfId="2" applyFont="1" applyFill="1" applyBorder="1"/>
    <xf numFmtId="4" fontId="37" fillId="0" borderId="32" xfId="2" applyNumberFormat="1" applyFont="1" applyFill="1" applyBorder="1" applyAlignment="1">
      <alignment horizontal="center" vertical="center"/>
    </xf>
    <xf numFmtId="4" fontId="29" fillId="0" borderId="0" xfId="2" applyNumberFormat="1" applyFont="1" applyBorder="1"/>
    <xf numFmtId="2" fontId="29" fillId="0" borderId="0" xfId="2" applyNumberFormat="1" applyFont="1" applyBorder="1"/>
    <xf numFmtId="4" fontId="19" fillId="0" borderId="29" xfId="2" applyNumberFormat="1" applyFont="1" applyFill="1" applyBorder="1" applyAlignment="1">
      <alignment horizontal="center" vertical="center"/>
    </xf>
    <xf numFmtId="4" fontId="19" fillId="0" borderId="36" xfId="2" applyNumberFormat="1" applyFont="1" applyFill="1" applyBorder="1" applyAlignment="1">
      <alignment vertical="center" wrapText="1"/>
    </xf>
    <xf numFmtId="4" fontId="19" fillId="0" borderId="42" xfId="2" applyNumberFormat="1" applyFont="1" applyFill="1" applyBorder="1" applyAlignment="1">
      <alignment horizontal="center" vertical="center"/>
    </xf>
    <xf numFmtId="4" fontId="19" fillId="0" borderId="10" xfId="2" applyNumberFormat="1" applyFont="1" applyFill="1" applyBorder="1" applyAlignment="1">
      <alignment horizontal="center" vertical="center"/>
    </xf>
    <xf numFmtId="4" fontId="20" fillId="0" borderId="18" xfId="0" applyNumberFormat="1" applyFont="1" applyFill="1" applyBorder="1" applyAlignment="1">
      <alignment horizontal="center" vertical="center"/>
    </xf>
    <xf numFmtId="4" fontId="20" fillId="0" borderId="15" xfId="0" applyNumberFormat="1" applyFont="1" applyFill="1" applyBorder="1" applyAlignment="1">
      <alignment horizontal="center" vertical="center"/>
    </xf>
    <xf numFmtId="4" fontId="41" fillId="0" borderId="19" xfId="0" applyNumberFormat="1" applyFont="1" applyFill="1" applyBorder="1" applyAlignment="1">
      <alignment horizontal="center" vertical="center"/>
    </xf>
    <xf numFmtId="0" fontId="10" fillId="0" borderId="0" xfId="2" applyBorder="1"/>
    <xf numFmtId="4" fontId="19" fillId="0" borderId="49" xfId="0" applyNumberFormat="1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/>
    </xf>
    <xf numFmtId="4" fontId="19" fillId="5" borderId="1" xfId="0" applyNumberFormat="1" applyFont="1" applyFill="1" applyBorder="1" applyAlignment="1">
      <alignment horizontal="center" vertical="center"/>
    </xf>
    <xf numFmtId="4" fontId="19" fillId="0" borderId="4" xfId="0" applyNumberFormat="1" applyFont="1" applyFill="1" applyBorder="1" applyAlignment="1">
      <alignment horizontal="center" vertical="center"/>
    </xf>
    <xf numFmtId="4" fontId="19" fillId="5" borderId="32" xfId="0" applyNumberFormat="1" applyFont="1" applyFill="1" applyBorder="1" applyAlignment="1">
      <alignment horizontal="center" vertical="center"/>
    </xf>
    <xf numFmtId="4" fontId="19" fillId="0" borderId="50" xfId="0" applyNumberFormat="1" applyFont="1" applyFill="1" applyBorder="1" applyAlignment="1">
      <alignment horizontal="center" vertical="center"/>
    </xf>
    <xf numFmtId="4" fontId="19" fillId="0" borderId="51" xfId="0" applyNumberFormat="1" applyFont="1" applyFill="1" applyBorder="1" applyAlignment="1">
      <alignment horizontal="center" vertical="center"/>
    </xf>
    <xf numFmtId="0" fontId="19" fillId="8" borderId="25" xfId="0" applyFont="1" applyFill="1" applyBorder="1" applyAlignment="1">
      <alignment horizontal="left" vertical="center" wrapText="1"/>
    </xf>
    <xf numFmtId="0" fontId="19" fillId="8" borderId="26" xfId="0" applyFont="1" applyFill="1" applyBorder="1" applyAlignment="1">
      <alignment horizontal="left" vertical="center" wrapText="1"/>
    </xf>
    <xf numFmtId="4" fontId="19" fillId="0" borderId="53" xfId="0" applyNumberFormat="1" applyFont="1" applyFill="1" applyBorder="1" applyAlignment="1">
      <alignment horizontal="center" vertical="center"/>
    </xf>
    <xf numFmtId="4" fontId="19" fillId="0" borderId="35" xfId="0" applyNumberFormat="1" applyFont="1" applyFill="1" applyBorder="1" applyAlignment="1">
      <alignment horizontal="center" vertical="center"/>
    </xf>
    <xf numFmtId="4" fontId="19" fillId="5" borderId="35" xfId="0" applyNumberFormat="1" applyFont="1" applyFill="1" applyBorder="1" applyAlignment="1">
      <alignment horizontal="center" vertical="center"/>
    </xf>
    <xf numFmtId="4" fontId="19" fillId="0" borderId="40" xfId="0" applyNumberFormat="1" applyFont="1" applyFill="1" applyBorder="1" applyAlignment="1">
      <alignment horizontal="center" vertical="center"/>
    </xf>
    <xf numFmtId="4" fontId="19" fillId="5" borderId="54" xfId="0" applyNumberFormat="1" applyFont="1" applyFill="1" applyBorder="1" applyAlignment="1">
      <alignment horizontal="center" vertical="center"/>
    </xf>
    <xf numFmtId="0" fontId="30" fillId="0" borderId="0" xfId="0" applyFont="1"/>
    <xf numFmtId="0" fontId="0" fillId="5" borderId="0" xfId="0" applyFill="1"/>
    <xf numFmtId="0" fontId="20" fillId="0" borderId="0" xfId="3" applyFont="1" applyFill="1" applyAlignment="1">
      <alignment vertical="center" wrapText="1"/>
    </xf>
    <xf numFmtId="0" fontId="35" fillId="0" borderId="0" xfId="3" applyFont="1" applyFill="1" applyAlignment="1">
      <alignment vertical="center" wrapText="1"/>
    </xf>
    <xf numFmtId="0" fontId="44" fillId="0" borderId="0" xfId="0" applyFont="1" applyFill="1" applyBorder="1" applyAlignment="1">
      <alignment horizontal="center" vertical="center" wrapText="1"/>
    </xf>
    <xf numFmtId="2" fontId="28" fillId="0" borderId="0" xfId="0" applyNumberFormat="1" applyFont="1" applyFill="1" applyBorder="1" applyAlignment="1">
      <alignment horizontal="center" vertical="center" wrapText="1"/>
    </xf>
    <xf numFmtId="0" fontId="24" fillId="8" borderId="5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righ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39" fillId="0" borderId="1" xfId="4" applyFont="1" applyFill="1" applyBorder="1" applyAlignment="1">
      <alignment horizontal="center" vertical="center" wrapText="1"/>
    </xf>
    <xf numFmtId="0" fontId="45" fillId="0" borderId="1" xfId="4" applyFont="1" applyFill="1" applyBorder="1" applyAlignment="1">
      <alignment horizontal="center" vertical="center" wrapText="1"/>
    </xf>
    <xf numFmtId="0" fontId="45" fillId="0" borderId="56" xfId="0" applyFont="1" applyBorder="1" applyAlignment="1">
      <alignment horizontal="center" vertical="center" wrapText="1"/>
    </xf>
    <xf numFmtId="0" fontId="45" fillId="0" borderId="1" xfId="3" applyFont="1" applyFill="1" applyBorder="1" applyAlignment="1">
      <alignment horizontal="center" vertical="center" wrapText="1"/>
    </xf>
    <xf numFmtId="167" fontId="39" fillId="0" borderId="35" xfId="3" applyNumberFormat="1" applyFont="1" applyFill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28" fillId="8" borderId="1" xfId="5" applyFont="1" applyFill="1" applyBorder="1" applyAlignment="1">
      <alignment horizontal="right" vertical="center" wrapText="1"/>
    </xf>
    <xf numFmtId="4" fontId="28" fillId="8" borderId="1" xfId="5" applyNumberFormat="1" applyFont="1" applyFill="1" applyBorder="1" applyAlignment="1">
      <alignment horizontal="center" vertical="center"/>
    </xf>
    <xf numFmtId="167" fontId="12" fillId="0" borderId="6" xfId="5" applyNumberFormat="1" applyFont="1" applyFill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4" fontId="28" fillId="0" borderId="51" xfId="0" applyNumberFormat="1" applyFont="1" applyFill="1" applyBorder="1" applyAlignment="1">
      <alignment horizontal="center" vertical="center" wrapText="1"/>
    </xf>
    <xf numFmtId="0" fontId="28" fillId="8" borderId="51" xfId="5" applyFont="1" applyFill="1" applyBorder="1" applyAlignment="1">
      <alignment horizontal="right" vertical="center" wrapText="1"/>
    </xf>
    <xf numFmtId="4" fontId="28" fillId="8" borderId="51" xfId="5" applyNumberFormat="1" applyFont="1" applyFill="1" applyBorder="1" applyAlignment="1">
      <alignment horizontal="center" vertical="center"/>
    </xf>
    <xf numFmtId="0" fontId="24" fillId="8" borderId="57" xfId="3" applyFont="1" applyFill="1" applyBorder="1" applyAlignment="1">
      <alignment horizontal="center" vertical="center" wrapText="1"/>
    </xf>
    <xf numFmtId="0" fontId="39" fillId="8" borderId="58" xfId="3" applyFont="1" applyFill="1" applyBorder="1" applyAlignment="1">
      <alignment horizontal="right" vertical="center" wrapText="1"/>
    </xf>
    <xf numFmtId="4" fontId="11" fillId="8" borderId="58" xfId="3" applyNumberFormat="1" applyFont="1" applyFill="1" applyBorder="1" applyAlignment="1">
      <alignment horizontal="center" vertical="center" wrapText="1"/>
    </xf>
    <xf numFmtId="2" fontId="11" fillId="8" borderId="58" xfId="3" applyNumberFormat="1" applyFont="1" applyFill="1" applyBorder="1" applyAlignment="1">
      <alignment horizontal="right" vertical="center" wrapText="1"/>
    </xf>
    <xf numFmtId="2" fontId="39" fillId="8" borderId="58" xfId="3" applyNumberFormat="1" applyFont="1" applyFill="1" applyBorder="1" applyAlignment="1">
      <alignment horizontal="right" vertical="center" wrapText="1"/>
    </xf>
    <xf numFmtId="4" fontId="28" fillId="8" borderId="58" xfId="3" applyNumberFormat="1" applyFont="1" applyFill="1" applyBorder="1" applyAlignment="1">
      <alignment horizontal="center" vertical="center" wrapText="1"/>
    </xf>
    <xf numFmtId="0" fontId="47" fillId="8" borderId="1" xfId="0" applyFont="1" applyFill="1" applyBorder="1"/>
    <xf numFmtId="4" fontId="28" fillId="8" borderId="1" xfId="3" applyNumberFormat="1" applyFont="1" applyFill="1" applyBorder="1" applyAlignment="1">
      <alignment horizontal="center" vertical="center" wrapText="1"/>
    </xf>
    <xf numFmtId="4" fontId="48" fillId="0" borderId="1" xfId="0" applyNumberFormat="1" applyFont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right" vertical="center" wrapText="1"/>
    </xf>
    <xf numFmtId="0" fontId="28" fillId="5" borderId="0" xfId="0" applyFont="1" applyFill="1" applyBorder="1" applyAlignment="1">
      <alignment horizontal="center" vertical="center" wrapText="1"/>
    </xf>
    <xf numFmtId="4" fontId="35" fillId="5" borderId="2" xfId="3" applyNumberFormat="1" applyFont="1" applyFill="1" applyBorder="1" applyAlignment="1">
      <alignment vertical="center"/>
    </xf>
    <xf numFmtId="4" fontId="35" fillId="5" borderId="1" xfId="3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left"/>
    </xf>
    <xf numFmtId="2" fontId="31" fillId="5" borderId="0" xfId="3" applyNumberFormat="1" applyFont="1" applyFill="1" applyBorder="1" applyAlignment="1">
      <alignment horizontal="right" vertical="center"/>
    </xf>
    <xf numFmtId="2" fontId="50" fillId="5" borderId="0" xfId="3" applyNumberFormat="1" applyFont="1" applyFill="1"/>
    <xf numFmtId="0" fontId="52" fillId="0" borderId="0" xfId="6" applyFont="1" applyFill="1" applyAlignment="1">
      <alignment vertical="center"/>
    </xf>
    <xf numFmtId="0" fontId="53" fillId="0" borderId="0" xfId="6" applyFont="1" applyFill="1" applyAlignment="1">
      <alignment horizontal="center"/>
    </xf>
    <xf numFmtId="2" fontId="53" fillId="0" borderId="0" xfId="6" applyNumberFormat="1" applyFont="1" applyFill="1"/>
    <xf numFmtId="0" fontId="17" fillId="0" borderId="0" xfId="6" applyFont="1" applyFill="1" applyAlignment="1">
      <alignment vertical="center"/>
    </xf>
    <xf numFmtId="0" fontId="54" fillId="0" borderId="0" xfId="6" applyFont="1" applyFill="1" applyAlignment="1">
      <alignment vertical="center"/>
    </xf>
    <xf numFmtId="0" fontId="53" fillId="0" borderId="0" xfId="6" applyFont="1" applyFill="1" applyBorder="1"/>
    <xf numFmtId="0" fontId="53" fillId="0" borderId="0" xfId="6" applyFont="1" applyFill="1"/>
    <xf numFmtId="169" fontId="56" fillId="0" borderId="51" xfId="7" applyNumberFormat="1" applyFont="1" applyFill="1" applyBorder="1" applyAlignment="1">
      <alignment horizontal="centerContinuous" vertical="center"/>
    </xf>
    <xf numFmtId="0" fontId="57" fillId="0" borderId="51" xfId="6" applyFont="1" applyFill="1" applyBorder="1" applyAlignment="1">
      <alignment horizontal="center" vertical="center" wrapText="1"/>
    </xf>
    <xf numFmtId="0" fontId="58" fillId="0" borderId="51" xfId="6" applyFont="1" applyFill="1" applyBorder="1" applyAlignment="1">
      <alignment horizontal="center" vertical="center"/>
    </xf>
    <xf numFmtId="0" fontId="58" fillId="0" borderId="1" xfId="6" applyFont="1" applyFill="1" applyBorder="1" applyAlignment="1">
      <alignment horizontal="center" vertical="center"/>
    </xf>
    <xf numFmtId="0" fontId="53" fillId="0" borderId="0" xfId="6" applyFont="1" applyFill="1" applyAlignment="1">
      <alignment vertical="center"/>
    </xf>
    <xf numFmtId="0" fontId="60" fillId="0" borderId="0" xfId="6" applyFont="1" applyFill="1"/>
    <xf numFmtId="0" fontId="60" fillId="5" borderId="0" xfId="6" applyFont="1" applyFill="1"/>
    <xf numFmtId="165" fontId="63" fillId="0" borderId="0" xfId="6" applyNumberFormat="1" applyFont="1" applyFill="1" applyBorder="1" applyAlignment="1">
      <alignment horizontal="center" vertical="center"/>
    </xf>
    <xf numFmtId="0" fontId="65" fillId="0" borderId="0" xfId="6" applyFont="1" applyFill="1" applyBorder="1"/>
    <xf numFmtId="172" fontId="53" fillId="0" borderId="0" xfId="6" applyNumberFormat="1" applyFont="1" applyFill="1" applyBorder="1"/>
    <xf numFmtId="174" fontId="53" fillId="0" borderId="0" xfId="1" applyNumberFormat="1" applyFont="1" applyFill="1" applyBorder="1"/>
    <xf numFmtId="0" fontId="53" fillId="0" borderId="0" xfId="1" applyNumberFormat="1" applyFont="1" applyFill="1" applyBorder="1"/>
    <xf numFmtId="1" fontId="53" fillId="0" borderId="0" xfId="6" applyNumberFormat="1" applyFont="1" applyFill="1" applyBorder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4" fontId="12" fillId="0" borderId="0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0" borderId="0" xfId="0" applyNumberFormat="1" applyFont="1" applyBorder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4" fontId="74" fillId="0" borderId="1" xfId="0" applyNumberFormat="1" applyFont="1" applyFill="1" applyBorder="1" applyAlignment="1">
      <alignment vertical="center" wrapText="1"/>
    </xf>
    <xf numFmtId="4" fontId="24" fillId="0" borderId="0" xfId="0" applyNumberFormat="1" applyFont="1" applyAlignment="1">
      <alignment vertical="center" wrapText="1"/>
    </xf>
    <xf numFmtId="0" fontId="14" fillId="0" borderId="0" xfId="10" applyFont="1" applyFill="1" applyAlignment="1">
      <alignment horizontal="right" vertical="center"/>
    </xf>
    <xf numFmtId="0" fontId="0" fillId="0" borderId="0" xfId="0" applyBorder="1"/>
    <xf numFmtId="0" fontId="14" fillId="0" borderId="0" xfId="10" applyFont="1" applyFill="1" applyAlignment="1">
      <alignment horizontal="right"/>
    </xf>
    <xf numFmtId="0" fontId="14" fillId="0" borderId="0" xfId="11" applyFont="1" applyFill="1" applyBorder="1" applyAlignment="1">
      <alignment vertical="center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59" fillId="0" borderId="1" xfId="11" applyFont="1" applyFill="1" applyBorder="1" applyAlignment="1">
      <alignment horizontal="center" vertical="center" wrapText="1"/>
    </xf>
    <xf numFmtId="3" fontId="59" fillId="0" borderId="1" xfId="11" applyNumberFormat="1" applyFont="1" applyFill="1" applyBorder="1" applyAlignment="1">
      <alignment horizontal="center" vertical="center" wrapText="1"/>
    </xf>
    <xf numFmtId="49" fontId="59" fillId="0" borderId="1" xfId="11" applyNumberFormat="1" applyFont="1" applyFill="1" applyBorder="1" applyAlignment="1">
      <alignment horizontal="center" vertical="center" wrapText="1"/>
    </xf>
    <xf numFmtId="0" fontId="0" fillId="5" borderId="0" xfId="0" applyNumberFormat="1" applyFill="1"/>
    <xf numFmtId="0" fontId="59" fillId="11" borderId="6" xfId="0" applyFont="1" applyFill="1" applyBorder="1" applyAlignment="1">
      <alignment horizontal="center" vertical="center" wrapText="1"/>
    </xf>
    <xf numFmtId="0" fontId="59" fillId="11" borderId="6" xfId="0" applyFont="1" applyFill="1" applyBorder="1" applyAlignment="1">
      <alignment horizontal="left" vertical="center" wrapText="1"/>
    </xf>
    <xf numFmtId="0" fontId="59" fillId="11" borderId="6" xfId="0" applyNumberFormat="1" applyFont="1" applyFill="1" applyBorder="1" applyAlignment="1">
      <alignment horizontal="center" vertical="center" wrapText="1"/>
    </xf>
    <xf numFmtId="3" fontId="78" fillId="11" borderId="0" xfId="0" applyNumberFormat="1" applyFont="1" applyFill="1" applyBorder="1"/>
    <xf numFmtId="0" fontId="59" fillId="0" borderId="1" xfId="0" applyFont="1" applyFill="1" applyBorder="1" applyAlignment="1">
      <alignment horizontal="center" vertical="center" wrapText="1"/>
    </xf>
    <xf numFmtId="49" fontId="59" fillId="0" borderId="0" xfId="0" applyNumberFormat="1" applyFont="1" applyFill="1" applyAlignment="1">
      <alignment horizontal="center"/>
    </xf>
    <xf numFmtId="0" fontId="59" fillId="0" borderId="0" xfId="0" applyFont="1" applyFill="1" applyAlignment="1">
      <alignment wrapText="1"/>
    </xf>
    <xf numFmtId="3" fontId="59" fillId="0" borderId="0" xfId="0" applyNumberFormat="1" applyFont="1" applyFill="1" applyAlignment="1">
      <alignment horizontal="center" wrapText="1"/>
    </xf>
    <xf numFmtId="0" fontId="59" fillId="0" borderId="0" xfId="0" applyFont="1" applyFill="1" applyAlignment="1">
      <alignment horizontal="center" wrapText="1"/>
    </xf>
    <xf numFmtId="0" fontId="59" fillId="0" borderId="0" xfId="0" applyFont="1" applyFill="1" applyAlignment="1">
      <alignment horizontal="center"/>
    </xf>
    <xf numFmtId="3" fontId="59" fillId="0" borderId="0" xfId="0" applyNumberFormat="1" applyFont="1" applyFill="1" applyAlignment="1">
      <alignment horizontal="center"/>
    </xf>
    <xf numFmtId="0" fontId="59" fillId="0" borderId="0" xfId="0" applyFont="1" applyFill="1"/>
    <xf numFmtId="49" fontId="79" fillId="0" borderId="1" xfId="14" applyNumberFormat="1" applyFont="1" applyFill="1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center" wrapText="1"/>
    </xf>
    <xf numFmtId="3" fontId="59" fillId="0" borderId="1" xfId="14" applyNumberFormat="1" applyFont="1" applyFill="1" applyBorder="1" applyAlignment="1">
      <alignment horizontal="center" vertical="center" wrapText="1"/>
    </xf>
    <xf numFmtId="49" fontId="79" fillId="13" borderId="1" xfId="14" applyNumberFormat="1" applyFont="1" applyFill="1" applyBorder="1" applyAlignment="1">
      <alignment horizontal="center" vertical="center" wrapText="1"/>
    </xf>
    <xf numFmtId="0" fontId="79" fillId="13" borderId="1" xfId="0" applyFont="1" applyFill="1" applyBorder="1" applyAlignment="1">
      <alignment horizontal="center" vertical="center" wrapText="1"/>
    </xf>
    <xf numFmtId="49" fontId="79" fillId="0" borderId="1" xfId="0" applyNumberFormat="1" applyFont="1" applyBorder="1" applyAlignment="1">
      <alignment horizontal="center" vertical="center"/>
    </xf>
    <xf numFmtId="0" fontId="59" fillId="0" borderId="1" xfId="0" applyFont="1" applyFill="1" applyBorder="1" applyAlignment="1">
      <alignment vertical="center" wrapText="1"/>
    </xf>
    <xf numFmtId="175" fontId="59" fillId="0" borderId="1" xfId="0" applyNumberFormat="1" applyFont="1" applyFill="1" applyBorder="1" applyAlignment="1">
      <alignment horizontal="center" vertical="center" wrapText="1"/>
    </xf>
    <xf numFmtId="9" fontId="79" fillId="0" borderId="1" xfId="0" applyNumberFormat="1" applyFont="1" applyBorder="1" applyAlignment="1">
      <alignment horizontal="center" vertical="center"/>
    </xf>
    <xf numFmtId="49" fontId="79" fillId="0" borderId="1" xfId="0" applyNumberFormat="1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left" vertical="center" wrapText="1"/>
    </xf>
    <xf numFmtId="175" fontId="80" fillId="13" borderId="59" xfId="0" applyNumberFormat="1" applyFont="1" applyFill="1" applyBorder="1" applyAlignment="1">
      <alignment horizontal="center" vertical="center" wrapText="1"/>
    </xf>
    <xf numFmtId="175" fontId="59" fillId="13" borderId="1" xfId="0" applyNumberFormat="1" applyFont="1" applyFill="1" applyBorder="1" applyAlignment="1">
      <alignment horizontal="center" vertical="center" wrapText="1"/>
    </xf>
    <xf numFmtId="0" fontId="78" fillId="0" borderId="1" xfId="0" applyFont="1" applyFill="1" applyBorder="1" applyAlignment="1">
      <alignment horizontal="left" vertical="center"/>
    </xf>
    <xf numFmtId="4" fontId="80" fillId="13" borderId="59" xfId="0" applyNumberFormat="1" applyFont="1" applyFill="1" applyBorder="1" applyAlignment="1">
      <alignment horizontal="center" vertical="center" wrapText="1"/>
    </xf>
    <xf numFmtId="0" fontId="79" fillId="0" borderId="1" xfId="0" applyFont="1" applyFill="1" applyBorder="1" applyAlignment="1">
      <alignment horizontal="center" vertical="center"/>
    </xf>
    <xf numFmtId="170" fontId="59" fillId="8" borderId="51" xfId="0" applyNumberFormat="1" applyFont="1" applyFill="1" applyBorder="1" applyAlignment="1">
      <alignment horizontal="center" vertical="center"/>
    </xf>
    <xf numFmtId="165" fontId="59" fillId="8" borderId="1" xfId="0" applyNumberFormat="1" applyFont="1" applyFill="1" applyBorder="1" applyAlignment="1">
      <alignment horizontal="center"/>
    </xf>
    <xf numFmtId="170" fontId="59" fillId="8" borderId="51" xfId="8" applyNumberFormat="1" applyFont="1" applyFill="1" applyBorder="1" applyAlignment="1">
      <alignment horizontal="center" vertical="center"/>
    </xf>
    <xf numFmtId="165" fontId="59" fillId="8" borderId="51" xfId="8" applyNumberFormat="1" applyFont="1" applyFill="1" applyBorder="1" applyAlignment="1">
      <alignment horizontal="center" vertical="center"/>
    </xf>
    <xf numFmtId="0" fontId="78" fillId="0" borderId="1" xfId="0" applyFont="1" applyFill="1" applyBorder="1" applyAlignment="1">
      <alignment horizontal="left" vertical="center" wrapText="1"/>
    </xf>
    <xf numFmtId="175" fontId="59" fillId="13" borderId="1" xfId="0" applyNumberFormat="1" applyFont="1" applyFill="1" applyBorder="1" applyAlignment="1">
      <alignment horizontal="center" vertical="center"/>
    </xf>
    <xf numFmtId="0" fontId="59" fillId="0" borderId="0" xfId="0" applyFont="1"/>
    <xf numFmtId="4" fontId="59" fillId="7" borderId="1" xfId="0" applyNumberFormat="1" applyFont="1" applyFill="1" applyBorder="1" applyAlignment="1">
      <alignment horizontal="center" vertical="center"/>
    </xf>
    <xf numFmtId="0" fontId="59" fillId="0" borderId="0" xfId="0" applyFont="1" applyBorder="1"/>
    <xf numFmtId="175" fontId="59" fillId="0" borderId="0" xfId="0" applyNumberFormat="1" applyFont="1" applyBorder="1"/>
    <xf numFmtId="0" fontId="59" fillId="0" borderId="0" xfId="0" applyFont="1" applyBorder="1" applyAlignment="1">
      <alignment vertical="center"/>
    </xf>
    <xf numFmtId="0" fontId="59" fillId="5" borderId="0" xfId="0" applyFont="1" applyFill="1" applyBorder="1" applyAlignment="1">
      <alignment vertical="center"/>
    </xf>
    <xf numFmtId="0" fontId="0" fillId="5" borderId="0" xfId="0" applyFill="1" applyBorder="1"/>
    <xf numFmtId="0" fontId="59" fillId="5" borderId="0" xfId="0" applyFont="1" applyFill="1" applyBorder="1"/>
    <xf numFmtId="4" fontId="59" fillId="0" borderId="0" xfId="0" applyNumberFormat="1" applyFont="1" applyBorder="1" applyAlignment="1">
      <alignment horizontal="center" vertical="center"/>
    </xf>
    <xf numFmtId="4" fontId="59" fillId="2" borderId="1" xfId="0" applyNumberFormat="1" applyFont="1" applyFill="1" applyBorder="1" applyAlignment="1">
      <alignment horizontal="center" vertical="center"/>
    </xf>
    <xf numFmtId="4" fontId="59" fillId="14" borderId="1" xfId="0" applyNumberFormat="1" applyFont="1" applyFill="1" applyBorder="1" applyAlignment="1">
      <alignment horizontal="center" vertical="center"/>
    </xf>
    <xf numFmtId="3" fontId="39" fillId="0" borderId="1" xfId="0" applyNumberFormat="1" applyFont="1" applyFill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10" fontId="59" fillId="0" borderId="1" xfId="0" applyNumberFormat="1" applyFont="1" applyBorder="1" applyAlignment="1">
      <alignment horizontal="center" vertical="center"/>
    </xf>
    <xf numFmtId="175" fontId="39" fillId="0" borderId="1" xfId="0" applyNumberFormat="1" applyFont="1" applyBorder="1" applyAlignment="1">
      <alignment horizontal="center" vertical="center"/>
    </xf>
    <xf numFmtId="4" fontId="85" fillId="0" borderId="25" xfId="0" applyNumberFormat="1" applyFont="1" applyFill="1" applyBorder="1" applyAlignment="1">
      <alignment horizontal="center" vertical="center"/>
    </xf>
    <xf numFmtId="0" fontId="59" fillId="0" borderId="0" xfId="0" applyFont="1" applyAlignment="1">
      <alignment vertical="center"/>
    </xf>
    <xf numFmtId="0" fontId="59" fillId="5" borderId="0" xfId="0" applyFont="1" applyFill="1" applyAlignment="1">
      <alignment vertical="center"/>
    </xf>
    <xf numFmtId="0" fontId="59" fillId="5" borderId="0" xfId="0" applyFont="1" applyFill="1"/>
    <xf numFmtId="9" fontId="59" fillId="0" borderId="1" xfId="0" applyNumberFormat="1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13" borderId="1" xfId="0" applyFont="1" applyFill="1" applyBorder="1" applyAlignment="1">
      <alignment horizontal="center" vertical="center"/>
    </xf>
    <xf numFmtId="0" fontId="59" fillId="0" borderId="1" xfId="0" applyFont="1" applyBorder="1" applyAlignment="1">
      <alignment vertical="center" wrapText="1"/>
    </xf>
    <xf numFmtId="175" fontId="59" fillId="0" borderId="1" xfId="0" applyNumberFormat="1" applyFont="1" applyFill="1" applyBorder="1" applyAlignment="1">
      <alignment horizontal="center" vertical="center"/>
    </xf>
    <xf numFmtId="175" fontId="59" fillId="5" borderId="1" xfId="0" applyNumberFormat="1" applyFont="1" applyFill="1" applyBorder="1" applyAlignment="1">
      <alignment horizontal="center" vertical="center"/>
    </xf>
    <xf numFmtId="175" fontId="39" fillId="13" borderId="1" xfId="0" applyNumberFormat="1" applyFont="1" applyFill="1" applyBorder="1" applyAlignment="1">
      <alignment horizontal="center" vertical="center"/>
    </xf>
    <xf numFmtId="0" fontId="59" fillId="0" borderId="1" xfId="0" applyFont="1" applyBorder="1" applyAlignment="1">
      <alignment vertical="center"/>
    </xf>
    <xf numFmtId="165" fontId="79" fillId="0" borderId="1" xfId="10" applyNumberFormat="1" applyFont="1" applyBorder="1" applyAlignment="1">
      <alignment horizontal="center" vertical="center" wrapText="1"/>
    </xf>
    <xf numFmtId="9" fontId="59" fillId="13" borderId="1" xfId="0" applyNumberFormat="1" applyFont="1" applyFill="1" applyBorder="1" applyAlignment="1">
      <alignment horizontal="center" vertical="center"/>
    </xf>
    <xf numFmtId="0" fontId="39" fillId="0" borderId="0" xfId="0" applyFont="1"/>
    <xf numFmtId="0" fontId="9" fillId="0" borderId="0" xfId="17"/>
    <xf numFmtId="0" fontId="9" fillId="0" borderId="0" xfId="17" applyAlignment="1">
      <alignment horizontal="center"/>
    </xf>
    <xf numFmtId="0" fontId="73" fillId="15" borderId="0" xfId="17" applyFont="1" applyFill="1"/>
    <xf numFmtId="0" fontId="9" fillId="15" borderId="0" xfId="17" applyFill="1"/>
    <xf numFmtId="0" fontId="87" fillId="11" borderId="1" xfId="17" applyFont="1" applyFill="1" applyBorder="1" applyAlignment="1">
      <alignment horizontal="center" vertical="center" wrapText="1"/>
    </xf>
    <xf numFmtId="0" fontId="86" fillId="11" borderId="1" xfId="17" applyFont="1" applyFill="1" applyBorder="1" applyAlignment="1">
      <alignment horizontal="center" vertical="center" wrapText="1"/>
    </xf>
    <xf numFmtId="0" fontId="86" fillId="0" borderId="1" xfId="17" applyFont="1" applyBorder="1" applyAlignment="1">
      <alignment horizontal="center" vertical="center" wrapText="1"/>
    </xf>
    <xf numFmtId="175" fontId="73" fillId="3" borderId="4" xfId="17" applyNumberFormat="1" applyFont="1" applyFill="1" applyBorder="1" applyAlignment="1">
      <alignment horizontal="center" vertical="center" wrapText="1"/>
    </xf>
    <xf numFmtId="175" fontId="73" fillId="3" borderId="1" xfId="17" applyNumberFormat="1" applyFont="1" applyFill="1" applyBorder="1" applyAlignment="1">
      <alignment horizontal="center" vertical="center" wrapText="1"/>
    </xf>
    <xf numFmtId="175" fontId="73" fillId="9" borderId="1" xfId="17" applyNumberFormat="1" applyFont="1" applyFill="1" applyBorder="1" applyAlignment="1">
      <alignment horizontal="center" vertical="center" wrapText="1"/>
    </xf>
    <xf numFmtId="175" fontId="73" fillId="9" borderId="4" xfId="17" applyNumberFormat="1" applyFont="1" applyFill="1" applyBorder="1" applyAlignment="1">
      <alignment horizontal="center" vertical="center" wrapText="1"/>
    </xf>
    <xf numFmtId="0" fontId="86" fillId="15" borderId="1" xfId="17" applyFont="1" applyFill="1" applyBorder="1" applyAlignment="1">
      <alignment horizontal="center" vertical="center" wrapText="1"/>
    </xf>
    <xf numFmtId="0" fontId="9" fillId="0" borderId="1" xfId="17" applyBorder="1"/>
    <xf numFmtId="0" fontId="9" fillId="13" borderId="1" xfId="17" applyFill="1" applyBorder="1"/>
    <xf numFmtId="0" fontId="9" fillId="0" borderId="1" xfId="17" applyBorder="1" applyAlignment="1">
      <alignment horizontal="center"/>
    </xf>
    <xf numFmtId="176" fontId="0" fillId="0" borderId="1" xfId="18" applyFont="1" applyBorder="1" applyAlignment="1">
      <alignment horizontal="center" vertical="center"/>
    </xf>
    <xf numFmtId="43" fontId="9" fillId="15" borderId="1" xfId="17" applyNumberFormat="1" applyFill="1" applyBorder="1" applyAlignment="1">
      <alignment horizontal="center" vertical="center"/>
    </xf>
    <xf numFmtId="0" fontId="9" fillId="0" borderId="1" xfId="17" applyFont="1" applyBorder="1"/>
    <xf numFmtId="176" fontId="13" fillId="0" borderId="1" xfId="18" applyFont="1" applyBorder="1" applyAlignment="1">
      <alignment horizontal="center" vertical="center"/>
    </xf>
    <xf numFmtId="164" fontId="9" fillId="0" borderId="0" xfId="17" applyNumberFormat="1"/>
    <xf numFmtId="0" fontId="9" fillId="0" borderId="1" xfId="17" applyBorder="1" applyAlignment="1">
      <alignment wrapText="1"/>
    </xf>
    <xf numFmtId="164" fontId="0" fillId="16" borderId="1" xfId="1" applyFont="1" applyFill="1" applyBorder="1"/>
    <xf numFmtId="164" fontId="9" fillId="0" borderId="1" xfId="17" applyNumberFormat="1" applyBorder="1"/>
    <xf numFmtId="2" fontId="90" fillId="0" borderId="0" xfId="13" applyNumberFormat="1" applyFont="1" applyAlignment="1">
      <alignment horizontal="left" vertical="center"/>
    </xf>
    <xf numFmtId="2" fontId="90" fillId="0" borderId="0" xfId="13" applyNumberFormat="1" applyFont="1" applyAlignment="1">
      <alignment vertical="center"/>
    </xf>
    <xf numFmtId="4" fontId="91" fillId="0" borderId="1" xfId="13" applyNumberFormat="1" applyFont="1" applyBorder="1" applyAlignment="1">
      <alignment horizontal="center" vertical="center"/>
    </xf>
    <xf numFmtId="2" fontId="90" fillId="0" borderId="0" xfId="13" applyNumberFormat="1" applyFont="1" applyAlignment="1">
      <alignment horizontal="center" vertical="center"/>
    </xf>
    <xf numFmtId="2" fontId="90" fillId="0" borderId="0" xfId="13" applyNumberFormat="1" applyFont="1" applyFill="1" applyAlignment="1">
      <alignment vertical="center"/>
    </xf>
    <xf numFmtId="2" fontId="46" fillId="0" borderId="0" xfId="13" applyNumberFormat="1"/>
    <xf numFmtId="2" fontId="90" fillId="0" borderId="0" xfId="13" applyNumberFormat="1" applyFont="1" applyAlignment="1">
      <alignment horizontal="center"/>
    </xf>
    <xf numFmtId="2" fontId="90" fillId="0" borderId="0" xfId="13" applyNumberFormat="1" applyFont="1"/>
    <xf numFmtId="2" fontId="90" fillId="0" borderId="0" xfId="13" applyNumberFormat="1" applyFont="1" applyFill="1"/>
    <xf numFmtId="2" fontId="91" fillId="0" borderId="0" xfId="13" applyNumberFormat="1" applyFont="1" applyAlignment="1">
      <alignment horizontal="left"/>
    </xf>
    <xf numFmtId="2" fontId="90" fillId="0" borderId="0" xfId="13" applyNumberFormat="1" applyFont="1" applyAlignment="1">
      <alignment horizontal="left"/>
    </xf>
    <xf numFmtId="2" fontId="90" fillId="0" borderId="0" xfId="13" applyNumberFormat="1" applyFont="1" applyFill="1" applyBorder="1"/>
    <xf numFmtId="2" fontId="91" fillId="0" borderId="0" xfId="13" applyNumberFormat="1" applyFont="1" applyAlignment="1">
      <alignment horizontal="center" wrapText="1"/>
    </xf>
    <xf numFmtId="0" fontId="90" fillId="0" borderId="0" xfId="13" applyFont="1" applyAlignment="1">
      <alignment horizontal="center" wrapText="1"/>
    </xf>
    <xf numFmtId="2" fontId="91" fillId="0" borderId="0" xfId="13" applyNumberFormat="1" applyFont="1" applyFill="1"/>
    <xf numFmtId="0" fontId="46" fillId="0" borderId="7" xfId="20" applyFont="1" applyBorder="1" applyAlignment="1">
      <alignment horizontal="center"/>
    </xf>
    <xf numFmtId="0" fontId="46" fillId="0" borderId="7" xfId="20" applyFont="1" applyBorder="1" applyAlignment="1"/>
    <xf numFmtId="0" fontId="46" fillId="0" borderId="0" xfId="20" applyFont="1"/>
    <xf numFmtId="0" fontId="46" fillId="0" borderId="0" xfId="20" applyFont="1" applyFill="1"/>
    <xf numFmtId="0" fontId="46" fillId="0" borderId="0" xfId="20"/>
    <xf numFmtId="2" fontId="90" fillId="0" borderId="2" xfId="13" applyNumberFormat="1" applyFont="1" applyBorder="1" applyAlignment="1">
      <alignment horizontal="center" vertical="center" wrapText="1"/>
    </xf>
    <xf numFmtId="2" fontId="90" fillId="0" borderId="24" xfId="13" applyNumberFormat="1" applyFont="1" applyFill="1" applyBorder="1" applyAlignment="1">
      <alignment horizontal="center" vertical="center" wrapText="1"/>
    </xf>
    <xf numFmtId="1" fontId="90" fillId="0" borderId="38" xfId="13" applyNumberFormat="1" applyFont="1" applyBorder="1" applyAlignment="1">
      <alignment horizontal="center"/>
    </xf>
    <xf numFmtId="1" fontId="90" fillId="0" borderId="35" xfId="13" applyNumberFormat="1" applyFont="1" applyBorder="1" applyAlignment="1">
      <alignment horizontal="center"/>
    </xf>
    <xf numFmtId="1" fontId="90" fillId="0" borderId="43" xfId="13" applyNumberFormat="1" applyFont="1" applyBorder="1" applyAlignment="1">
      <alignment horizontal="center"/>
    </xf>
    <xf numFmtId="1" fontId="90" fillId="0" borderId="62" xfId="13" applyNumberFormat="1" applyFont="1" applyFill="1" applyBorder="1" applyAlignment="1">
      <alignment horizontal="center"/>
    </xf>
    <xf numFmtId="2" fontId="46" fillId="0" borderId="0" xfId="13" applyNumberFormat="1" applyAlignment="1">
      <alignment horizontal="center"/>
    </xf>
    <xf numFmtId="1" fontId="93" fillId="13" borderId="63" xfId="13" applyNumberFormat="1" applyFont="1" applyFill="1" applyBorder="1" applyAlignment="1">
      <alignment horizontal="center" vertical="center"/>
    </xf>
    <xf numFmtId="2" fontId="93" fillId="13" borderId="15" xfId="13" applyNumberFormat="1" applyFont="1" applyFill="1" applyBorder="1" applyAlignment="1">
      <alignment horizontal="center" vertical="center"/>
    </xf>
    <xf numFmtId="2" fontId="94" fillId="13" borderId="15" xfId="13" applyNumberFormat="1" applyFont="1" applyFill="1" applyBorder="1" applyAlignment="1">
      <alignment vertical="center" wrapText="1"/>
    </xf>
    <xf numFmtId="4" fontId="93" fillId="13" borderId="15" xfId="13" applyNumberFormat="1" applyFont="1" applyFill="1" applyBorder="1" applyAlignment="1">
      <alignment vertical="center"/>
    </xf>
    <xf numFmtId="4" fontId="93" fillId="13" borderId="19" xfId="13" applyNumberFormat="1" applyFont="1" applyFill="1" applyBorder="1" applyAlignment="1">
      <alignment vertical="center"/>
    </xf>
    <xf numFmtId="2" fontId="46" fillId="13" borderId="0" xfId="13" applyNumberFormat="1" applyFill="1" applyAlignment="1">
      <alignment vertical="center"/>
    </xf>
    <xf numFmtId="1" fontId="93" fillId="0" borderId="30" xfId="13" applyNumberFormat="1" applyFont="1" applyBorder="1" applyAlignment="1">
      <alignment horizontal="center" vertical="center"/>
    </xf>
    <xf numFmtId="2" fontId="93" fillId="0" borderId="56" xfId="13" applyNumberFormat="1" applyFont="1" applyBorder="1" applyAlignment="1">
      <alignment horizontal="center" vertical="center"/>
    </xf>
    <xf numFmtId="2" fontId="93" fillId="0" borderId="56" xfId="13" applyNumberFormat="1" applyFont="1" applyBorder="1" applyAlignment="1">
      <alignment horizontal="left" vertical="center" wrapText="1"/>
    </xf>
    <xf numFmtId="4" fontId="93" fillId="0" borderId="6" xfId="13" applyNumberFormat="1" applyFont="1" applyBorder="1" applyAlignment="1">
      <alignment horizontal="right" vertical="center"/>
    </xf>
    <xf numFmtId="4" fontId="93" fillId="0" borderId="56" xfId="13" applyNumberFormat="1" applyFont="1" applyBorder="1" applyAlignment="1">
      <alignment horizontal="right" vertical="center"/>
    </xf>
    <xf numFmtId="4" fontId="93" fillId="0" borderId="64" xfId="13" applyNumberFormat="1" applyFont="1" applyFill="1" applyBorder="1" applyAlignment="1">
      <alignment horizontal="right" vertical="center"/>
    </xf>
    <xf numFmtId="1" fontId="93" fillId="13" borderId="27" xfId="13" applyNumberFormat="1" applyFont="1" applyFill="1" applyBorder="1" applyAlignment="1">
      <alignment horizontal="center" vertical="center"/>
    </xf>
    <xf numFmtId="2" fontId="93" fillId="13" borderId="1" xfId="13" applyNumberFormat="1" applyFont="1" applyFill="1" applyBorder="1" applyAlignment="1">
      <alignment horizontal="center" vertical="center"/>
    </xf>
    <xf numFmtId="2" fontId="95" fillId="13" borderId="1" xfId="13" applyNumberFormat="1" applyFont="1" applyFill="1" applyBorder="1" applyAlignment="1">
      <alignment vertical="center"/>
    </xf>
    <xf numFmtId="4" fontId="93" fillId="13" borderId="1" xfId="13" applyNumberFormat="1" applyFont="1" applyFill="1" applyBorder="1" applyAlignment="1">
      <alignment horizontal="right" vertical="center"/>
    </xf>
    <xf numFmtId="4" fontId="93" fillId="13" borderId="1" xfId="13" applyNumberFormat="1" applyFont="1" applyFill="1" applyBorder="1" applyAlignment="1">
      <alignment vertical="center"/>
    </xf>
    <xf numFmtId="10" fontId="46" fillId="13" borderId="0" xfId="13" applyNumberFormat="1" applyFill="1" applyAlignment="1">
      <alignment vertical="center"/>
    </xf>
    <xf numFmtId="1" fontId="93" fillId="0" borderId="27" xfId="13" applyNumberFormat="1" applyFont="1" applyBorder="1" applyAlignment="1">
      <alignment horizontal="center" vertical="center"/>
    </xf>
    <xf numFmtId="2" fontId="93" fillId="0" borderId="1" xfId="13" applyNumberFormat="1" applyFont="1" applyBorder="1" applyAlignment="1">
      <alignment horizontal="center" vertical="center"/>
    </xf>
    <xf numFmtId="2" fontId="94" fillId="0" borderId="1" xfId="13" applyNumberFormat="1" applyFont="1" applyBorder="1" applyAlignment="1">
      <alignment horizontal="left" vertical="center" wrapText="1"/>
    </xf>
    <xf numFmtId="4" fontId="93" fillId="0" borderId="1" xfId="13" applyNumberFormat="1" applyFont="1" applyBorder="1" applyAlignment="1">
      <alignment vertical="center"/>
    </xf>
    <xf numFmtId="4" fontId="93" fillId="0" borderId="3" xfId="13" applyNumberFormat="1" applyFont="1" applyBorder="1" applyAlignment="1">
      <alignment vertical="center"/>
    </xf>
    <xf numFmtId="4" fontId="93" fillId="0" borderId="24" xfId="13" applyNumberFormat="1" applyFont="1" applyFill="1" applyBorder="1" applyAlignment="1">
      <alignment vertical="center"/>
    </xf>
    <xf numFmtId="4" fontId="93" fillId="0" borderId="0" xfId="13" applyNumberFormat="1" applyFont="1" applyBorder="1" applyAlignment="1">
      <alignment horizontal="right" vertical="center"/>
    </xf>
    <xf numFmtId="4" fontId="93" fillId="13" borderId="3" xfId="13" applyNumberFormat="1" applyFont="1" applyFill="1" applyBorder="1" applyAlignment="1">
      <alignment horizontal="right" vertical="center"/>
    </xf>
    <xf numFmtId="2" fontId="93" fillId="0" borderId="2" xfId="13" applyNumberFormat="1" applyFont="1" applyBorder="1" applyAlignment="1">
      <alignment horizontal="center" vertical="center"/>
    </xf>
    <xf numFmtId="4" fontId="96" fillId="0" borderId="1" xfId="13" applyNumberFormat="1" applyFont="1" applyBorder="1" applyAlignment="1">
      <alignment horizontal="right" vertical="center"/>
    </xf>
    <xf numFmtId="4" fontId="93" fillId="0" borderId="1" xfId="13" applyNumberFormat="1" applyFont="1" applyBorder="1" applyAlignment="1">
      <alignment horizontal="right" vertical="center"/>
    </xf>
    <xf numFmtId="4" fontId="93" fillId="0" borderId="24" xfId="13" applyNumberFormat="1" applyFont="1" applyFill="1" applyBorder="1" applyAlignment="1">
      <alignment horizontal="right" vertical="center"/>
    </xf>
    <xf numFmtId="1" fontId="90" fillId="0" borderId="30" xfId="13" applyNumberFormat="1" applyFont="1" applyBorder="1" applyAlignment="1">
      <alignment horizontal="center" vertical="center"/>
    </xf>
    <xf numFmtId="2" fontId="93" fillId="0" borderId="56" xfId="13" applyNumberFormat="1" applyFont="1" applyFill="1" applyBorder="1" applyAlignment="1">
      <alignment horizontal="left" vertical="center" wrapText="1"/>
    </xf>
    <xf numFmtId="4" fontId="90" fillId="0" borderId="56" xfId="13" applyNumberFormat="1" applyFont="1" applyBorder="1" applyAlignment="1">
      <alignment vertical="center"/>
    </xf>
    <xf numFmtId="4" fontId="93" fillId="0" borderId="64" xfId="13" applyNumberFormat="1" applyFont="1" applyFill="1" applyBorder="1" applyAlignment="1">
      <alignment vertical="center"/>
    </xf>
    <xf numFmtId="4" fontId="93" fillId="13" borderId="24" xfId="13" applyNumberFormat="1" applyFont="1" applyFill="1" applyBorder="1" applyAlignment="1">
      <alignment vertical="center"/>
    </xf>
    <xf numFmtId="2" fontId="93" fillId="0" borderId="5" xfId="13" applyNumberFormat="1" applyFont="1" applyBorder="1" applyAlignment="1">
      <alignment horizontal="center" vertical="center"/>
    </xf>
    <xf numFmtId="2" fontId="94" fillId="0" borderId="56" xfId="13" applyNumberFormat="1" applyFont="1" applyBorder="1" applyAlignment="1">
      <alignment horizontal="left" vertical="center" wrapText="1"/>
    </xf>
    <xf numFmtId="4" fontId="96" fillId="0" borderId="56" xfId="13" applyNumberFormat="1" applyFont="1" applyBorder="1" applyAlignment="1">
      <alignment horizontal="right" vertical="center"/>
    </xf>
    <xf numFmtId="2" fontId="93" fillId="0" borderId="1" xfId="13" applyNumberFormat="1" applyFont="1" applyBorder="1" applyAlignment="1">
      <alignment horizontal="left" vertical="center" wrapText="1"/>
    </xf>
    <xf numFmtId="2" fontId="93" fillId="13" borderId="1" xfId="13" applyNumberFormat="1" applyFont="1" applyFill="1" applyBorder="1" applyAlignment="1">
      <alignment vertical="center"/>
    </xf>
    <xf numFmtId="1" fontId="93" fillId="0" borderId="38" xfId="13" applyNumberFormat="1" applyFont="1" applyBorder="1" applyAlignment="1">
      <alignment horizontal="center" vertical="center"/>
    </xf>
    <xf numFmtId="2" fontId="93" fillId="0" borderId="35" xfId="13" applyNumberFormat="1" applyFont="1" applyBorder="1" applyAlignment="1">
      <alignment horizontal="center" vertical="center"/>
    </xf>
    <xf numFmtId="2" fontId="93" fillId="0" borderId="35" xfId="13" applyNumberFormat="1" applyFont="1" applyBorder="1" applyAlignment="1">
      <alignment vertical="center" wrapText="1"/>
    </xf>
    <xf numFmtId="4" fontId="93" fillId="0" borderId="35" xfId="13" applyNumberFormat="1" applyFont="1" applyBorder="1" applyAlignment="1">
      <alignment horizontal="right" vertical="center"/>
    </xf>
    <xf numFmtId="4" fontId="93" fillId="0" borderId="62" xfId="13" quotePrefix="1" applyNumberFormat="1" applyFont="1" applyBorder="1" applyAlignment="1">
      <alignment horizontal="right" vertical="center"/>
    </xf>
    <xf numFmtId="2" fontId="46" fillId="0" borderId="0" xfId="13" applyNumberFormat="1" applyAlignment="1">
      <alignment wrapText="1"/>
    </xf>
    <xf numFmtId="1" fontId="93" fillId="13" borderId="65" xfId="13" applyNumberFormat="1" applyFont="1" applyFill="1" applyBorder="1" applyAlignment="1">
      <alignment horizontal="center" vertical="center"/>
    </xf>
    <xf numFmtId="2" fontId="93" fillId="13" borderId="6" xfId="13" applyNumberFormat="1" applyFont="1" applyFill="1" applyBorder="1" applyAlignment="1">
      <alignment horizontal="center" vertical="center"/>
    </xf>
    <xf numFmtId="2" fontId="95" fillId="13" borderId="6" xfId="13" applyNumberFormat="1" applyFont="1" applyFill="1" applyBorder="1" applyAlignment="1">
      <alignment vertical="center"/>
    </xf>
    <xf numFmtId="4" fontId="93" fillId="13" borderId="6" xfId="13" applyNumberFormat="1" applyFont="1" applyFill="1" applyBorder="1" applyAlignment="1">
      <alignment horizontal="right" vertical="center"/>
    </xf>
    <xf numFmtId="4" fontId="93" fillId="13" borderId="66" xfId="13" applyNumberFormat="1" applyFont="1" applyFill="1" applyBorder="1" applyAlignment="1">
      <alignment horizontal="right" vertical="center"/>
    </xf>
    <xf numFmtId="4" fontId="95" fillId="13" borderId="67" xfId="13" applyNumberFormat="1" applyFont="1" applyFill="1" applyBorder="1" applyAlignment="1">
      <alignment horizontal="right" vertical="center"/>
    </xf>
    <xf numFmtId="1" fontId="93" fillId="13" borderId="30" xfId="13" applyNumberFormat="1" applyFont="1" applyFill="1" applyBorder="1" applyAlignment="1">
      <alignment horizontal="center" vertical="center"/>
    </xf>
    <xf numFmtId="2" fontId="93" fillId="13" borderId="56" xfId="13" applyNumberFormat="1" applyFont="1" applyFill="1" applyBorder="1" applyAlignment="1">
      <alignment horizontal="center" vertical="center" wrapText="1"/>
    </xf>
    <xf numFmtId="2" fontId="93" fillId="13" borderId="56" xfId="13" applyNumberFormat="1" applyFont="1" applyFill="1" applyBorder="1" applyAlignment="1">
      <alignment vertical="center"/>
    </xf>
    <xf numFmtId="4" fontId="93" fillId="13" borderId="64" xfId="13" applyNumberFormat="1" applyFont="1" applyFill="1" applyBorder="1" applyAlignment="1">
      <alignment horizontal="right" vertical="center"/>
    </xf>
    <xf numFmtId="1" fontId="93" fillId="13" borderId="38" xfId="13" applyNumberFormat="1" applyFont="1" applyFill="1" applyBorder="1" applyAlignment="1">
      <alignment horizontal="center" vertical="center"/>
    </xf>
    <xf numFmtId="2" fontId="93" fillId="13" borderId="35" xfId="13" applyNumberFormat="1" applyFont="1" applyFill="1" applyBorder="1" applyAlignment="1">
      <alignment vertical="center"/>
    </xf>
    <xf numFmtId="2" fontId="95" fillId="13" borderId="35" xfId="13" applyNumberFormat="1" applyFont="1" applyFill="1" applyBorder="1" applyAlignment="1">
      <alignment vertical="center" wrapText="1"/>
    </xf>
    <xf numFmtId="4" fontId="93" fillId="13" borderId="35" xfId="13" applyNumberFormat="1" applyFont="1" applyFill="1" applyBorder="1" applyAlignment="1">
      <alignment vertical="center"/>
    </xf>
    <xf numFmtId="4" fontId="95" fillId="13" borderId="62" xfId="13" applyNumberFormat="1" applyFont="1" applyFill="1" applyBorder="1" applyAlignment="1">
      <alignment horizontal="right" vertical="center"/>
    </xf>
    <xf numFmtId="1" fontId="93" fillId="0" borderId="0" xfId="13" applyNumberFormat="1" applyFont="1" applyBorder="1" applyAlignment="1">
      <alignment horizontal="center" vertical="center"/>
    </xf>
    <xf numFmtId="2" fontId="93" fillId="0" borderId="0" xfId="13" applyNumberFormat="1" applyFont="1" applyBorder="1" applyAlignment="1">
      <alignment vertical="center"/>
    </xf>
    <xf numFmtId="2" fontId="95" fillId="0" borderId="0" xfId="13" applyNumberFormat="1" applyFont="1" applyBorder="1" applyAlignment="1">
      <alignment vertical="center" wrapText="1"/>
    </xf>
    <xf numFmtId="4" fontId="93" fillId="0" borderId="0" xfId="13" applyNumberFormat="1" applyFont="1" applyBorder="1" applyAlignment="1">
      <alignment vertical="center"/>
    </xf>
    <xf numFmtId="4" fontId="95" fillId="0" borderId="0" xfId="13" applyNumberFormat="1" applyFont="1" applyFill="1" applyBorder="1" applyAlignment="1">
      <alignment vertical="center"/>
    </xf>
    <xf numFmtId="4" fontId="90" fillId="0" borderId="0" xfId="13" applyNumberFormat="1" applyFont="1" applyAlignment="1">
      <alignment vertical="center"/>
    </xf>
    <xf numFmtId="4" fontId="90" fillId="0" borderId="0" xfId="13" applyNumberFormat="1" applyFont="1" applyFill="1" applyAlignment="1">
      <alignment vertical="center"/>
    </xf>
    <xf numFmtId="0" fontId="25" fillId="0" borderId="0" xfId="4" applyFont="1" applyFill="1" applyBorder="1" applyAlignment="1">
      <alignment vertical="center"/>
    </xf>
    <xf numFmtId="0" fontId="0" fillId="0" borderId="0" xfId="0" applyAlignment="1">
      <alignment vertical="center"/>
    </xf>
    <xf numFmtId="0" fontId="35" fillId="0" borderId="0" xfId="4" applyFont="1" applyFill="1" applyBorder="1" applyAlignment="1">
      <alignment horizontal="center" vertical="center" wrapText="1"/>
    </xf>
    <xf numFmtId="0" fontId="59" fillId="0" borderId="0" xfId="4" applyFont="1" applyFill="1" applyAlignment="1">
      <alignment vertical="center"/>
    </xf>
    <xf numFmtId="0" fontId="61" fillId="0" borderId="0" xfId="4" applyFont="1" applyFill="1" applyBorder="1" applyAlignment="1">
      <alignment horizontal="center" vertical="center"/>
    </xf>
    <xf numFmtId="2" fontId="46" fillId="0" borderId="0" xfId="13" applyNumberFormat="1" applyFill="1"/>
    <xf numFmtId="0" fontId="100" fillId="0" borderId="0" xfId="0" applyFont="1" applyAlignment="1">
      <alignment horizontal="right" vertical="center" wrapText="1"/>
    </xf>
    <xf numFmtId="0" fontId="98" fillId="0" borderId="0" xfId="0" applyFont="1" applyAlignment="1">
      <alignment horizontal="right" vertical="center" wrapText="1"/>
    </xf>
    <xf numFmtId="0" fontId="101" fillId="0" borderId="0" xfId="0" applyFont="1" applyAlignment="1">
      <alignment vertical="center" wrapText="1"/>
    </xf>
    <xf numFmtId="0" fontId="98" fillId="0" borderId="1" xfId="0" applyFont="1" applyBorder="1" applyAlignment="1">
      <alignment horizontal="center" vertical="center" wrapText="1"/>
    </xf>
    <xf numFmtId="0" fontId="106" fillId="0" borderId="1" xfId="0" applyFont="1" applyBorder="1" applyAlignment="1">
      <alignment horizontal="center" vertical="center" wrapText="1"/>
    </xf>
    <xf numFmtId="0" fontId="106" fillId="3" borderId="1" xfId="0" applyFont="1" applyFill="1" applyBorder="1" applyAlignment="1">
      <alignment horizontal="center" vertical="center" wrapText="1"/>
    </xf>
    <xf numFmtId="0" fontId="101" fillId="0" borderId="1" xfId="0" applyFont="1" applyBorder="1" applyAlignment="1">
      <alignment horizontal="center" vertical="center" wrapText="1"/>
    </xf>
    <xf numFmtId="4" fontId="101" fillId="0" borderId="1" xfId="0" applyNumberFormat="1" applyFont="1" applyBorder="1" applyAlignment="1">
      <alignment horizontal="center" vertical="center" wrapText="1"/>
    </xf>
    <xf numFmtId="0" fontId="101" fillId="3" borderId="1" xfId="0" applyFont="1" applyFill="1" applyBorder="1" applyAlignment="1">
      <alignment horizontal="center" vertical="center" wrapText="1"/>
    </xf>
    <xf numFmtId="0" fontId="101" fillId="3" borderId="0" xfId="0" applyFont="1" applyFill="1" applyAlignment="1">
      <alignment vertical="center" wrapText="1"/>
    </xf>
    <xf numFmtId="0" fontId="101" fillId="0" borderId="0" xfId="0" applyFont="1" applyBorder="1" applyAlignment="1">
      <alignment horizontal="left" vertical="center" wrapText="1"/>
    </xf>
    <xf numFmtId="0" fontId="101" fillId="0" borderId="0" xfId="0" applyFont="1" applyBorder="1" applyAlignment="1">
      <alignment horizontal="center" vertical="center" wrapText="1"/>
    </xf>
    <xf numFmtId="0" fontId="107" fillId="0" borderId="1" xfId="0" applyFont="1" applyBorder="1" applyAlignment="1">
      <alignment horizontal="center" vertical="center" wrapText="1"/>
    </xf>
    <xf numFmtId="0" fontId="107" fillId="0" borderId="1" xfId="0" applyFont="1" applyBorder="1" applyAlignment="1">
      <alignment vertical="center" wrapText="1"/>
    </xf>
    <xf numFmtId="14" fontId="107" fillId="0" borderId="25" xfId="0" applyNumberFormat="1" applyFont="1" applyBorder="1" applyAlignment="1">
      <alignment horizontal="left" vertical="center" wrapText="1"/>
    </xf>
    <xf numFmtId="0" fontId="107" fillId="0" borderId="4" xfId="0" applyFont="1" applyBorder="1" applyAlignment="1">
      <alignment horizontal="center" vertical="center" wrapText="1"/>
    </xf>
    <xf numFmtId="0" fontId="106" fillId="0" borderId="0" xfId="0" applyFont="1" applyBorder="1" applyAlignment="1">
      <alignment horizontal="center" vertical="center" wrapText="1"/>
    </xf>
    <xf numFmtId="0" fontId="107" fillId="0" borderId="0" xfId="0" applyFont="1" applyBorder="1" applyAlignment="1">
      <alignment horizontal="left" vertical="center" wrapText="1"/>
    </xf>
    <xf numFmtId="0" fontId="101" fillId="0" borderId="51" xfId="0" applyFont="1" applyBorder="1" applyAlignment="1">
      <alignment horizontal="center" vertical="center" wrapText="1"/>
    </xf>
    <xf numFmtId="0" fontId="98" fillId="17" borderId="1" xfId="0" applyFont="1" applyFill="1" applyBorder="1" applyAlignment="1">
      <alignment horizontal="left" vertical="center" wrapText="1"/>
    </xf>
    <xf numFmtId="4" fontId="101" fillId="17" borderId="1" xfId="0" applyNumberFormat="1" applyFont="1" applyFill="1" applyBorder="1" applyAlignment="1">
      <alignment horizontal="center" vertical="center" wrapText="1"/>
    </xf>
    <xf numFmtId="0" fontId="101" fillId="17" borderId="1" xfId="0" applyFont="1" applyFill="1" applyBorder="1" applyAlignment="1">
      <alignment horizontal="center" vertical="center" wrapText="1"/>
    </xf>
    <xf numFmtId="4" fontId="98" fillId="17" borderId="1" xfId="0" applyNumberFormat="1" applyFont="1" applyFill="1" applyBorder="1" applyAlignment="1">
      <alignment horizontal="center" vertical="center" wrapText="1"/>
    </xf>
    <xf numFmtId="0" fontId="99" fillId="3" borderId="1" xfId="0" applyFont="1" applyFill="1" applyBorder="1" applyAlignment="1">
      <alignment horizontal="left" vertical="center" wrapText="1"/>
    </xf>
    <xf numFmtId="2" fontId="101" fillId="3" borderId="1" xfId="0" applyNumberFormat="1" applyFont="1" applyFill="1" applyBorder="1" applyAlignment="1">
      <alignment horizontal="center" vertical="center" wrapText="1"/>
    </xf>
    <xf numFmtId="0" fontId="98" fillId="3" borderId="1" xfId="0" applyFont="1" applyFill="1" applyBorder="1" applyAlignment="1">
      <alignment horizontal="center" vertical="center" wrapText="1"/>
    </xf>
    <xf numFmtId="0" fontId="98" fillId="3" borderId="1" xfId="0" applyFont="1" applyFill="1" applyBorder="1" applyAlignment="1">
      <alignment horizontal="left" vertical="center" wrapText="1"/>
    </xf>
    <xf numFmtId="4" fontId="101" fillId="3" borderId="1" xfId="0" applyNumberFormat="1" applyFont="1" applyFill="1" applyBorder="1" applyAlignment="1">
      <alignment horizontal="center" vertical="center" wrapText="1"/>
    </xf>
    <xf numFmtId="4" fontId="98" fillId="3" borderId="1" xfId="0" applyNumberFormat="1" applyFont="1" applyFill="1" applyBorder="1" applyAlignment="1">
      <alignment horizontal="center" vertical="center" wrapText="1"/>
    </xf>
    <xf numFmtId="0" fontId="101" fillId="0" borderId="1" xfId="0" applyFont="1" applyBorder="1" applyAlignment="1">
      <alignment horizontal="left" vertical="center" wrapText="1"/>
    </xf>
    <xf numFmtId="167" fontId="101" fillId="0" borderId="1" xfId="0" applyNumberFormat="1" applyFont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left" vertical="center" wrapText="1"/>
    </xf>
    <xf numFmtId="0" fontId="101" fillId="17" borderId="1" xfId="0" applyFont="1" applyFill="1" applyBorder="1" applyAlignment="1">
      <alignment horizontal="left" vertical="center" wrapText="1"/>
    </xf>
    <xf numFmtId="0" fontId="101" fillId="0" borderId="0" xfId="0" applyFont="1" applyAlignment="1">
      <alignment horizontal="center" vertical="center" wrapText="1"/>
    </xf>
    <xf numFmtId="170" fontId="72" fillId="0" borderId="0" xfId="8" applyNumberFormat="1" applyFont="1" applyBorder="1" applyAlignment="1">
      <alignment horizontal="center" vertical="center"/>
    </xf>
    <xf numFmtId="168" fontId="71" fillId="0" borderId="12" xfId="8" applyFont="1" applyBorder="1" applyAlignment="1" applyProtection="1">
      <alignment horizontal="center" vertical="center"/>
      <protection locked="0"/>
    </xf>
    <xf numFmtId="170" fontId="70" fillId="13" borderId="135" xfId="8" applyNumberFormat="1" applyFont="1" applyFill="1" applyBorder="1" applyAlignment="1">
      <alignment horizontal="center" vertical="center"/>
    </xf>
    <xf numFmtId="168" fontId="68" fillId="0" borderId="15" xfId="8" applyFont="1" applyFill="1" applyBorder="1" applyAlignment="1" applyProtection="1">
      <alignment horizontal="center" vertical="center" wrapText="1"/>
      <protection locked="0"/>
    </xf>
    <xf numFmtId="2" fontId="19" fillId="0" borderId="148" xfId="2" applyNumberFormat="1" applyFont="1" applyFill="1" applyBorder="1" applyAlignment="1">
      <alignment horizontal="center" vertical="center"/>
    </xf>
    <xf numFmtId="1" fontId="61" fillId="5" borderId="0" xfId="6" applyNumberFormat="1" applyFont="1" applyFill="1" applyBorder="1" applyAlignment="1">
      <alignment horizontal="center" vertical="center"/>
    </xf>
    <xf numFmtId="165" fontId="62" fillId="5" borderId="0" xfId="6" applyNumberFormat="1" applyFont="1" applyFill="1" applyBorder="1" applyAlignment="1">
      <alignment horizontal="center" vertical="center"/>
    </xf>
    <xf numFmtId="165" fontId="63" fillId="5" borderId="0" xfId="6" applyNumberFormat="1" applyFont="1" applyFill="1" applyBorder="1" applyAlignment="1">
      <alignment horizontal="center" vertical="center"/>
    </xf>
    <xf numFmtId="172" fontId="63" fillId="5" borderId="0" xfId="6" applyNumberFormat="1" applyFont="1" applyFill="1" applyBorder="1" applyAlignment="1">
      <alignment horizontal="center" vertical="center"/>
    </xf>
    <xf numFmtId="0" fontId="63" fillId="5" borderId="0" xfId="6" applyFont="1" applyFill="1" applyBorder="1" applyAlignment="1">
      <alignment horizontal="center" vertical="center"/>
    </xf>
    <xf numFmtId="173" fontId="63" fillId="5" borderId="0" xfId="6" applyNumberFormat="1" applyFont="1" applyFill="1" applyBorder="1" applyAlignment="1">
      <alignment horizontal="center" vertical="center"/>
    </xf>
    <xf numFmtId="172" fontId="53" fillId="5" borderId="0" xfId="6" applyNumberFormat="1" applyFont="1" applyFill="1" applyBorder="1"/>
    <xf numFmtId="0" fontId="53" fillId="5" borderId="0" xfId="6" applyFont="1" applyFill="1" applyBorder="1"/>
    <xf numFmtId="0" fontId="65" fillId="5" borderId="0" xfId="6" applyFont="1" applyFill="1" applyBorder="1" applyAlignment="1">
      <alignment horizontal="center"/>
    </xf>
    <xf numFmtId="0" fontId="70" fillId="0" borderId="35" xfId="22" applyFont="1" applyFill="1" applyBorder="1" applyAlignment="1">
      <alignment horizontal="center"/>
    </xf>
    <xf numFmtId="0" fontId="65" fillId="0" borderId="30" xfId="6" applyFont="1" applyFill="1" applyBorder="1" applyAlignment="1">
      <alignment horizontal="center"/>
    </xf>
    <xf numFmtId="0" fontId="53" fillId="0" borderId="31" xfId="6" applyFont="1" applyFill="1" applyBorder="1"/>
    <xf numFmtId="0" fontId="53" fillId="0" borderId="31" xfId="1" applyNumberFormat="1" applyFont="1" applyFill="1" applyBorder="1"/>
    <xf numFmtId="0" fontId="53" fillId="0" borderId="30" xfId="6" applyFont="1" applyFill="1" applyBorder="1" applyAlignment="1">
      <alignment horizontal="center"/>
    </xf>
    <xf numFmtId="0" fontId="53" fillId="0" borderId="30" xfId="6" applyFont="1" applyFill="1" applyBorder="1"/>
    <xf numFmtId="0" fontId="62" fillId="5" borderId="0" xfId="6" applyFont="1" applyFill="1" applyBorder="1" applyAlignment="1">
      <alignment horizontal="center" vertical="center"/>
    </xf>
    <xf numFmtId="170" fontId="39" fillId="6" borderId="150" xfId="0" applyNumberFormat="1" applyFont="1" applyFill="1" applyBorder="1" applyAlignment="1">
      <alignment horizontal="center" vertical="center"/>
    </xf>
    <xf numFmtId="170" fontId="39" fillId="6" borderId="150" xfId="8" applyNumberFormat="1" applyFont="1" applyFill="1" applyBorder="1" applyAlignment="1">
      <alignment horizontal="center" vertical="center"/>
    </xf>
    <xf numFmtId="165" fontId="39" fillId="6" borderId="150" xfId="8" applyNumberFormat="1" applyFont="1" applyFill="1" applyBorder="1" applyAlignment="1">
      <alignment horizontal="center" vertical="center"/>
    </xf>
    <xf numFmtId="165" fontId="39" fillId="7" borderId="150" xfId="8" applyNumberFormat="1" applyFont="1" applyFill="1" applyBorder="1" applyAlignment="1">
      <alignment horizontal="center" vertical="center"/>
    </xf>
    <xf numFmtId="165" fontId="39" fillId="3" borderId="150" xfId="8" applyNumberFormat="1" applyFont="1" applyFill="1" applyBorder="1" applyAlignment="1">
      <alignment horizontal="center" vertical="center"/>
    </xf>
    <xf numFmtId="170" fontId="70" fillId="108" borderId="135" xfId="8" applyNumberFormat="1" applyFont="1" applyFill="1" applyBorder="1" applyAlignment="1">
      <alignment horizontal="center" vertical="center"/>
    </xf>
    <xf numFmtId="165" fontId="39" fillId="6" borderId="151" xfId="8" applyNumberFormat="1" applyFont="1" applyFill="1" applyBorder="1" applyAlignment="1">
      <alignment horizontal="center" vertical="center"/>
    </xf>
    <xf numFmtId="166" fontId="85" fillId="5" borderId="135" xfId="6" applyNumberFormat="1" applyFont="1" applyFill="1" applyBorder="1" applyAlignment="1">
      <alignment horizontal="center" vertical="center"/>
    </xf>
    <xf numFmtId="170" fontId="85" fillId="5" borderId="135" xfId="8" applyNumberFormat="1" applyFont="1" applyFill="1" applyBorder="1" applyAlignment="1">
      <alignment horizontal="center" vertical="center"/>
    </xf>
    <xf numFmtId="171" fontId="74" fillId="5" borderId="135" xfId="8" applyNumberFormat="1" applyFont="1" applyFill="1" applyBorder="1" applyAlignment="1">
      <alignment horizontal="center" vertical="center"/>
    </xf>
    <xf numFmtId="171" fontId="85" fillId="5" borderId="135" xfId="8" applyNumberFormat="1" applyFont="1" applyFill="1" applyBorder="1" applyAlignment="1">
      <alignment horizontal="center" vertical="center"/>
    </xf>
    <xf numFmtId="168" fontId="55" fillId="5" borderId="0" xfId="7" applyFont="1" applyFill="1" applyBorder="1" applyAlignment="1">
      <alignment horizontal="left" vertical="center" wrapText="1"/>
    </xf>
    <xf numFmtId="0" fontId="64" fillId="5" borderId="0" xfId="6" applyFont="1" applyFill="1" applyBorder="1"/>
    <xf numFmtId="0" fontId="65" fillId="5" borderId="0" xfId="6" applyFont="1" applyFill="1" applyBorder="1"/>
    <xf numFmtId="168" fontId="71" fillId="0" borderId="53" xfId="8" applyFont="1" applyFill="1" applyBorder="1" applyAlignment="1">
      <alignment vertical="center"/>
    </xf>
    <xf numFmtId="170" fontId="72" fillId="0" borderId="35" xfId="8" applyNumberFormat="1" applyFont="1" applyFill="1" applyBorder="1" applyAlignment="1">
      <alignment horizontal="center" vertical="center"/>
    </xf>
    <xf numFmtId="170" fontId="72" fillId="0" borderId="62" xfId="8" applyNumberFormat="1" applyFont="1" applyFill="1" applyBorder="1" applyAlignment="1">
      <alignment horizontal="center" vertical="center"/>
    </xf>
    <xf numFmtId="170" fontId="72" fillId="0" borderId="53" xfId="8" applyNumberFormat="1" applyFont="1" applyFill="1" applyBorder="1" applyAlignment="1">
      <alignment horizontal="center" vertical="center"/>
    </xf>
    <xf numFmtId="0" fontId="110" fillId="0" borderId="0" xfId="845" applyFont="1" applyAlignment="1">
      <alignment horizontal="left"/>
    </xf>
    <xf numFmtId="0" fontId="113" fillId="0" borderId="0" xfId="23" applyFont="1" applyAlignment="1"/>
    <xf numFmtId="165" fontId="183" fillId="0" borderId="0" xfId="6" applyNumberFormat="1" applyFont="1" applyFill="1" applyBorder="1" applyAlignment="1">
      <alignment horizontal="center" vertical="center"/>
    </xf>
    <xf numFmtId="0" fontId="110" fillId="0" borderId="0" xfId="845" applyFont="1"/>
    <xf numFmtId="0" fontId="114" fillId="0" borderId="0" xfId="23" applyFont="1" applyAlignment="1">
      <alignment horizontal="left" wrapText="1"/>
    </xf>
    <xf numFmtId="172" fontId="113" fillId="0" borderId="0" xfId="23" applyNumberFormat="1" applyFont="1" applyAlignment="1"/>
    <xf numFmtId="0" fontId="110" fillId="0" borderId="0" xfId="845" applyFont="1" applyFill="1" applyAlignment="1">
      <alignment horizontal="left"/>
    </xf>
    <xf numFmtId="172" fontId="110" fillId="0" borderId="0" xfId="845" applyNumberFormat="1" applyFont="1"/>
    <xf numFmtId="0" fontId="59" fillId="0" borderId="155" xfId="6" applyFont="1" applyFill="1" applyBorder="1" applyAlignment="1">
      <alignment horizontal="center" vertical="center" wrapText="1"/>
    </xf>
    <xf numFmtId="166" fontId="39" fillId="5" borderId="155" xfId="6" applyNumberFormat="1" applyFont="1" applyFill="1" applyBorder="1" applyAlignment="1">
      <alignment horizontal="center" vertical="center"/>
    </xf>
    <xf numFmtId="170" fontId="39" fillId="5" borderId="155" xfId="8" applyNumberFormat="1" applyFont="1" applyFill="1" applyBorder="1" applyAlignment="1">
      <alignment horizontal="center" vertical="center"/>
    </xf>
    <xf numFmtId="171" fontId="39" fillId="5" borderId="155" xfId="8" applyNumberFormat="1" applyFont="1" applyFill="1" applyBorder="1" applyAlignment="1">
      <alignment horizontal="center" vertical="center"/>
    </xf>
    <xf numFmtId="202" fontId="39" fillId="5" borderId="155" xfId="8" applyNumberFormat="1" applyFont="1" applyFill="1" applyBorder="1" applyAlignment="1">
      <alignment horizontal="center" vertical="center"/>
    </xf>
    <xf numFmtId="4" fontId="12" fillId="0" borderId="155" xfId="0" applyNumberFormat="1" applyFont="1" applyBorder="1" applyAlignment="1">
      <alignment vertical="center" wrapText="1"/>
    </xf>
    <xf numFmtId="170" fontId="70" fillId="109" borderId="22" xfId="8" applyNumberFormat="1" applyFont="1" applyFill="1" applyBorder="1" applyAlignment="1">
      <alignment horizontal="center" vertical="center"/>
    </xf>
    <xf numFmtId="170" fontId="70" fillId="109" borderId="56" xfId="8" applyNumberFormat="1" applyFont="1" applyFill="1" applyBorder="1" applyAlignment="1">
      <alignment horizontal="center" vertical="center"/>
    </xf>
    <xf numFmtId="170" fontId="70" fillId="109" borderId="64" xfId="8" applyNumberFormat="1" applyFont="1" applyFill="1" applyBorder="1" applyAlignment="1">
      <alignment horizontal="center" vertical="center"/>
    </xf>
    <xf numFmtId="0" fontId="58" fillId="0" borderId="0" xfId="6" applyFont="1" applyFill="1" applyBorder="1" applyAlignment="1">
      <alignment horizontal="center" vertical="center" wrapText="1"/>
    </xf>
    <xf numFmtId="0" fontId="0" fillId="0" borderId="0" xfId="0"/>
    <xf numFmtId="0" fontId="190" fillId="0" borderId="0" xfId="1899" applyFont="1"/>
    <xf numFmtId="0" fontId="189" fillId="0" borderId="59" xfId="1899" applyFont="1" applyBorder="1" applyAlignment="1">
      <alignment horizontal="center" vertical="center"/>
    </xf>
    <xf numFmtId="0" fontId="190" fillId="0" borderId="0" xfId="1899" applyFont="1" applyAlignment="1">
      <alignment horizontal="center"/>
    </xf>
    <xf numFmtId="0" fontId="190" fillId="110" borderId="0" xfId="1899" applyFont="1" applyFill="1"/>
    <xf numFmtId="0" fontId="191" fillId="0" borderId="0" xfId="0" applyFont="1"/>
    <xf numFmtId="0" fontId="191" fillId="111" borderId="18" xfId="0" applyFont="1" applyFill="1" applyBorder="1" applyAlignment="1">
      <alignment horizontal="center" vertical="center"/>
    </xf>
    <xf numFmtId="0" fontId="0" fillId="0" borderId="0" xfId="0" applyFont="1"/>
    <xf numFmtId="0" fontId="191" fillId="111" borderId="53" xfId="0" applyFont="1" applyFill="1" applyBorder="1" applyAlignment="1">
      <alignment horizontal="center" vertical="center"/>
    </xf>
    <xf numFmtId="0" fontId="191" fillId="112" borderId="18" xfId="0" applyFont="1" applyFill="1" applyBorder="1" applyAlignment="1">
      <alignment horizontal="center" vertical="center"/>
    </xf>
    <xf numFmtId="0" fontId="191" fillId="112" borderId="53" xfId="0" applyFont="1" applyFill="1" applyBorder="1" applyAlignment="1">
      <alignment horizontal="center" vertical="center"/>
    </xf>
    <xf numFmtId="0" fontId="192" fillId="0" borderId="0" xfId="0" applyFont="1"/>
    <xf numFmtId="0" fontId="191" fillId="112" borderId="49" xfId="0" applyFont="1" applyFill="1" applyBorder="1" applyAlignment="1">
      <alignment horizontal="center" vertical="center"/>
    </xf>
    <xf numFmtId="4" fontId="195" fillId="0" borderId="0" xfId="0" applyNumberFormat="1" applyFont="1"/>
    <xf numFmtId="0" fontId="59" fillId="5" borderId="158" xfId="0" applyNumberFormat="1" applyFont="1" applyFill="1" applyBorder="1" applyAlignment="1">
      <alignment horizontal="center" vertical="center" wrapText="1"/>
    </xf>
    <xf numFmtId="0" fontId="59" fillId="5" borderId="158" xfId="0" applyNumberFormat="1" applyFont="1" applyFill="1" applyBorder="1" applyAlignment="1">
      <alignment horizontal="left" vertical="center" wrapText="1"/>
    </xf>
    <xf numFmtId="0" fontId="195" fillId="0" borderId="0" xfId="0" applyFont="1"/>
    <xf numFmtId="2" fontId="195" fillId="0" borderId="0" xfId="0" applyNumberFormat="1" applyFont="1"/>
    <xf numFmtId="4" fontId="19" fillId="5" borderId="169" xfId="2" applyNumberFormat="1" applyFont="1" applyFill="1" applyBorder="1" applyAlignment="1">
      <alignment vertical="center" wrapText="1"/>
    </xf>
    <xf numFmtId="4" fontId="19" fillId="0" borderId="163" xfId="2" applyNumberFormat="1" applyFont="1" applyFill="1" applyBorder="1" applyAlignment="1">
      <alignment horizontal="center" vertical="center"/>
    </xf>
    <xf numFmtId="4" fontId="19" fillId="0" borderId="169" xfId="2" applyNumberFormat="1" applyFont="1" applyFill="1" applyBorder="1" applyAlignment="1">
      <alignment horizontal="center" vertical="center"/>
    </xf>
    <xf numFmtId="4" fontId="19" fillId="0" borderId="169" xfId="2" applyNumberFormat="1" applyFont="1" applyFill="1" applyBorder="1" applyAlignment="1">
      <alignment vertical="center" wrapText="1"/>
    </xf>
    <xf numFmtId="2" fontId="19" fillId="0" borderId="163" xfId="2" applyNumberFormat="1" applyFont="1" applyFill="1" applyBorder="1" applyAlignment="1">
      <alignment horizontal="center" vertical="center"/>
    </xf>
    <xf numFmtId="0" fontId="59" fillId="5" borderId="6" xfId="0" applyNumberFormat="1" applyFont="1" applyFill="1" applyBorder="1" applyAlignment="1">
      <alignment horizontal="center" vertical="center" wrapText="1"/>
    </xf>
    <xf numFmtId="0" fontId="59" fillId="5" borderId="6" xfId="0" applyNumberFormat="1" applyFont="1" applyFill="1" applyBorder="1" applyAlignment="1">
      <alignment horizontal="left" vertical="center" wrapText="1"/>
    </xf>
    <xf numFmtId="0" fontId="193" fillId="0" borderId="162" xfId="0" applyFont="1" applyBorder="1" applyAlignment="1">
      <alignment horizontal="center" vertical="center" wrapText="1"/>
    </xf>
    <xf numFmtId="4" fontId="193" fillId="0" borderId="162" xfId="0" applyNumberFormat="1" applyFont="1" applyBorder="1" applyAlignment="1">
      <alignment horizontal="center" vertical="center" wrapText="1"/>
    </xf>
    <xf numFmtId="0" fontId="79" fillId="5" borderId="158" xfId="0" applyNumberFormat="1" applyFont="1" applyFill="1" applyBorder="1"/>
    <xf numFmtId="17" fontId="194" fillId="0" borderId="158" xfId="12" applyNumberFormat="1" applyFont="1" applyFill="1" applyBorder="1" applyAlignment="1">
      <alignment horizontal="center" vertical="center" wrapText="1"/>
    </xf>
    <xf numFmtId="0" fontId="194" fillId="0" borderId="158" xfId="12" applyFont="1" applyFill="1" applyBorder="1" applyAlignment="1">
      <alignment horizontal="center" vertical="center" wrapText="1"/>
    </xf>
    <xf numFmtId="4" fontId="194" fillId="5" borderId="162" xfId="12" applyNumberFormat="1" applyFont="1" applyFill="1" applyBorder="1" applyAlignment="1">
      <alignment horizontal="center" vertical="center" wrapText="1"/>
    </xf>
    <xf numFmtId="0" fontId="79" fillId="5" borderId="162" xfId="0" applyNumberFormat="1" applyFont="1" applyFill="1" applyBorder="1"/>
    <xf numFmtId="17" fontId="194" fillId="0" borderId="6" xfId="12" applyNumberFormat="1" applyFont="1" applyFill="1" applyBorder="1" applyAlignment="1">
      <alignment horizontal="center" vertical="center" wrapText="1"/>
    </xf>
    <xf numFmtId="0" fontId="194" fillId="0" borderId="6" xfId="12" applyFont="1" applyFill="1" applyBorder="1" applyAlignment="1">
      <alignment horizontal="center" vertical="center" wrapText="1"/>
    </xf>
    <xf numFmtId="4" fontId="59" fillId="11" borderId="60" xfId="0" applyNumberFormat="1" applyFont="1" applyFill="1" applyBorder="1" applyAlignment="1">
      <alignment horizontal="center" vertical="center" wrapText="1"/>
    </xf>
    <xf numFmtId="4" fontId="59" fillId="0" borderId="1" xfId="11" applyNumberFormat="1" applyFont="1" applyFill="1" applyBorder="1" applyAlignment="1">
      <alignment horizontal="center" vertical="center" wrapText="1"/>
    </xf>
    <xf numFmtId="4" fontId="194" fillId="0" borderId="158" xfId="12" applyNumberFormat="1" applyFont="1" applyFill="1" applyBorder="1" applyAlignment="1">
      <alignment horizontal="center" vertical="center" wrapText="1"/>
    </xf>
    <xf numFmtId="4" fontId="194" fillId="0" borderId="6" xfId="12" applyNumberFormat="1" applyFont="1" applyFill="1" applyBorder="1" applyAlignment="1">
      <alignment horizontal="center" vertical="center" wrapText="1"/>
    </xf>
    <xf numFmtId="4" fontId="59" fillId="11" borderId="6" xfId="0" applyNumberFormat="1" applyFont="1" applyFill="1" applyBorder="1" applyAlignment="1">
      <alignment horizontal="center" vertical="center" wrapText="1"/>
    </xf>
    <xf numFmtId="0" fontId="59" fillId="11" borderId="1" xfId="0" applyNumberFormat="1" applyFont="1" applyFill="1" applyBorder="1"/>
    <xf numFmtId="0" fontId="12" fillId="5" borderId="1" xfId="0" applyNumberFormat="1" applyFont="1" applyFill="1" applyBorder="1"/>
    <xf numFmtId="0" fontId="12" fillId="0" borderId="1" xfId="11" applyFont="1" applyFill="1" applyBorder="1" applyAlignment="1">
      <alignment horizontal="left" vertical="center"/>
    </xf>
    <xf numFmtId="0" fontId="12" fillId="0" borderId="1" xfId="11" applyFont="1" applyFill="1" applyBorder="1" applyAlignment="1">
      <alignment horizontal="center" vertical="center" wrapText="1"/>
    </xf>
    <xf numFmtId="0" fontId="11" fillId="0" borderId="1" xfId="1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11" applyFont="1" applyFill="1" applyBorder="1" applyAlignment="1">
      <alignment horizontal="center"/>
    </xf>
    <xf numFmtId="4" fontId="98" fillId="0" borderId="158" xfId="0" applyNumberFormat="1" applyFont="1" applyBorder="1" applyAlignment="1">
      <alignment horizontal="center" vertical="center"/>
    </xf>
    <xf numFmtId="4" fontId="79" fillId="5" borderId="162" xfId="0" applyNumberFormat="1" applyFont="1" applyFill="1" applyBorder="1" applyAlignment="1">
      <alignment horizontal="center" vertical="center"/>
    </xf>
    <xf numFmtId="4" fontId="79" fillId="11" borderId="6" xfId="0" applyNumberFormat="1" applyFont="1" applyFill="1" applyBorder="1" applyAlignment="1">
      <alignment horizontal="center" vertical="center"/>
    </xf>
    <xf numFmtId="0" fontId="19" fillId="0" borderId="16" xfId="2" applyFont="1" applyFill="1" applyBorder="1" applyAlignment="1">
      <alignment horizontal="center" vertical="center" wrapText="1"/>
    </xf>
    <xf numFmtId="0" fontId="0" fillId="0" borderId="0" xfId="0"/>
    <xf numFmtId="0" fontId="19" fillId="0" borderId="52" xfId="0" applyFont="1" applyFill="1" applyBorder="1" applyAlignment="1">
      <alignment horizontal="left" vertical="center" wrapText="1"/>
    </xf>
    <xf numFmtId="0" fontId="19" fillId="0" borderId="16" xfId="2" applyFont="1" applyFill="1" applyBorder="1" applyAlignment="1">
      <alignment horizontal="center" vertical="center" wrapText="1"/>
    </xf>
    <xf numFmtId="0" fontId="0" fillId="0" borderId="0" xfId="0"/>
    <xf numFmtId="49" fontId="24" fillId="6" borderId="0" xfId="0" applyNumberFormat="1" applyFont="1" applyFill="1" applyBorder="1" applyAlignment="1">
      <alignment horizontal="left" vertical="center" wrapText="1"/>
    </xf>
    <xf numFmtId="0" fontId="19" fillId="0" borderId="15" xfId="2" applyFont="1" applyFill="1" applyBorder="1" applyAlignment="1">
      <alignment horizontal="left" vertical="center" wrapText="1"/>
    </xf>
    <xf numFmtId="4" fontId="19" fillId="0" borderId="16" xfId="2" applyNumberFormat="1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/>
    </xf>
    <xf numFmtId="4" fontId="19" fillId="0" borderId="163" xfId="2" applyNumberFormat="1" applyFont="1" applyFill="1" applyBorder="1" applyAlignment="1">
      <alignment horizontal="center" vertical="center"/>
    </xf>
    <xf numFmtId="4" fontId="19" fillId="0" borderId="162" xfId="2" applyNumberFormat="1" applyFont="1" applyFill="1" applyBorder="1" applyAlignment="1">
      <alignment vertical="center" wrapText="1"/>
    </xf>
    <xf numFmtId="4" fontId="19" fillId="0" borderId="35" xfId="2" applyNumberFormat="1" applyFont="1" applyFill="1" applyBorder="1" applyAlignment="1">
      <alignment vertical="center" wrapText="1"/>
    </xf>
    <xf numFmtId="4" fontId="19" fillId="0" borderId="148" xfId="2" applyNumberFormat="1" applyFont="1" applyFill="1" applyBorder="1" applyAlignment="1">
      <alignment horizontal="center" vertical="center"/>
    </xf>
    <xf numFmtId="4" fontId="20" fillId="0" borderId="18" xfId="2" applyNumberFormat="1" applyFont="1" applyFill="1" applyBorder="1" applyAlignment="1">
      <alignment horizontal="center" vertical="center"/>
    </xf>
    <xf numFmtId="4" fontId="20" fillId="0" borderId="15" xfId="2" applyNumberFormat="1" applyFont="1" applyFill="1" applyBorder="1" applyAlignment="1">
      <alignment horizontal="center" vertical="center"/>
    </xf>
    <xf numFmtId="4" fontId="29" fillId="0" borderId="0" xfId="2" applyNumberFormat="1" applyFont="1" applyFill="1" applyBorder="1"/>
    <xf numFmtId="0" fontId="29" fillId="0" borderId="0" xfId="2" applyFont="1" applyFill="1" applyBorder="1"/>
    <xf numFmtId="0" fontId="0" fillId="0" borderId="0" xfId="0" applyFill="1"/>
    <xf numFmtId="2" fontId="29" fillId="0" borderId="0" xfId="2" applyNumberFormat="1" applyFont="1" applyFill="1" applyBorder="1"/>
    <xf numFmtId="4" fontId="29" fillId="113" borderId="0" xfId="2" applyNumberFormat="1" applyFont="1" applyFill="1" applyBorder="1"/>
    <xf numFmtId="0" fontId="29" fillId="113" borderId="0" xfId="2" applyFont="1" applyFill="1" applyBorder="1"/>
    <xf numFmtId="0" fontId="0" fillId="113" borderId="0" xfId="0" applyFill="1"/>
    <xf numFmtId="49" fontId="24" fillId="0" borderId="0" xfId="0" applyNumberFormat="1" applyFont="1" applyFill="1" applyBorder="1" applyAlignment="1">
      <alignment horizontal="left" vertical="center" wrapText="1"/>
    </xf>
    <xf numFmtId="0" fontId="184" fillId="0" borderId="44" xfId="0" applyFont="1" applyFill="1" applyBorder="1" applyAlignment="1">
      <alignment horizontal="center" vertical="center"/>
    </xf>
    <xf numFmtId="49" fontId="35" fillId="0" borderId="14" xfId="2" applyNumberFormat="1" applyFont="1" applyFill="1" applyBorder="1" applyAlignment="1">
      <alignment horizontal="center" vertical="center" wrapText="1"/>
    </xf>
    <xf numFmtId="0" fontId="184" fillId="0" borderId="5" xfId="0" applyFont="1" applyFill="1" applyBorder="1" applyAlignment="1">
      <alignment horizontal="center" vertical="center"/>
    </xf>
    <xf numFmtId="49" fontId="35" fillId="0" borderId="23" xfId="2" applyNumberFormat="1" applyFont="1" applyFill="1" applyBorder="1" applyAlignment="1">
      <alignment horizontal="center" vertical="center" wrapText="1"/>
    </xf>
    <xf numFmtId="0" fontId="185" fillId="0" borderId="5" xfId="0" applyFont="1" applyFill="1" applyBorder="1" applyAlignment="1">
      <alignment horizontal="center" vertical="center"/>
    </xf>
    <xf numFmtId="0" fontId="185" fillId="0" borderId="148" xfId="0" applyFont="1" applyFill="1" applyBorder="1" applyAlignment="1">
      <alignment horizontal="center" vertical="center"/>
    </xf>
    <xf numFmtId="49" fontId="35" fillId="0" borderId="146" xfId="2" applyNumberFormat="1" applyFont="1" applyFill="1" applyBorder="1" applyAlignment="1">
      <alignment horizontal="center" vertical="center" wrapText="1"/>
    </xf>
    <xf numFmtId="4" fontId="29" fillId="3" borderId="0" xfId="2" applyNumberFormat="1" applyFont="1" applyFill="1" applyBorder="1"/>
    <xf numFmtId="0" fontId="29" fillId="3" borderId="0" xfId="2" applyFont="1" applyFill="1" applyBorder="1"/>
    <xf numFmtId="0" fontId="0" fillId="3" borderId="0" xfId="0" applyFill="1"/>
    <xf numFmtId="0" fontId="197" fillId="13" borderId="162" xfId="0" applyFont="1" applyFill="1" applyBorder="1" applyAlignment="1">
      <alignment horizontal="center" vertical="center" wrapText="1"/>
    </xf>
    <xf numFmtId="0" fontId="198" fillId="13" borderId="162" xfId="0" applyFont="1" applyFill="1" applyBorder="1" applyAlignment="1">
      <alignment horizontal="center" vertical="center"/>
    </xf>
    <xf numFmtId="4" fontId="198" fillId="0" borderId="162" xfId="0" applyNumberFormat="1" applyFont="1" applyBorder="1" applyAlignment="1">
      <alignment horizontal="center" vertical="center"/>
    </xf>
    <xf numFmtId="0" fontId="198" fillId="0" borderId="162" xfId="0" applyFont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left" vertical="center" wrapText="1"/>
    </xf>
    <xf numFmtId="0" fontId="25" fillId="0" borderId="9" xfId="2" applyFont="1" applyFill="1" applyBorder="1" applyAlignment="1">
      <alignment horizontal="center" vertical="center" textRotation="90" wrapText="1"/>
    </xf>
    <xf numFmtId="0" fontId="25" fillId="0" borderId="10" xfId="2" applyFont="1" applyFill="1" applyBorder="1" applyAlignment="1">
      <alignment horizontal="center" vertical="center" textRotation="90" wrapText="1"/>
    </xf>
    <xf numFmtId="0" fontId="33" fillId="0" borderId="9" xfId="2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 wrapText="1"/>
    </xf>
    <xf numFmtId="0" fontId="26" fillId="0" borderId="0" xfId="0" applyFont="1" applyFill="1"/>
    <xf numFmtId="0" fontId="199" fillId="0" borderId="0" xfId="24" applyFont="1" applyFill="1" applyAlignment="1">
      <alignment vertical="center" wrapText="1"/>
    </xf>
    <xf numFmtId="0" fontId="199" fillId="0" borderId="0" xfId="24" applyFont="1" applyFill="1" applyAlignment="1">
      <alignment horizontal="center" vertical="center" wrapText="1"/>
    </xf>
    <xf numFmtId="167" fontId="199" fillId="0" borderId="0" xfId="24" applyNumberFormat="1" applyFont="1" applyFill="1" applyAlignment="1">
      <alignment vertical="center" wrapText="1"/>
    </xf>
    <xf numFmtId="0" fontId="200" fillId="0" borderId="0" xfId="24" applyFont="1" applyFill="1" applyAlignment="1">
      <alignment wrapText="1"/>
    </xf>
    <xf numFmtId="0" fontId="199" fillId="0" borderId="0" xfId="24" applyFont="1" applyFill="1" applyAlignment="1">
      <alignment horizontal="center"/>
    </xf>
    <xf numFmtId="0" fontId="200" fillId="0" borderId="0" xfId="24" applyFont="1" applyFill="1" applyAlignment="1"/>
    <xf numFmtId="0" fontId="7" fillId="0" borderId="0" xfId="24" applyFill="1"/>
    <xf numFmtId="0" fontId="199" fillId="0" borderId="0" xfId="24" applyFont="1" applyFill="1" applyAlignment="1">
      <alignment horizontal="left" vertical="center" wrapText="1"/>
    </xf>
    <xf numFmtId="0" fontId="199" fillId="0" borderId="0" xfId="24" applyFont="1" applyFill="1" applyBorder="1" applyAlignment="1">
      <alignment horizontal="left" vertical="center" wrapText="1"/>
    </xf>
    <xf numFmtId="0" fontId="200" fillId="0" borderId="0" xfId="24" applyFont="1" applyFill="1" applyAlignment="1">
      <alignment horizontal="left" vertical="center" wrapText="1"/>
    </xf>
    <xf numFmtId="167" fontId="199" fillId="0" borderId="0" xfId="24" applyNumberFormat="1" applyFont="1" applyFill="1" applyAlignment="1">
      <alignment horizontal="left" vertical="center" wrapText="1"/>
    </xf>
    <xf numFmtId="0" fontId="201" fillId="0" borderId="0" xfId="24" applyFont="1" applyFill="1"/>
    <xf numFmtId="3" fontId="19" fillId="0" borderId="0" xfId="24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Alignment="1">
      <alignment horizontal="center"/>
    </xf>
    <xf numFmtId="167" fontId="0" fillId="0" borderId="0" xfId="0" applyNumberFormat="1" applyFill="1"/>
    <xf numFmtId="4" fontId="19" fillId="0" borderId="163" xfId="2" applyNumberFormat="1" applyFont="1" applyFill="1" applyBorder="1" applyAlignment="1">
      <alignment horizontal="center" vertical="center"/>
    </xf>
    <xf numFmtId="0" fontId="19" fillId="0" borderId="16" xfId="2" applyFont="1" applyFill="1" applyBorder="1" applyAlignment="1">
      <alignment horizontal="center" vertical="center" wrapText="1"/>
    </xf>
    <xf numFmtId="4" fontId="19" fillId="0" borderId="163" xfId="2" applyNumberFormat="1" applyFont="1" applyFill="1" applyBorder="1" applyAlignment="1">
      <alignment horizontal="center" vertical="center"/>
    </xf>
    <xf numFmtId="0" fontId="19" fillId="0" borderId="16" xfId="2" applyFont="1" applyFill="1" applyBorder="1" applyAlignment="1">
      <alignment horizontal="center" vertical="center" wrapText="1"/>
    </xf>
    <xf numFmtId="0" fontId="0" fillId="0" borderId="0" xfId="0"/>
    <xf numFmtId="0" fontId="110" fillId="0" borderId="0" xfId="845" applyFont="1" applyAlignment="1">
      <alignment horizontal="left" wrapText="1"/>
    </xf>
    <xf numFmtId="4" fontId="19" fillId="0" borderId="163" xfId="2" applyNumberFormat="1" applyFont="1" applyFill="1" applyBorder="1" applyAlignment="1">
      <alignment horizontal="center" vertical="center"/>
    </xf>
    <xf numFmtId="0" fontId="19" fillId="0" borderId="16" xfId="2" applyFont="1" applyFill="1" applyBorder="1" applyAlignment="1">
      <alignment horizontal="center" vertical="center" wrapText="1"/>
    </xf>
    <xf numFmtId="0" fontId="0" fillId="0" borderId="0" xfId="0"/>
    <xf numFmtId="168" fontId="68" fillId="0" borderId="44" xfId="8" applyFont="1" applyFill="1" applyBorder="1" applyAlignment="1" applyProtection="1">
      <alignment horizontal="center" vertical="center" wrapText="1"/>
      <protection locked="0"/>
    </xf>
    <xf numFmtId="168" fontId="68" fillId="0" borderId="48" xfId="8" applyFont="1" applyFill="1" applyBorder="1" applyAlignment="1" applyProtection="1">
      <alignment horizontal="center" vertical="center" wrapText="1"/>
      <protection locked="0"/>
    </xf>
    <xf numFmtId="168" fontId="68" fillId="0" borderId="12" xfId="8" applyFont="1" applyFill="1" applyBorder="1" applyAlignment="1" applyProtection="1">
      <alignment horizontal="center" vertical="center" wrapText="1"/>
      <protection locked="0"/>
    </xf>
    <xf numFmtId="168" fontId="68" fillId="0" borderId="16" xfId="8" applyFont="1" applyFill="1" applyBorder="1" applyAlignment="1" applyProtection="1">
      <alignment horizontal="center" vertical="center" wrapText="1"/>
      <protection locked="0"/>
    </xf>
    <xf numFmtId="168" fontId="68" fillId="0" borderId="17" xfId="8" applyFont="1" applyFill="1" applyBorder="1" applyAlignment="1" applyProtection="1">
      <alignment horizontal="center" vertical="center" wrapText="1"/>
      <protection locked="0"/>
    </xf>
    <xf numFmtId="168" fontId="70" fillId="0" borderId="33" xfId="8" applyFont="1" applyBorder="1" applyAlignment="1" applyProtection="1">
      <alignment horizontal="center" vertical="center"/>
      <protection locked="0"/>
    </xf>
    <xf numFmtId="0" fontId="115" fillId="0" borderId="43" xfId="22" applyFont="1" applyBorder="1" applyAlignment="1"/>
    <xf numFmtId="0" fontId="67" fillId="12" borderId="172" xfId="9" applyFont="1" applyFill="1" applyBorder="1" applyAlignment="1">
      <alignment horizontal="left" vertical="center" wrapText="1" indent="2"/>
    </xf>
    <xf numFmtId="1" fontId="67" fillId="12" borderId="162" xfId="9" applyNumberFormat="1" applyFont="1" applyFill="1" applyBorder="1" applyAlignment="1">
      <alignment horizontal="center" vertical="center"/>
    </xf>
    <xf numFmtId="0" fontId="67" fillId="12" borderId="162" xfId="9" applyFont="1" applyFill="1" applyBorder="1"/>
    <xf numFmtId="1" fontId="67" fillId="12" borderId="156" xfId="9" applyNumberFormat="1" applyFont="1" applyFill="1" applyBorder="1" applyAlignment="1">
      <alignment horizontal="center" vertical="center"/>
    </xf>
    <xf numFmtId="1" fontId="67" fillId="12" borderId="172" xfId="9" applyNumberFormat="1" applyFont="1" applyFill="1" applyBorder="1" applyAlignment="1">
      <alignment horizontal="center" vertical="center"/>
    </xf>
    <xf numFmtId="168" fontId="68" fillId="0" borderId="172" xfId="8" applyFont="1" applyFill="1" applyBorder="1" applyAlignment="1">
      <alignment vertical="center"/>
    </xf>
    <xf numFmtId="170" fontId="69" fillId="0" borderId="162" xfId="8" applyNumberFormat="1" applyFont="1" applyFill="1" applyBorder="1" applyAlignment="1">
      <alignment horizontal="center" vertical="center"/>
    </xf>
    <xf numFmtId="170" fontId="70" fillId="0" borderId="162" xfId="8" applyNumberFormat="1" applyFont="1" applyFill="1" applyBorder="1" applyAlignment="1">
      <alignment horizontal="center" vertical="center"/>
    </xf>
    <xf numFmtId="170" fontId="69" fillId="0" borderId="156" xfId="8" applyNumberFormat="1" applyFont="1" applyFill="1" applyBorder="1" applyAlignment="1">
      <alignment horizontal="center" vertical="center"/>
    </xf>
    <xf numFmtId="170" fontId="69" fillId="0" borderId="172" xfId="8" applyNumberFormat="1" applyFont="1" applyFill="1" applyBorder="1" applyAlignment="1">
      <alignment horizontal="center" vertical="center"/>
    </xf>
    <xf numFmtId="168" fontId="71" fillId="0" borderId="172" xfId="8" applyFont="1" applyFill="1" applyBorder="1" applyAlignment="1">
      <alignment vertical="center"/>
    </xf>
    <xf numFmtId="170" fontId="72" fillId="0" borderId="162" xfId="8" applyNumberFormat="1" applyFont="1" applyFill="1" applyBorder="1" applyAlignment="1">
      <alignment horizontal="center" vertical="center"/>
    </xf>
    <xf numFmtId="170" fontId="72" fillId="0" borderId="156" xfId="8" applyNumberFormat="1" applyFont="1" applyFill="1" applyBorder="1" applyAlignment="1">
      <alignment horizontal="center" vertical="center"/>
    </xf>
    <xf numFmtId="170" fontId="72" fillId="10" borderId="172" xfId="8" applyNumberFormat="1" applyFont="1" applyFill="1" applyBorder="1" applyAlignment="1">
      <alignment horizontal="center" vertical="center"/>
    </xf>
    <xf numFmtId="170" fontId="72" fillId="10" borderId="162" xfId="8" applyNumberFormat="1" applyFont="1" applyFill="1" applyBorder="1" applyAlignment="1">
      <alignment horizontal="center" vertical="center"/>
    </xf>
    <xf numFmtId="0" fontId="67" fillId="12" borderId="169" xfId="9" applyFont="1" applyFill="1" applyBorder="1"/>
    <xf numFmtId="1" fontId="67" fillId="12" borderId="169" xfId="9" applyNumberFormat="1" applyFont="1" applyFill="1" applyBorder="1" applyAlignment="1">
      <alignment horizontal="center" vertical="center"/>
    </xf>
    <xf numFmtId="170" fontId="70" fillId="0" borderId="169" xfId="8" applyNumberFormat="1" applyFont="1" applyFill="1" applyBorder="1" applyAlignment="1">
      <alignment horizontal="center" vertical="center"/>
    </xf>
    <xf numFmtId="170" fontId="70" fillId="0" borderId="172" xfId="8" applyNumberFormat="1" applyFont="1" applyFill="1" applyBorder="1" applyAlignment="1">
      <alignment horizontal="center" vertical="center"/>
    </xf>
    <xf numFmtId="170" fontId="72" fillId="0" borderId="169" xfId="8" applyNumberFormat="1" applyFont="1" applyFill="1" applyBorder="1" applyAlignment="1">
      <alignment horizontal="center" vertical="center"/>
    </xf>
    <xf numFmtId="170" fontId="72" fillId="0" borderId="172" xfId="8" applyNumberFormat="1" applyFont="1" applyFill="1" applyBorder="1" applyAlignment="1">
      <alignment horizontal="center" vertical="center"/>
    </xf>
    <xf numFmtId="168" fontId="58" fillId="0" borderId="162" xfId="6" applyNumberFormat="1" applyFont="1" applyFill="1" applyBorder="1" applyAlignment="1">
      <alignment horizontal="center" vertical="center"/>
    </xf>
    <xf numFmtId="0" fontId="11" fillId="5" borderId="162" xfId="6" applyFont="1" applyFill="1" applyBorder="1" applyAlignment="1">
      <alignment horizontal="left" vertical="center" wrapText="1"/>
    </xf>
    <xf numFmtId="167" fontId="53" fillId="7" borderId="162" xfId="6" applyNumberFormat="1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 wrapText="1"/>
    </xf>
    <xf numFmtId="0" fontId="0" fillId="0" borderId="0" xfId="0"/>
    <xf numFmtId="0" fontId="1" fillId="0" borderId="1" xfId="17" applyFont="1" applyBorder="1"/>
    <xf numFmtId="49" fontId="24" fillId="3" borderId="0" xfId="0" applyNumberFormat="1" applyFont="1" applyFill="1" applyBorder="1" applyAlignment="1">
      <alignment horizontal="left" vertical="center" wrapText="1"/>
    </xf>
    <xf numFmtId="0" fontId="184" fillId="3" borderId="44" xfId="0" applyFont="1" applyFill="1" applyBorder="1" applyAlignment="1">
      <alignment horizontal="center" vertical="center"/>
    </xf>
    <xf numFmtId="49" fontId="35" fillId="3" borderId="14" xfId="2" applyNumberFormat="1" applyFont="1" applyFill="1" applyBorder="1" applyAlignment="1">
      <alignment horizontal="center" vertical="center" wrapText="1"/>
    </xf>
    <xf numFmtId="0" fontId="184" fillId="3" borderId="5" xfId="0" applyFont="1" applyFill="1" applyBorder="1" applyAlignment="1">
      <alignment horizontal="center" vertical="center"/>
    </xf>
    <xf numFmtId="49" fontId="35" fillId="3" borderId="23" xfId="2" applyNumberFormat="1" applyFont="1" applyFill="1" applyBorder="1" applyAlignment="1">
      <alignment horizontal="center" vertical="center" wrapText="1"/>
    </xf>
    <xf numFmtId="0" fontId="185" fillId="3" borderId="5" xfId="0" applyFont="1" applyFill="1" applyBorder="1" applyAlignment="1">
      <alignment horizontal="center" vertical="center"/>
    </xf>
    <xf numFmtId="0" fontId="185" fillId="3" borderId="148" xfId="0" applyFont="1" applyFill="1" applyBorder="1" applyAlignment="1">
      <alignment horizontal="center" vertical="center"/>
    </xf>
    <xf numFmtId="49" fontId="35" fillId="3" borderId="146" xfId="2" applyNumberFormat="1" applyFont="1" applyFill="1" applyBorder="1" applyAlignment="1">
      <alignment horizontal="center" vertical="center" wrapText="1"/>
    </xf>
    <xf numFmtId="0" fontId="19" fillId="5" borderId="15" xfId="2" applyFont="1" applyFill="1" applyBorder="1" applyAlignment="1">
      <alignment horizontal="left" vertical="center" wrapText="1"/>
    </xf>
    <xf numFmtId="0" fontId="19" fillId="5" borderId="16" xfId="2" applyFont="1" applyFill="1" applyBorder="1" applyAlignment="1">
      <alignment horizontal="center" vertical="center" wrapText="1"/>
    </xf>
    <xf numFmtId="4" fontId="19" fillId="5" borderId="16" xfId="2" applyNumberFormat="1" applyFont="1" applyFill="1" applyBorder="1" applyAlignment="1">
      <alignment horizontal="center" vertical="center"/>
    </xf>
    <xf numFmtId="4" fontId="20" fillId="5" borderId="17" xfId="2" applyNumberFormat="1" applyFont="1" applyFill="1" applyBorder="1" applyAlignment="1">
      <alignment horizontal="center" vertical="center"/>
    </xf>
    <xf numFmtId="4" fontId="20" fillId="5" borderId="18" xfId="2" applyNumberFormat="1" applyFont="1" applyFill="1" applyBorder="1" applyAlignment="1">
      <alignment horizontal="center" vertical="center"/>
    </xf>
    <xf numFmtId="4" fontId="20" fillId="5" borderId="15" xfId="2" applyNumberFormat="1" applyFont="1" applyFill="1" applyBorder="1" applyAlignment="1">
      <alignment horizontal="center" vertical="center"/>
    </xf>
    <xf numFmtId="4" fontId="20" fillId="5" borderId="19" xfId="2" applyNumberFormat="1" applyFont="1" applyFill="1" applyBorder="1" applyAlignment="1">
      <alignment horizontal="center" vertical="center"/>
    </xf>
    <xf numFmtId="4" fontId="19" fillId="5" borderId="18" xfId="2" applyNumberFormat="1" applyFont="1" applyFill="1" applyBorder="1" applyAlignment="1">
      <alignment horizontal="center" vertical="center"/>
    </xf>
    <xf numFmtId="4" fontId="19" fillId="5" borderId="20" xfId="2" applyNumberFormat="1" applyFont="1" applyFill="1" applyBorder="1" applyAlignment="1">
      <alignment horizontal="center" vertical="center"/>
    </xf>
    <xf numFmtId="4" fontId="19" fillId="5" borderId="15" xfId="2" applyNumberFormat="1" applyFont="1" applyFill="1" applyBorder="1" applyAlignment="1">
      <alignment horizontal="center" vertical="center"/>
    </xf>
    <xf numFmtId="4" fontId="20" fillId="5" borderId="21" xfId="2" applyNumberFormat="1" applyFont="1" applyFill="1" applyBorder="1" applyAlignment="1">
      <alignment horizontal="center" vertical="center"/>
    </xf>
    <xf numFmtId="0" fontId="19" fillId="5" borderId="6" xfId="2" applyFont="1" applyFill="1" applyBorder="1" applyAlignment="1">
      <alignment horizontal="left" vertical="center" wrapText="1"/>
    </xf>
    <xf numFmtId="0" fontId="19" fillId="5" borderId="0" xfId="0" applyFont="1" applyFill="1" applyAlignment="1">
      <alignment horizontal="center" vertical="center"/>
    </xf>
    <xf numFmtId="4" fontId="36" fillId="5" borderId="29" xfId="2" applyNumberFormat="1" applyFont="1" applyFill="1" applyBorder="1" applyAlignment="1">
      <alignment horizontal="center" vertical="center"/>
    </xf>
    <xf numFmtId="4" fontId="37" fillId="5" borderId="32" xfId="2" applyNumberFormat="1" applyFont="1" applyFill="1" applyBorder="1" applyAlignment="1">
      <alignment horizontal="center" vertical="center"/>
    </xf>
    <xf numFmtId="4" fontId="19" fillId="5" borderId="162" xfId="2" applyNumberFormat="1" applyFont="1" applyFill="1" applyBorder="1" applyAlignment="1">
      <alignment vertical="center" wrapText="1"/>
    </xf>
    <xf numFmtId="4" fontId="19" fillId="5" borderId="163" xfId="2" applyNumberFormat="1" applyFont="1" applyFill="1" applyBorder="1" applyAlignment="1">
      <alignment horizontal="center" vertical="center"/>
    </xf>
    <xf numFmtId="4" fontId="19" fillId="5" borderId="169" xfId="2" applyNumberFormat="1" applyFont="1" applyFill="1" applyBorder="1" applyAlignment="1">
      <alignment horizontal="center" vertical="center"/>
    </xf>
    <xf numFmtId="2" fontId="29" fillId="5" borderId="0" xfId="2" applyNumberFormat="1" applyFont="1" applyFill="1" applyBorder="1"/>
    <xf numFmtId="4" fontId="19" fillId="5" borderId="29" xfId="2" applyNumberFormat="1" applyFont="1" applyFill="1" applyBorder="1" applyAlignment="1">
      <alignment horizontal="center" vertical="center"/>
    </xf>
    <xf numFmtId="4" fontId="19" fillId="5" borderId="35" xfId="2" applyNumberFormat="1" applyFont="1" applyFill="1" applyBorder="1" applyAlignment="1">
      <alignment vertical="center" wrapText="1"/>
    </xf>
    <xf numFmtId="4" fontId="19" fillId="5" borderId="36" xfId="2" applyNumberFormat="1" applyFont="1" applyFill="1" applyBorder="1" applyAlignment="1">
      <alignment vertical="center" wrapText="1"/>
    </xf>
    <xf numFmtId="4" fontId="19" fillId="5" borderId="148" xfId="2" applyNumberFormat="1" applyFont="1" applyFill="1" applyBorder="1" applyAlignment="1">
      <alignment horizontal="center" vertical="center"/>
    </xf>
    <xf numFmtId="4" fontId="19" fillId="5" borderId="42" xfId="2" applyNumberFormat="1" applyFont="1" applyFill="1" applyBorder="1" applyAlignment="1">
      <alignment horizontal="center" vertical="center"/>
    </xf>
    <xf numFmtId="4" fontId="19" fillId="5" borderId="10" xfId="2" applyNumberFormat="1" applyFont="1" applyFill="1" applyBorder="1" applyAlignment="1">
      <alignment horizontal="center" vertical="center"/>
    </xf>
    <xf numFmtId="0" fontId="187" fillId="0" borderId="158" xfId="0" applyFont="1" applyBorder="1" applyAlignment="1">
      <alignment vertical="center"/>
    </xf>
    <xf numFmtId="0" fontId="0" fillId="0" borderId="158" xfId="0" applyBorder="1" applyAlignment="1">
      <alignment vertical="center"/>
    </xf>
    <xf numFmtId="165" fontId="17" fillId="3" borderId="2" xfId="0" applyNumberFormat="1" applyFont="1" applyFill="1" applyBorder="1" applyAlignment="1">
      <alignment horizontal="center" vertical="center" wrapText="1"/>
    </xf>
    <xf numFmtId="165" fontId="17" fillId="3" borderId="4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5" fillId="3" borderId="162" xfId="0" applyFont="1" applyFill="1" applyBorder="1" applyAlignment="1">
      <alignment horizontal="left" vertical="top"/>
    </xf>
    <xf numFmtId="0" fontId="16" fillId="0" borderId="2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3" borderId="5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34" fillId="0" borderId="12" xfId="2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4" fontId="19" fillId="0" borderId="16" xfId="2" applyNumberFormat="1" applyFont="1" applyFill="1" applyBorder="1" applyAlignment="1">
      <alignment horizontal="center" vertical="center" wrapText="1"/>
    </xf>
    <xf numFmtId="4" fontId="19" fillId="0" borderId="6" xfId="2" applyNumberFormat="1" applyFont="1" applyFill="1" applyBorder="1" applyAlignment="1">
      <alignment horizontal="center" vertical="center" wrapText="1"/>
    </xf>
    <xf numFmtId="172" fontId="19" fillId="0" borderId="16" xfId="2" applyNumberFormat="1" applyFont="1" applyFill="1" applyBorder="1" applyAlignment="1">
      <alignment horizontal="center" vertical="center" wrapText="1"/>
    </xf>
    <xf numFmtId="172" fontId="19" fillId="0" borderId="6" xfId="2" applyNumberFormat="1" applyFont="1" applyFill="1" applyBorder="1" applyAlignment="1">
      <alignment horizontal="center" vertical="center" wrapText="1"/>
    </xf>
    <xf numFmtId="4" fontId="19" fillId="0" borderId="163" xfId="2" applyNumberFormat="1" applyFont="1" applyFill="1" applyBorder="1" applyAlignment="1">
      <alignment horizontal="center" vertical="center"/>
    </xf>
    <xf numFmtId="4" fontId="19" fillId="0" borderId="156" xfId="2" applyNumberFormat="1" applyFont="1" applyFill="1" applyBorder="1" applyAlignment="1">
      <alignment horizontal="center" vertical="center"/>
    </xf>
    <xf numFmtId="4" fontId="19" fillId="0" borderId="165" xfId="2" applyNumberFormat="1" applyFont="1" applyFill="1" applyBorder="1" applyAlignment="1">
      <alignment horizontal="center" vertical="center"/>
    </xf>
    <xf numFmtId="4" fontId="20" fillId="0" borderId="152" xfId="2" applyNumberFormat="1" applyFont="1" applyFill="1" applyBorder="1" applyAlignment="1">
      <alignment horizontal="center" vertical="center" wrapText="1"/>
    </xf>
    <xf numFmtId="0" fontId="10" fillId="0" borderId="166" xfId="2" applyFill="1" applyBorder="1" applyAlignment="1">
      <alignment vertical="center" wrapText="1"/>
    </xf>
    <xf numFmtId="0" fontId="10" fillId="0" borderId="167" xfId="2" applyFill="1" applyBorder="1" applyAlignment="1">
      <alignment vertical="center" wrapText="1"/>
    </xf>
    <xf numFmtId="0" fontId="10" fillId="0" borderId="30" xfId="2" applyFill="1" applyBorder="1" applyAlignment="1">
      <alignment vertical="center" wrapText="1"/>
    </xf>
    <xf numFmtId="0" fontId="10" fillId="0" borderId="0" xfId="2" applyFill="1" applyBorder="1" applyAlignment="1">
      <alignment vertical="center" wrapText="1"/>
    </xf>
    <xf numFmtId="0" fontId="10" fillId="0" borderId="31" xfId="2" applyFill="1" applyBorder="1" applyAlignment="1">
      <alignment vertical="center" wrapText="1"/>
    </xf>
    <xf numFmtId="0" fontId="10" fillId="0" borderId="37" xfId="2" applyFill="1" applyBorder="1" applyAlignment="1">
      <alignment vertical="center" wrapText="1"/>
    </xf>
    <xf numFmtId="0" fontId="10" fillId="0" borderId="145" xfId="2" applyFill="1" applyBorder="1" applyAlignment="1">
      <alignment vertical="center" wrapText="1"/>
    </xf>
    <xf numFmtId="0" fontId="10" fillId="0" borderId="147" xfId="2" applyFill="1" applyBorder="1" applyAlignment="1">
      <alignment vertical="center" wrapText="1"/>
    </xf>
    <xf numFmtId="4" fontId="19" fillId="0" borderId="168" xfId="2" applyNumberFormat="1" applyFont="1" applyFill="1" applyBorder="1" applyAlignment="1">
      <alignment horizontal="center" vertical="center" wrapText="1"/>
    </xf>
    <xf numFmtId="4" fontId="19" fillId="0" borderId="156" xfId="2" applyNumberFormat="1" applyFont="1" applyFill="1" applyBorder="1" applyAlignment="1">
      <alignment horizontal="center" vertical="center" wrapText="1"/>
    </xf>
    <xf numFmtId="4" fontId="19" fillId="0" borderId="165" xfId="2" applyNumberFormat="1" applyFont="1" applyFill="1" applyBorder="1" applyAlignment="1">
      <alignment horizontal="center" vertical="center" wrapText="1"/>
    </xf>
    <xf numFmtId="0" fontId="19" fillId="0" borderId="163" xfId="2" applyFont="1" applyFill="1" applyBorder="1" applyAlignment="1">
      <alignment horizontal="left" vertical="center" wrapText="1"/>
    </xf>
    <xf numFmtId="0" fontId="19" fillId="0" borderId="156" xfId="2" applyFont="1" applyFill="1" applyBorder="1" applyAlignment="1">
      <alignment horizontal="left" vertical="center" wrapText="1"/>
    </xf>
    <xf numFmtId="0" fontId="19" fillId="0" borderId="165" xfId="2" applyFont="1" applyFill="1" applyBorder="1" applyAlignment="1">
      <alignment horizontal="left" vertical="center" wrapText="1"/>
    </xf>
    <xf numFmtId="4" fontId="37" fillId="0" borderId="168" xfId="2" applyNumberFormat="1" applyFont="1" applyFill="1" applyBorder="1" applyAlignment="1">
      <alignment horizontal="center" vertical="center" wrapText="1"/>
    </xf>
    <xf numFmtId="4" fontId="38" fillId="0" borderId="156" xfId="2" applyNumberFormat="1" applyFont="1" applyFill="1" applyBorder="1" applyAlignment="1">
      <alignment horizontal="center" vertical="center" wrapText="1"/>
    </xf>
    <xf numFmtId="4" fontId="38" fillId="0" borderId="165" xfId="2" applyNumberFormat="1" applyFont="1" applyFill="1" applyBorder="1" applyAlignment="1">
      <alignment horizontal="center" vertical="center" wrapText="1"/>
    </xf>
    <xf numFmtId="0" fontId="19" fillId="0" borderId="162" xfId="2" applyFont="1" applyFill="1" applyBorder="1" applyAlignment="1">
      <alignment horizontal="left" vertical="center" wrapText="1"/>
    </xf>
    <xf numFmtId="4" fontId="37" fillId="0" borderId="168" xfId="2" applyNumberFormat="1" applyFont="1" applyFill="1" applyBorder="1" applyAlignment="1">
      <alignment horizontal="left" vertical="center" wrapText="1"/>
    </xf>
    <xf numFmtId="4" fontId="37" fillId="0" borderId="156" xfId="2" applyNumberFormat="1" applyFont="1" applyFill="1" applyBorder="1" applyAlignment="1">
      <alignment horizontal="left" vertical="center" wrapText="1"/>
    </xf>
    <xf numFmtId="4" fontId="37" fillId="0" borderId="164" xfId="2" applyNumberFormat="1" applyFont="1" applyFill="1" applyBorder="1" applyAlignment="1">
      <alignment horizontal="left" vertical="center" wrapText="1"/>
    </xf>
    <xf numFmtId="0" fontId="19" fillId="0" borderId="163" xfId="2" applyFont="1" applyFill="1" applyBorder="1" applyAlignment="1">
      <alignment horizontal="center" vertical="center" wrapText="1"/>
    </xf>
    <xf numFmtId="0" fontId="19" fillId="0" borderId="156" xfId="2" applyFont="1" applyFill="1" applyBorder="1" applyAlignment="1">
      <alignment horizontal="center" vertical="center" wrapText="1"/>
    </xf>
    <xf numFmtId="0" fontId="19" fillId="0" borderId="165" xfId="2" applyFont="1" applyFill="1" applyBorder="1" applyAlignment="1">
      <alignment horizontal="center" vertical="center" wrapText="1"/>
    </xf>
    <xf numFmtId="4" fontId="37" fillId="0" borderId="168" xfId="2" applyNumberFormat="1" applyFont="1" applyFill="1" applyBorder="1" applyAlignment="1">
      <alignment horizontal="center" vertical="center"/>
    </xf>
    <xf numFmtId="4" fontId="37" fillId="0" borderId="156" xfId="2" applyNumberFormat="1" applyFont="1" applyFill="1" applyBorder="1" applyAlignment="1">
      <alignment horizontal="center" vertical="center"/>
    </xf>
    <xf numFmtId="4" fontId="37" fillId="0" borderId="165" xfId="2" applyNumberFormat="1" applyFont="1" applyFill="1" applyBorder="1" applyAlignment="1">
      <alignment horizontal="center" vertical="center"/>
    </xf>
    <xf numFmtId="0" fontId="19" fillId="0" borderId="35" xfId="2" applyFont="1" applyFill="1" applyBorder="1" applyAlignment="1">
      <alignment horizontal="left" vertical="center" wrapText="1"/>
    </xf>
    <xf numFmtId="4" fontId="37" fillId="0" borderId="38" xfId="2" applyNumberFormat="1" applyFont="1" applyFill="1" applyBorder="1" applyAlignment="1">
      <alignment horizontal="left" vertical="center" wrapText="1"/>
    </xf>
    <xf numFmtId="4" fontId="37" fillId="0" borderId="39" xfId="2" applyNumberFormat="1" applyFont="1" applyFill="1" applyBorder="1" applyAlignment="1">
      <alignment horizontal="left" vertical="center" wrapText="1"/>
    </xf>
    <xf numFmtId="4" fontId="37" fillId="0" borderId="40" xfId="2" applyNumberFormat="1" applyFont="1" applyFill="1" applyBorder="1" applyAlignment="1">
      <alignment horizontal="left" vertical="center" wrapText="1"/>
    </xf>
    <xf numFmtId="0" fontId="199" fillId="0" borderId="0" xfId="24" applyFont="1" applyFill="1" applyAlignment="1">
      <alignment horizontal="left" vertical="center" wrapText="1"/>
    </xf>
    <xf numFmtId="0" fontId="199" fillId="0" borderId="0" xfId="24" applyFont="1" applyFill="1" applyAlignment="1">
      <alignment horizontal="left" vertical="center"/>
    </xf>
    <xf numFmtId="0" fontId="199" fillId="0" borderId="0" xfId="24" applyFont="1" applyFill="1" applyAlignment="1">
      <alignment horizontal="center" vertical="center" wrapText="1"/>
    </xf>
    <xf numFmtId="0" fontId="202" fillId="0" borderId="0" xfId="0" applyFont="1" applyFill="1" applyAlignment="1">
      <alignment horizontal="left"/>
    </xf>
    <xf numFmtId="3" fontId="19" fillId="0" borderId="16" xfId="2" applyNumberFormat="1" applyFont="1" applyFill="1" applyBorder="1" applyAlignment="1">
      <alignment horizontal="center" vertical="center" wrapText="1"/>
    </xf>
    <xf numFmtId="4" fontId="38" fillId="0" borderId="156" xfId="2" applyNumberFormat="1" applyFont="1" applyBorder="1" applyAlignment="1">
      <alignment horizontal="center" vertical="center" wrapText="1"/>
    </xf>
    <xf numFmtId="4" fontId="38" fillId="0" borderId="165" xfId="2" applyNumberFormat="1" applyFont="1" applyBorder="1" applyAlignment="1">
      <alignment horizontal="center" vertical="center" wrapText="1"/>
    </xf>
    <xf numFmtId="49" fontId="28" fillId="0" borderId="12" xfId="0" applyNumberFormat="1" applyFont="1" applyFill="1" applyBorder="1" applyAlignment="1">
      <alignment horizontal="center" vertical="center" wrapText="1"/>
    </xf>
    <xf numFmtId="49" fontId="28" fillId="0" borderId="22" xfId="0" applyNumberFormat="1" applyFont="1" applyFill="1" applyBorder="1" applyAlignment="1">
      <alignment horizontal="center" vertical="center" wrapText="1"/>
    </xf>
    <xf numFmtId="49" fontId="28" fillId="0" borderId="33" xfId="0" applyNumberFormat="1" applyFont="1" applyFill="1" applyBorder="1" applyAlignment="1">
      <alignment horizontal="center" vertical="center" wrapText="1"/>
    </xf>
    <xf numFmtId="0" fontId="39" fillId="0" borderId="44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39" fillId="0" borderId="34" xfId="0" applyFont="1" applyFill="1" applyBorder="1" applyAlignment="1">
      <alignment horizontal="center" vertical="center" wrapText="1"/>
    </xf>
    <xf numFmtId="0" fontId="20" fillId="5" borderId="45" xfId="0" applyFont="1" applyFill="1" applyBorder="1" applyAlignment="1">
      <alignment horizontal="left" vertical="center" wrapText="1"/>
    </xf>
    <xf numFmtId="0" fontId="20" fillId="5" borderId="46" xfId="0" applyFont="1" applyFill="1" applyBorder="1" applyAlignment="1">
      <alignment horizontal="left" vertical="center" wrapText="1"/>
    </xf>
    <xf numFmtId="0" fontId="20" fillId="5" borderId="47" xfId="0" applyFont="1" applyFill="1" applyBorder="1" applyAlignment="1">
      <alignment horizontal="left" vertical="center" wrapText="1"/>
    </xf>
    <xf numFmtId="4" fontId="20" fillId="0" borderId="48" xfId="0" applyNumberFormat="1" applyFont="1" applyFill="1" applyBorder="1" applyAlignment="1">
      <alignment horizontal="center" vertical="center"/>
    </xf>
    <xf numFmtId="4" fontId="20" fillId="0" borderId="13" xfId="0" applyNumberFormat="1" applyFont="1" applyFill="1" applyBorder="1" applyAlignment="1">
      <alignment horizontal="center" vertical="center"/>
    </xf>
    <xf numFmtId="4" fontId="20" fillId="0" borderId="30" xfId="0" applyNumberFormat="1" applyFont="1" applyFill="1" applyBorder="1" applyAlignment="1">
      <alignment horizontal="center" vertical="center"/>
    </xf>
    <xf numFmtId="4" fontId="20" fillId="0" borderId="0" xfId="0" applyNumberFormat="1" applyFont="1" applyFill="1" applyBorder="1" applyAlignment="1">
      <alignment horizontal="center" vertical="center"/>
    </xf>
    <xf numFmtId="4" fontId="20" fillId="0" borderId="37" xfId="0" applyNumberFormat="1" applyFont="1" applyFill="1" applyBorder="1" applyAlignment="1">
      <alignment horizontal="center" vertical="center"/>
    </xf>
    <xf numFmtId="4" fontId="20" fillId="0" borderId="7" xfId="0" applyNumberFormat="1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9" fillId="5" borderId="28" xfId="0" applyFont="1" applyFill="1" applyBorder="1" applyAlignment="1">
      <alignment horizontal="left" vertical="center" wrapText="1"/>
    </xf>
    <xf numFmtId="167" fontId="19" fillId="0" borderId="16" xfId="2" applyNumberFormat="1" applyFont="1" applyFill="1" applyBorder="1" applyAlignment="1">
      <alignment horizontal="center" vertical="center" wrapText="1"/>
    </xf>
    <xf numFmtId="167" fontId="19" fillId="0" borderId="6" xfId="2" applyNumberFormat="1" applyFont="1" applyFill="1" applyBorder="1" applyAlignment="1">
      <alignment horizontal="center" vertical="center" wrapText="1"/>
    </xf>
    <xf numFmtId="0" fontId="19" fillId="0" borderId="16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19" fillId="8" borderId="163" xfId="2" applyNumberFormat="1" applyFont="1" applyFill="1" applyBorder="1" applyAlignment="1">
      <alignment horizontal="center" vertical="center"/>
    </xf>
    <xf numFmtId="4" fontId="19" fillId="8" borderId="118" xfId="2" applyNumberFormat="1" applyFont="1" applyFill="1" applyBorder="1" applyAlignment="1">
      <alignment horizontal="center" vertical="center"/>
    </xf>
    <xf numFmtId="4" fontId="19" fillId="8" borderId="165" xfId="2" applyNumberFormat="1" applyFont="1" applyFill="1" applyBorder="1" applyAlignment="1">
      <alignment horizontal="center" vertical="center"/>
    </xf>
    <xf numFmtId="4" fontId="19" fillId="0" borderId="118" xfId="2" applyNumberFormat="1" applyFont="1" applyFill="1" applyBorder="1" applyAlignment="1">
      <alignment horizontal="center" vertical="center" wrapText="1"/>
    </xf>
    <xf numFmtId="0" fontId="19" fillId="0" borderId="118" xfId="2" applyFont="1" applyFill="1" applyBorder="1" applyAlignment="1">
      <alignment horizontal="left" vertical="center" wrapText="1"/>
    </xf>
    <xf numFmtId="0" fontId="38" fillId="0" borderId="118" xfId="2" applyFont="1" applyBorder="1" applyAlignment="1">
      <alignment horizontal="center" vertical="center" wrapText="1"/>
    </xf>
    <xf numFmtId="0" fontId="38" fillId="0" borderId="165" xfId="2" applyFont="1" applyBorder="1" applyAlignment="1">
      <alignment horizontal="center" vertical="center" wrapText="1"/>
    </xf>
    <xf numFmtId="4" fontId="37" fillId="0" borderId="118" xfId="2" applyNumberFormat="1" applyFont="1" applyFill="1" applyBorder="1" applyAlignment="1">
      <alignment horizontal="left" vertical="center" wrapText="1"/>
    </xf>
    <xf numFmtId="0" fontId="19" fillId="8" borderId="163" xfId="2" applyFont="1" applyFill="1" applyBorder="1" applyAlignment="1">
      <alignment horizontal="center" vertical="center" wrapText="1"/>
    </xf>
    <xf numFmtId="0" fontId="19" fillId="8" borderId="118" xfId="2" applyFont="1" applyFill="1" applyBorder="1" applyAlignment="1">
      <alignment horizontal="center" vertical="center" wrapText="1"/>
    </xf>
    <xf numFmtId="0" fontId="19" fillId="8" borderId="165" xfId="2" applyFont="1" applyFill="1" applyBorder="1" applyAlignment="1">
      <alignment horizontal="center" vertical="center" wrapText="1"/>
    </xf>
    <xf numFmtId="4" fontId="37" fillId="0" borderId="118" xfId="2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4" fontId="19" fillId="0" borderId="118" xfId="2" applyNumberFormat="1" applyFont="1" applyFill="1" applyBorder="1" applyAlignment="1">
      <alignment horizontal="center" vertical="center"/>
    </xf>
    <xf numFmtId="0" fontId="19" fillId="0" borderId="118" xfId="2" applyFont="1" applyFill="1" applyBorder="1" applyAlignment="1">
      <alignment horizontal="center" vertical="center" wrapText="1"/>
    </xf>
    <xf numFmtId="3" fontId="19" fillId="0" borderId="6" xfId="2" applyNumberFormat="1" applyFont="1" applyFill="1" applyBorder="1" applyAlignment="1">
      <alignment horizontal="center" vertical="center" wrapText="1"/>
    </xf>
    <xf numFmtId="0" fontId="38" fillId="0" borderId="156" xfId="2" applyFont="1" applyFill="1" applyBorder="1" applyAlignment="1">
      <alignment horizontal="center" vertical="center" wrapText="1"/>
    </xf>
    <xf numFmtId="0" fontId="38" fillId="0" borderId="165" xfId="2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28" xfId="0" applyFont="1" applyFill="1" applyBorder="1" applyAlignment="1">
      <alignment horizontal="left" vertical="center" wrapText="1"/>
    </xf>
    <xf numFmtId="0" fontId="19" fillId="0" borderId="52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left" vertical="center" wrapText="1"/>
    </xf>
    <xf numFmtId="4" fontId="19" fillId="8" borderId="27" xfId="0" applyNumberFormat="1" applyFont="1" applyFill="1" applyBorder="1" applyAlignment="1">
      <alignment horizontal="center" vertical="center"/>
    </xf>
    <xf numFmtId="4" fontId="19" fillId="8" borderId="3" xfId="0" applyNumberFormat="1" applyFont="1" applyFill="1" applyBorder="1" applyAlignment="1">
      <alignment horizontal="center" vertical="center"/>
    </xf>
    <xf numFmtId="4" fontId="19" fillId="8" borderId="28" xfId="0" applyNumberFormat="1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left" vertical="center" wrapText="1"/>
    </xf>
    <xf numFmtId="0" fontId="19" fillId="0" borderId="39" xfId="0" applyFont="1" applyFill="1" applyBorder="1" applyAlignment="1">
      <alignment horizontal="left" vertical="center" wrapText="1"/>
    </xf>
    <xf numFmtId="0" fontId="19" fillId="0" borderId="36" xfId="0" applyFont="1" applyFill="1" applyBorder="1" applyAlignment="1">
      <alignment horizontal="left" vertical="center" wrapText="1"/>
    </xf>
    <xf numFmtId="0" fontId="31" fillId="4" borderId="13" xfId="0" applyNumberFormat="1" applyFont="1" applyFill="1" applyBorder="1" applyAlignment="1">
      <alignment horizontal="left" vertical="center" wrapText="1"/>
    </xf>
    <xf numFmtId="0" fontId="42" fillId="0" borderId="13" xfId="0" applyNumberFormat="1" applyFont="1" applyBorder="1" applyAlignment="1">
      <alignment wrapText="1"/>
    </xf>
    <xf numFmtId="0" fontId="0" fillId="0" borderId="0" xfId="0" applyAlignment="1"/>
    <xf numFmtId="0" fontId="35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4" borderId="9" xfId="2" applyFont="1" applyFill="1" applyBorder="1" applyAlignment="1">
      <alignment horizontal="center" vertical="center" wrapText="1"/>
    </xf>
    <xf numFmtId="0" fontId="25" fillId="4" borderId="11" xfId="2" applyFont="1" applyFill="1" applyBorder="1" applyAlignment="1">
      <alignment horizontal="center" vertical="center" wrapText="1"/>
    </xf>
    <xf numFmtId="0" fontId="25" fillId="4" borderId="10" xfId="2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textRotation="90" wrapText="1"/>
    </xf>
    <xf numFmtId="0" fontId="25" fillId="0" borderId="10" xfId="0" applyFont="1" applyFill="1" applyBorder="1" applyAlignment="1">
      <alignment horizontal="center" vertical="center" textRotation="90" wrapText="1"/>
    </xf>
    <xf numFmtId="0" fontId="19" fillId="0" borderId="8" xfId="2" applyFont="1" applyFill="1" applyBorder="1" applyAlignment="1">
      <alignment horizontal="center" vertical="center" wrapText="1"/>
    </xf>
    <xf numFmtId="0" fontId="19" fillId="4" borderId="9" xfId="2" applyFont="1" applyFill="1" applyBorder="1" applyAlignment="1">
      <alignment horizontal="center" vertical="center" wrapText="1"/>
    </xf>
    <xf numFmtId="0" fontId="19" fillId="4" borderId="10" xfId="2" applyFont="1" applyFill="1" applyBorder="1" applyAlignment="1">
      <alignment horizontal="center" vertical="center" wrapText="1"/>
    </xf>
    <xf numFmtId="0" fontId="23" fillId="4" borderId="8" xfId="2" applyFont="1" applyFill="1" applyBorder="1" applyAlignment="1">
      <alignment horizontal="center" vertical="center" wrapText="1"/>
    </xf>
    <xf numFmtId="0" fontId="23" fillId="4" borderId="9" xfId="2" applyFont="1" applyFill="1" applyBorder="1" applyAlignment="1">
      <alignment horizontal="center" vertical="center" wrapText="1"/>
    </xf>
    <xf numFmtId="0" fontId="23" fillId="4" borderId="10" xfId="2" applyFont="1" applyFill="1" applyBorder="1" applyAlignment="1">
      <alignment horizontal="center" vertical="center" wrapText="1"/>
    </xf>
    <xf numFmtId="0" fontId="28" fillId="0" borderId="9" xfId="2" applyFont="1" applyFill="1" applyBorder="1" applyAlignment="1">
      <alignment horizontal="center" vertical="center" wrapText="1"/>
    </xf>
    <xf numFmtId="0" fontId="28" fillId="0" borderId="10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4" fillId="3" borderId="12" xfId="2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4" fontId="19" fillId="5" borderId="16" xfId="2" applyNumberFormat="1" applyFont="1" applyFill="1" applyBorder="1" applyAlignment="1">
      <alignment horizontal="center" vertical="center" wrapText="1"/>
    </xf>
    <xf numFmtId="4" fontId="19" fillId="5" borderId="6" xfId="2" applyNumberFormat="1" applyFont="1" applyFill="1" applyBorder="1" applyAlignment="1">
      <alignment horizontal="center" vertical="center" wrapText="1"/>
    </xf>
    <xf numFmtId="167" fontId="19" fillId="5" borderId="16" xfId="2" applyNumberFormat="1" applyFont="1" applyFill="1" applyBorder="1" applyAlignment="1">
      <alignment horizontal="center" vertical="center" wrapText="1"/>
    </xf>
    <xf numFmtId="167" fontId="19" fillId="5" borderId="6" xfId="2" applyNumberFormat="1" applyFont="1" applyFill="1" applyBorder="1" applyAlignment="1">
      <alignment horizontal="center" vertical="center" wrapText="1"/>
    </xf>
    <xf numFmtId="4" fontId="19" fillId="5" borderId="163" xfId="2" applyNumberFormat="1" applyFont="1" applyFill="1" applyBorder="1" applyAlignment="1">
      <alignment horizontal="center" vertical="center"/>
    </xf>
    <xf numFmtId="4" fontId="19" fillId="5" borderId="156" xfId="2" applyNumberFormat="1" applyFont="1" applyFill="1" applyBorder="1" applyAlignment="1">
      <alignment horizontal="center" vertical="center"/>
    </xf>
    <xf numFmtId="4" fontId="19" fillId="5" borderId="165" xfId="2" applyNumberFormat="1" applyFont="1" applyFill="1" applyBorder="1" applyAlignment="1">
      <alignment horizontal="center" vertical="center"/>
    </xf>
    <xf numFmtId="4" fontId="20" fillId="5" borderId="152" xfId="2" applyNumberFormat="1" applyFont="1" applyFill="1" applyBorder="1" applyAlignment="1">
      <alignment horizontal="center" vertical="center" wrapText="1"/>
    </xf>
    <xf numFmtId="0" fontId="10" fillId="5" borderId="166" xfId="2" applyFill="1" applyBorder="1" applyAlignment="1">
      <alignment vertical="center" wrapText="1"/>
    </xf>
    <xf numFmtId="0" fontId="10" fillId="5" borderId="167" xfId="2" applyFill="1" applyBorder="1" applyAlignment="1">
      <alignment vertical="center" wrapText="1"/>
    </xf>
    <xf numFmtId="0" fontId="10" fillId="5" borderId="30" xfId="2" applyFill="1" applyBorder="1" applyAlignment="1">
      <alignment vertical="center" wrapText="1"/>
    </xf>
    <xf numFmtId="0" fontId="10" fillId="5" borderId="0" xfId="2" applyFill="1" applyBorder="1" applyAlignment="1">
      <alignment vertical="center" wrapText="1"/>
    </xf>
    <xf numFmtId="0" fontId="10" fillId="5" borderId="31" xfId="2" applyFill="1" applyBorder="1" applyAlignment="1">
      <alignment vertical="center" wrapText="1"/>
    </xf>
    <xf numFmtId="0" fontId="10" fillId="5" borderId="37" xfId="2" applyFill="1" applyBorder="1" applyAlignment="1">
      <alignment vertical="center" wrapText="1"/>
    </xf>
    <xf numFmtId="0" fontId="10" fillId="5" borderId="145" xfId="2" applyFill="1" applyBorder="1" applyAlignment="1">
      <alignment vertical="center" wrapText="1"/>
    </xf>
    <xf numFmtId="0" fontId="10" fillId="5" borderId="147" xfId="2" applyFill="1" applyBorder="1" applyAlignment="1">
      <alignment vertical="center" wrapText="1"/>
    </xf>
    <xf numFmtId="4" fontId="19" fillId="5" borderId="168" xfId="2" applyNumberFormat="1" applyFont="1" applyFill="1" applyBorder="1" applyAlignment="1">
      <alignment horizontal="center" vertical="center" wrapText="1"/>
    </xf>
    <xf numFmtId="4" fontId="19" fillId="5" borderId="156" xfId="2" applyNumberFormat="1" applyFont="1" applyFill="1" applyBorder="1" applyAlignment="1">
      <alignment horizontal="center" vertical="center" wrapText="1"/>
    </xf>
    <xf numFmtId="4" fontId="19" fillId="5" borderId="165" xfId="2" applyNumberFormat="1" applyFont="1" applyFill="1" applyBorder="1" applyAlignment="1">
      <alignment horizontal="center" vertical="center" wrapText="1"/>
    </xf>
    <xf numFmtId="0" fontId="19" fillId="5" borderId="163" xfId="2" applyFont="1" applyFill="1" applyBorder="1" applyAlignment="1">
      <alignment horizontal="left" vertical="center" wrapText="1"/>
    </xf>
    <xf numFmtId="0" fontId="19" fillId="5" borderId="156" xfId="2" applyFont="1" applyFill="1" applyBorder="1" applyAlignment="1">
      <alignment horizontal="left" vertical="center" wrapText="1"/>
    </xf>
    <xf numFmtId="0" fontId="19" fillId="5" borderId="165" xfId="2" applyFont="1" applyFill="1" applyBorder="1" applyAlignment="1">
      <alignment horizontal="left" vertical="center" wrapText="1"/>
    </xf>
    <xf numFmtId="4" fontId="37" fillId="5" borderId="168" xfId="2" applyNumberFormat="1" applyFont="1" applyFill="1" applyBorder="1" applyAlignment="1">
      <alignment horizontal="center" vertical="center" wrapText="1"/>
    </xf>
    <xf numFmtId="4" fontId="38" fillId="5" borderId="156" xfId="2" applyNumberFormat="1" applyFont="1" applyFill="1" applyBorder="1" applyAlignment="1">
      <alignment horizontal="center" vertical="center" wrapText="1"/>
    </xf>
    <xf numFmtId="4" fontId="38" fillId="5" borderId="165" xfId="2" applyNumberFormat="1" applyFont="1" applyFill="1" applyBorder="1" applyAlignment="1">
      <alignment horizontal="center" vertical="center" wrapText="1"/>
    </xf>
    <xf numFmtId="0" fontId="19" fillId="5" borderId="162" xfId="2" applyFont="1" applyFill="1" applyBorder="1" applyAlignment="1">
      <alignment horizontal="left" vertical="center" wrapText="1"/>
    </xf>
    <xf numFmtId="4" fontId="37" fillId="5" borderId="168" xfId="2" applyNumberFormat="1" applyFont="1" applyFill="1" applyBorder="1" applyAlignment="1">
      <alignment horizontal="left" vertical="center" wrapText="1"/>
    </xf>
    <xf numFmtId="4" fontId="37" fillId="5" borderId="156" xfId="2" applyNumberFormat="1" applyFont="1" applyFill="1" applyBorder="1" applyAlignment="1">
      <alignment horizontal="left" vertical="center" wrapText="1"/>
    </xf>
    <xf numFmtId="4" fontId="37" fillId="5" borderId="164" xfId="2" applyNumberFormat="1" applyFont="1" applyFill="1" applyBorder="1" applyAlignment="1">
      <alignment horizontal="left" vertical="center" wrapText="1"/>
    </xf>
    <xf numFmtId="0" fontId="19" fillId="5" borderId="163" xfId="2" applyFont="1" applyFill="1" applyBorder="1" applyAlignment="1">
      <alignment horizontal="center" vertical="center" wrapText="1"/>
    </xf>
    <xf numFmtId="0" fontId="19" fillId="5" borderId="156" xfId="2" applyFont="1" applyFill="1" applyBorder="1" applyAlignment="1">
      <alignment horizontal="center" vertical="center" wrapText="1"/>
    </xf>
    <xf numFmtId="0" fontId="19" fillId="5" borderId="165" xfId="2" applyFont="1" applyFill="1" applyBorder="1" applyAlignment="1">
      <alignment horizontal="center" vertical="center" wrapText="1"/>
    </xf>
    <xf numFmtId="4" fontId="37" fillId="5" borderId="168" xfId="2" applyNumberFormat="1" applyFont="1" applyFill="1" applyBorder="1" applyAlignment="1">
      <alignment horizontal="center" vertical="center"/>
    </xf>
    <xf numFmtId="4" fontId="37" fillId="5" borderId="156" xfId="2" applyNumberFormat="1" applyFont="1" applyFill="1" applyBorder="1" applyAlignment="1">
      <alignment horizontal="center" vertical="center"/>
    </xf>
    <xf numFmtId="4" fontId="37" fillId="5" borderId="165" xfId="2" applyNumberFormat="1" applyFont="1" applyFill="1" applyBorder="1" applyAlignment="1">
      <alignment horizontal="center" vertical="center"/>
    </xf>
    <xf numFmtId="0" fontId="19" fillId="5" borderId="35" xfId="2" applyFont="1" applyFill="1" applyBorder="1" applyAlignment="1">
      <alignment horizontal="left" vertical="center" wrapText="1"/>
    </xf>
    <xf numFmtId="4" fontId="37" fillId="5" borderId="38" xfId="2" applyNumberFormat="1" applyFont="1" applyFill="1" applyBorder="1" applyAlignment="1">
      <alignment horizontal="left" vertical="center" wrapText="1"/>
    </xf>
    <xf numFmtId="4" fontId="37" fillId="5" borderId="39" xfId="2" applyNumberFormat="1" applyFont="1" applyFill="1" applyBorder="1" applyAlignment="1">
      <alignment horizontal="left" vertical="center" wrapText="1"/>
    </xf>
    <xf numFmtId="4" fontId="37" fillId="5" borderId="40" xfId="2" applyNumberFormat="1" applyFont="1" applyFill="1" applyBorder="1" applyAlignment="1">
      <alignment horizontal="left" vertical="center" wrapText="1"/>
    </xf>
    <xf numFmtId="0" fontId="35" fillId="5" borderId="1" xfId="3" applyFont="1" applyFill="1" applyBorder="1" applyAlignment="1">
      <alignment horizontal="left" vertical="center" wrapText="1"/>
    </xf>
    <xf numFmtId="4" fontId="35" fillId="5" borderId="1" xfId="3" applyNumberFormat="1" applyFont="1" applyFill="1" applyBorder="1" applyAlignment="1">
      <alignment horizontal="right" vertical="center"/>
    </xf>
    <xf numFmtId="0" fontId="35" fillId="5" borderId="1" xfId="5" applyFont="1" applyFill="1" applyBorder="1" applyAlignment="1">
      <alignment horizontal="center" vertical="center" wrapText="1"/>
    </xf>
    <xf numFmtId="0" fontId="49" fillId="5" borderId="0" xfId="0" applyFont="1" applyFill="1" applyBorder="1" applyAlignment="1">
      <alignment horizontal="left"/>
    </xf>
    <xf numFmtId="0" fontId="20" fillId="0" borderId="0" xfId="3" applyFont="1" applyFill="1" applyAlignment="1">
      <alignment horizontal="center" vertical="center" wrapText="1"/>
    </xf>
    <xf numFmtId="0" fontId="35" fillId="0" borderId="0" xfId="3" applyFont="1" applyFill="1" applyAlignment="1">
      <alignment horizontal="center" vertical="center" wrapText="1"/>
    </xf>
    <xf numFmtId="0" fontId="43" fillId="0" borderId="55" xfId="0" applyFont="1" applyBorder="1" applyAlignment="1">
      <alignment horizontal="center" vertical="center" wrapText="1"/>
    </xf>
    <xf numFmtId="0" fontId="24" fillId="8" borderId="51" xfId="0" applyFont="1" applyFill="1" applyBorder="1" applyAlignment="1">
      <alignment horizontal="center" vertical="center" wrapText="1"/>
    </xf>
    <xf numFmtId="0" fontId="24" fillId="8" borderId="56" xfId="0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11" fillId="8" borderId="51" xfId="0" applyFont="1" applyFill="1" applyBorder="1" applyAlignment="1">
      <alignment horizontal="center" vertical="center" wrapText="1"/>
    </xf>
    <xf numFmtId="0" fontId="11" fillId="8" borderId="56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28" fillId="8" borderId="51" xfId="3" applyFont="1" applyFill="1" applyBorder="1" applyAlignment="1">
      <alignment horizontal="center" vertical="center" wrapText="1"/>
    </xf>
    <xf numFmtId="0" fontId="28" fillId="8" borderId="56" xfId="3" applyFont="1" applyFill="1" applyBorder="1" applyAlignment="1">
      <alignment horizontal="center" vertical="center" wrapText="1"/>
    </xf>
    <xf numFmtId="0" fontId="28" fillId="8" borderId="6" xfId="3" applyFont="1" applyFill="1" applyBorder="1" applyAlignment="1">
      <alignment horizontal="center" vertical="center" wrapText="1"/>
    </xf>
    <xf numFmtId="0" fontId="11" fillId="0" borderId="149" xfId="4" applyFont="1" applyFill="1" applyBorder="1" applyAlignment="1">
      <alignment horizontal="center" vertical="center" wrapText="1"/>
    </xf>
    <xf numFmtId="0" fontId="11" fillId="0" borderId="144" xfId="4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28" fillId="0" borderId="51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49" fontId="59" fillId="0" borderId="1" xfId="11" applyNumberFormat="1" applyFont="1" applyFill="1" applyBorder="1" applyAlignment="1">
      <alignment horizontal="center" vertical="center" wrapText="1"/>
    </xf>
    <xf numFmtId="0" fontId="59" fillId="0" borderId="1" xfId="11" applyFont="1" applyFill="1" applyBorder="1" applyAlignment="1">
      <alignment horizontal="center" vertical="center" wrapText="1"/>
    </xf>
    <xf numFmtId="0" fontId="59" fillId="0" borderId="2" xfId="11" applyFont="1" applyFill="1" applyBorder="1" applyAlignment="1">
      <alignment horizontal="center"/>
    </xf>
    <xf numFmtId="0" fontId="59" fillId="0" borderId="3" xfId="11" applyFont="1" applyFill="1" applyBorder="1" applyAlignment="1">
      <alignment horizontal="center"/>
    </xf>
    <xf numFmtId="0" fontId="59" fillId="0" borderId="4" xfId="11" applyFont="1" applyFill="1" applyBorder="1" applyAlignment="1">
      <alignment horizontal="center"/>
    </xf>
    <xf numFmtId="0" fontId="59" fillId="0" borderId="2" xfId="11" applyFont="1" applyFill="1" applyBorder="1" applyAlignment="1">
      <alignment horizontal="center" vertical="center" wrapText="1"/>
    </xf>
    <xf numFmtId="0" fontId="59" fillId="0" borderId="3" xfId="11" applyFont="1" applyFill="1" applyBorder="1" applyAlignment="1">
      <alignment horizontal="center" vertical="center" wrapText="1"/>
    </xf>
    <xf numFmtId="0" fontId="59" fillId="0" borderId="4" xfId="11" applyFont="1" applyFill="1" applyBorder="1" applyAlignment="1">
      <alignment horizontal="center" vertical="center" wrapText="1"/>
    </xf>
    <xf numFmtId="0" fontId="193" fillId="0" borderId="163" xfId="0" applyFont="1" applyBorder="1" applyAlignment="1">
      <alignment horizontal="center" vertical="center" wrapText="1"/>
    </xf>
    <xf numFmtId="0" fontId="59" fillId="0" borderId="162" xfId="11" applyFont="1" applyFill="1" applyBorder="1" applyAlignment="1">
      <alignment horizontal="center" vertical="center"/>
    </xf>
    <xf numFmtId="0" fontId="0" fillId="0" borderId="162" xfId="0" applyBorder="1" applyAlignment="1"/>
    <xf numFmtId="0" fontId="14" fillId="0" borderId="0" xfId="0" applyFont="1" applyAlignment="1">
      <alignment horizontal="left" vertical="center"/>
    </xf>
    <xf numFmtId="0" fontId="76" fillId="0" borderId="0" xfId="11" applyFont="1" applyFill="1" applyAlignment="1">
      <alignment horizontal="center" vertical="center" wrapText="1"/>
    </xf>
    <xf numFmtId="0" fontId="14" fillId="0" borderId="0" xfId="1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7" fillId="0" borderId="55" xfId="0" applyFont="1" applyBorder="1" applyAlignment="1">
      <alignment horizontal="center" vertical="center" wrapText="1"/>
    </xf>
    <xf numFmtId="0" fontId="0" fillId="0" borderId="55" xfId="0" applyBorder="1" applyAlignment="1"/>
    <xf numFmtId="0" fontId="59" fillId="2" borderId="2" xfId="0" applyFont="1" applyFill="1" applyBorder="1" applyAlignment="1">
      <alignment horizontal="left" vertical="center"/>
    </xf>
    <xf numFmtId="0" fontId="59" fillId="2" borderId="3" xfId="0" applyFont="1" applyFill="1" applyBorder="1" applyAlignment="1">
      <alignment horizontal="left" vertical="center"/>
    </xf>
    <xf numFmtId="0" fontId="59" fillId="2" borderId="4" xfId="0" applyFont="1" applyFill="1" applyBorder="1" applyAlignment="1">
      <alignment horizontal="left" vertical="center"/>
    </xf>
    <xf numFmtId="0" fontId="59" fillId="7" borderId="2" xfId="0" applyFont="1" applyFill="1" applyBorder="1" applyAlignment="1">
      <alignment horizontal="left" vertical="center"/>
    </xf>
    <xf numFmtId="0" fontId="59" fillId="7" borderId="3" xfId="0" applyFont="1" applyFill="1" applyBorder="1" applyAlignment="1">
      <alignment horizontal="left" vertical="center"/>
    </xf>
    <xf numFmtId="0" fontId="59" fillId="7" borderId="4" xfId="0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39" fillId="0" borderId="2" xfId="13" applyFont="1" applyFill="1" applyBorder="1" applyAlignment="1">
      <alignment vertical="center" wrapText="1"/>
    </xf>
    <xf numFmtId="0" fontId="0" fillId="0" borderId="156" xfId="0" applyBorder="1" applyAlignment="1">
      <alignment vertical="center" wrapText="1"/>
    </xf>
    <xf numFmtId="0" fontId="0" fillId="0" borderId="157" xfId="0" applyBorder="1" applyAlignment="1">
      <alignment vertical="center" wrapText="1"/>
    </xf>
    <xf numFmtId="0" fontId="189" fillId="0" borderId="59" xfId="1899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59" fillId="14" borderId="2" xfId="0" applyFont="1" applyFill="1" applyBorder="1" applyAlignment="1">
      <alignment horizontal="left" vertical="center"/>
    </xf>
    <xf numFmtId="0" fontId="59" fillId="14" borderId="3" xfId="0" applyFont="1" applyFill="1" applyBorder="1" applyAlignment="1">
      <alignment horizontal="left" vertical="center"/>
    </xf>
    <xf numFmtId="0" fontId="59" fillId="14" borderId="4" xfId="0" applyFont="1" applyFill="1" applyBorder="1" applyAlignment="1">
      <alignment horizontal="left" vertical="center"/>
    </xf>
    <xf numFmtId="0" fontId="59" fillId="0" borderId="1" xfId="0" applyFont="1" applyFill="1" applyBorder="1" applyAlignment="1">
      <alignment horizontal="left" vertical="center"/>
    </xf>
    <xf numFmtId="175" fontId="82" fillId="0" borderId="2" xfId="0" applyNumberFormat="1" applyFont="1" applyBorder="1" applyAlignment="1">
      <alignment horizontal="left" vertical="center"/>
    </xf>
    <xf numFmtId="175" fontId="82" fillId="0" borderId="3" xfId="0" applyNumberFormat="1" applyFont="1" applyBorder="1" applyAlignment="1">
      <alignment horizontal="left" vertical="center"/>
    </xf>
    <xf numFmtId="175" fontId="82" fillId="0" borderId="4" xfId="0" applyNumberFormat="1" applyFont="1" applyBorder="1" applyAlignment="1">
      <alignment horizontal="left" vertical="center"/>
    </xf>
    <xf numFmtId="0" fontId="83" fillId="0" borderId="25" xfId="0" applyFont="1" applyBorder="1" applyAlignment="1"/>
    <xf numFmtId="0" fontId="84" fillId="0" borderId="25" xfId="0" applyFont="1" applyBorder="1" applyAlignment="1"/>
    <xf numFmtId="0" fontId="73" fillId="3" borderId="55" xfId="17" applyFont="1" applyFill="1" applyBorder="1" applyAlignment="1">
      <alignment horizontal="center"/>
    </xf>
    <xf numFmtId="0" fontId="86" fillId="9" borderId="55" xfId="17" applyFont="1" applyFill="1" applyBorder="1" applyAlignment="1">
      <alignment horizontal="center"/>
    </xf>
    <xf numFmtId="0" fontId="59" fillId="0" borderId="0" xfId="4" applyFont="1" applyFill="1" applyAlignment="1">
      <alignment horizontal="left" vertical="center"/>
    </xf>
    <xf numFmtId="0" fontId="61" fillId="0" borderId="25" xfId="4" applyFont="1" applyFill="1" applyBorder="1" applyAlignment="1">
      <alignment horizontal="center" vertical="center"/>
    </xf>
    <xf numFmtId="0" fontId="97" fillId="0" borderId="25" xfId="4" applyFont="1" applyFill="1" applyBorder="1" applyAlignment="1">
      <alignment horizontal="center" vertical="center"/>
    </xf>
    <xf numFmtId="0" fontId="92" fillId="0" borderId="0" xfId="19" applyFont="1" applyAlignment="1">
      <alignment horizontal="center"/>
    </xf>
    <xf numFmtId="2" fontId="91" fillId="0" borderId="0" xfId="13" applyNumberFormat="1" applyFont="1" applyFill="1" applyAlignment="1">
      <alignment horizontal="center" wrapText="1"/>
    </xf>
    <xf numFmtId="0" fontId="13" fillId="0" borderId="7" xfId="20" applyFont="1" applyBorder="1" applyAlignment="1">
      <alignment horizontal="right"/>
    </xf>
    <xf numFmtId="0" fontId="0" fillId="0" borderId="7" xfId="20" applyFont="1" applyBorder="1" applyAlignment="1">
      <alignment horizontal="right"/>
    </xf>
    <xf numFmtId="2" fontId="90" fillId="0" borderId="12" xfId="13" applyNumberFormat="1" applyFont="1" applyBorder="1" applyAlignment="1">
      <alignment horizontal="center" vertical="center" wrapText="1"/>
    </xf>
    <xf numFmtId="0" fontId="90" fillId="0" borderId="61" xfId="13" applyFont="1" applyBorder="1" applyAlignment="1">
      <alignment horizontal="center" vertical="center" wrapText="1"/>
    </xf>
    <xf numFmtId="2" fontId="90" fillId="0" borderId="16" xfId="13" applyNumberFormat="1" applyFont="1" applyBorder="1" applyAlignment="1">
      <alignment horizontal="center" vertical="center"/>
    </xf>
    <xf numFmtId="0" fontId="90" fillId="0" borderId="6" xfId="13" applyFont="1" applyBorder="1" applyAlignment="1">
      <alignment horizontal="center" vertical="center"/>
    </xf>
    <xf numFmtId="2" fontId="90" fillId="0" borderId="16" xfId="13" applyNumberFormat="1" applyFont="1" applyBorder="1" applyAlignment="1">
      <alignment horizontal="center" vertical="center" wrapText="1"/>
    </xf>
    <xf numFmtId="2" fontId="90" fillId="0" borderId="6" xfId="13" applyNumberFormat="1" applyFont="1" applyBorder="1" applyAlignment="1">
      <alignment horizontal="center" vertical="center" wrapText="1"/>
    </xf>
    <xf numFmtId="2" fontId="90" fillId="0" borderId="45" xfId="13" applyNumberFormat="1" applyFont="1" applyBorder="1" applyAlignment="1">
      <alignment horizontal="center" vertical="center"/>
    </xf>
    <xf numFmtId="2" fontId="90" fillId="0" borderId="46" xfId="13" applyNumberFormat="1" applyFont="1" applyBorder="1" applyAlignment="1">
      <alignment horizontal="center" vertical="center"/>
    </xf>
    <xf numFmtId="2" fontId="90" fillId="0" borderId="47" xfId="13" applyNumberFormat="1" applyFont="1" applyBorder="1" applyAlignment="1">
      <alignment horizontal="center" vertical="center"/>
    </xf>
    <xf numFmtId="0" fontId="59" fillId="0" borderId="135" xfId="6" applyFont="1" applyFill="1" applyBorder="1" applyAlignment="1">
      <alignment horizontal="center" vertical="center" wrapText="1"/>
    </xf>
    <xf numFmtId="0" fontId="59" fillId="0" borderId="143" xfId="6" applyFont="1" applyFill="1" applyBorder="1" applyAlignment="1">
      <alignment horizontal="center" vertical="center" wrapText="1"/>
    </xf>
    <xf numFmtId="0" fontId="66" fillId="0" borderId="0" xfId="6" applyFont="1" applyFill="1" applyBorder="1" applyAlignment="1">
      <alignment horizontal="center"/>
    </xf>
    <xf numFmtId="0" fontId="66" fillId="0" borderId="31" xfId="6" applyFont="1" applyFill="1" applyBorder="1" applyAlignment="1">
      <alignment horizontal="center"/>
    </xf>
    <xf numFmtId="0" fontId="112" fillId="0" borderId="0" xfId="845" applyFont="1" applyAlignment="1">
      <alignment horizontal="left" wrapText="1"/>
    </xf>
    <xf numFmtId="0" fontId="110" fillId="0" borderId="0" xfId="845" applyFont="1" applyAlignment="1">
      <alignment horizontal="left" wrapText="1"/>
    </xf>
    <xf numFmtId="0" fontId="58" fillId="0" borderId="0" xfId="6" applyFont="1" applyFill="1" applyBorder="1" applyAlignment="1">
      <alignment horizontal="center" vertical="center" wrapText="1"/>
    </xf>
    <xf numFmtId="0" fontId="115" fillId="0" borderId="170" xfId="22" applyFont="1" applyBorder="1" applyAlignment="1">
      <alignment horizontal="center"/>
    </xf>
    <xf numFmtId="0" fontId="115" fillId="0" borderId="73" xfId="22" applyFont="1" applyBorder="1" applyAlignment="1">
      <alignment horizontal="center"/>
    </xf>
    <xf numFmtId="0" fontId="115" fillId="0" borderId="57" xfId="22" applyFont="1" applyBorder="1" applyAlignment="1">
      <alignment horizontal="center"/>
    </xf>
    <xf numFmtId="0" fontId="115" fillId="0" borderId="58" xfId="22" applyFont="1" applyBorder="1" applyAlignment="1">
      <alignment horizontal="center"/>
    </xf>
    <xf numFmtId="0" fontId="115" fillId="0" borderId="171" xfId="22" applyFont="1" applyBorder="1" applyAlignment="1">
      <alignment horizontal="center"/>
    </xf>
    <xf numFmtId="0" fontId="191" fillId="111" borderId="15" xfId="0" applyFont="1" applyFill="1" applyBorder="1" applyAlignment="1">
      <alignment horizontal="center" vertical="center" wrapText="1"/>
    </xf>
    <xf numFmtId="0" fontId="191" fillId="111" borderId="15" xfId="0" applyFont="1" applyFill="1" applyBorder="1" applyAlignment="1">
      <alignment horizontal="center" vertical="center"/>
    </xf>
    <xf numFmtId="0" fontId="191" fillId="111" borderId="19" xfId="0" applyFont="1" applyFill="1" applyBorder="1" applyAlignment="1">
      <alignment horizontal="center" vertical="center"/>
    </xf>
    <xf numFmtId="0" fontId="191" fillId="111" borderId="35" xfId="0" applyFont="1" applyFill="1" applyBorder="1" applyAlignment="1">
      <alignment horizontal="center" vertical="center"/>
    </xf>
    <xf numFmtId="0" fontId="191" fillId="111" borderId="62" xfId="0" applyFont="1" applyFill="1" applyBorder="1" applyAlignment="1">
      <alignment horizontal="center" vertical="center"/>
    </xf>
    <xf numFmtId="0" fontId="191" fillId="112" borderId="161" xfId="0" applyFont="1" applyFill="1" applyBorder="1" applyAlignment="1">
      <alignment horizontal="center" vertical="center" wrapText="1"/>
    </xf>
    <xf numFmtId="0" fontId="191" fillId="112" borderId="153" xfId="0" applyFont="1" applyFill="1" applyBorder="1" applyAlignment="1">
      <alignment horizontal="center" vertical="center"/>
    </xf>
    <xf numFmtId="0" fontId="191" fillId="112" borderId="154" xfId="0" applyFont="1" applyFill="1" applyBorder="1" applyAlignment="1">
      <alignment horizontal="center" vertical="center"/>
    </xf>
    <xf numFmtId="0" fontId="191" fillId="112" borderId="60" xfId="0" applyFont="1" applyFill="1" applyBorder="1" applyAlignment="1">
      <alignment horizontal="center" vertical="center"/>
    </xf>
    <xf numFmtId="0" fontId="191" fillId="112" borderId="55" xfId="0" applyFont="1" applyFill="1" applyBorder="1" applyAlignment="1">
      <alignment horizontal="center" vertical="center"/>
    </xf>
    <xf numFmtId="0" fontId="191" fillId="112" borderId="160" xfId="0" applyFont="1" applyFill="1" applyBorder="1" applyAlignment="1">
      <alignment horizontal="center" vertical="center"/>
    </xf>
    <xf numFmtId="0" fontId="191" fillId="112" borderId="15" xfId="0" applyFont="1" applyFill="1" applyBorder="1" applyAlignment="1">
      <alignment horizontal="center" vertical="center" wrapText="1"/>
    </xf>
    <xf numFmtId="0" fontId="191" fillId="112" borderId="15" xfId="0" applyFont="1" applyFill="1" applyBorder="1" applyAlignment="1">
      <alignment horizontal="center" vertical="center"/>
    </xf>
    <xf numFmtId="0" fontId="191" fillId="112" borderId="19" xfId="0" applyFont="1" applyFill="1" applyBorder="1" applyAlignment="1">
      <alignment horizontal="center" vertical="center"/>
    </xf>
    <xf numFmtId="0" fontId="191" fillId="112" borderId="35" xfId="0" applyFont="1" applyFill="1" applyBorder="1" applyAlignment="1">
      <alignment horizontal="center" vertical="center"/>
    </xf>
    <xf numFmtId="0" fontId="191" fillId="112" borderId="62" xfId="0" applyFont="1" applyFill="1" applyBorder="1" applyAlignment="1">
      <alignment horizontal="center" vertical="center"/>
    </xf>
    <xf numFmtId="0" fontId="191" fillId="112" borderId="44" xfId="0" applyFont="1" applyFill="1" applyBorder="1" applyAlignment="1">
      <alignment horizontal="center" vertical="center" wrapText="1"/>
    </xf>
    <xf numFmtId="0" fontId="191" fillId="112" borderId="13" xfId="0" applyFont="1" applyFill="1" applyBorder="1" applyAlignment="1">
      <alignment horizontal="center" vertical="center"/>
    </xf>
    <xf numFmtId="0" fontId="191" fillId="112" borderId="159" xfId="0" applyFont="1" applyFill="1" applyBorder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horizontal="right" vertical="center" wrapText="1"/>
    </xf>
    <xf numFmtId="0" fontId="0" fillId="0" borderId="0" xfId="0"/>
    <xf numFmtId="0" fontId="98" fillId="0" borderId="0" xfId="0" applyFont="1" applyAlignment="1">
      <alignment horizontal="center" vertical="center" wrapText="1"/>
    </xf>
    <xf numFmtId="0" fontId="102" fillId="0" borderId="0" xfId="0" applyFont="1" applyAlignment="1">
      <alignment horizontal="center" vertical="center" wrapText="1"/>
    </xf>
    <xf numFmtId="0" fontId="101" fillId="0" borderId="0" xfId="0" applyFont="1" applyAlignment="1">
      <alignment horizontal="center" vertical="center" wrapText="1"/>
    </xf>
    <xf numFmtId="0" fontId="98" fillId="0" borderId="52" xfId="0" applyFont="1" applyBorder="1" applyAlignment="1">
      <alignment horizontal="center" vertical="center" wrapText="1"/>
    </xf>
    <xf numFmtId="0" fontId="98" fillId="0" borderId="68" xfId="0" applyFont="1" applyBorder="1" applyAlignment="1">
      <alignment horizontal="center" vertical="center" wrapText="1"/>
    </xf>
    <xf numFmtId="0" fontId="98" fillId="0" borderId="60" xfId="0" applyFont="1" applyBorder="1" applyAlignment="1">
      <alignment horizontal="center" vertical="center" wrapText="1"/>
    </xf>
    <xf numFmtId="0" fontId="98" fillId="0" borderId="66" xfId="0" applyFont="1" applyBorder="1" applyAlignment="1">
      <alignment horizontal="center" vertical="center" wrapText="1"/>
    </xf>
    <xf numFmtId="0" fontId="101" fillId="0" borderId="1" xfId="0" applyFont="1" applyBorder="1" applyAlignment="1">
      <alignment horizontal="center" vertical="center" wrapText="1"/>
    </xf>
    <xf numFmtId="0" fontId="103" fillId="0" borderId="2" xfId="0" applyFont="1" applyBorder="1" applyAlignment="1">
      <alignment horizontal="left" vertical="center" wrapText="1"/>
    </xf>
    <xf numFmtId="0" fontId="103" fillId="0" borderId="69" xfId="0" applyFont="1" applyBorder="1" applyAlignment="1">
      <alignment horizontal="left" vertical="center" wrapText="1"/>
    </xf>
    <xf numFmtId="0" fontId="99" fillId="0" borderId="0" xfId="0" applyFont="1" applyBorder="1" applyAlignment="1">
      <alignment horizontal="left" vertical="center" wrapText="1"/>
    </xf>
    <xf numFmtId="0" fontId="101" fillId="0" borderId="2" xfId="0" applyFont="1" applyBorder="1" applyAlignment="1">
      <alignment horizontal="left" vertical="center" wrapText="1"/>
    </xf>
    <xf numFmtId="0" fontId="101" fillId="0" borderId="4" xfId="0" applyFont="1" applyBorder="1" applyAlignment="1">
      <alignment horizontal="left" vertical="center" wrapText="1"/>
    </xf>
    <xf numFmtId="0" fontId="101" fillId="3" borderId="2" xfId="0" applyFont="1" applyFill="1" applyBorder="1" applyAlignment="1">
      <alignment horizontal="left" vertical="center" wrapText="1"/>
    </xf>
    <xf numFmtId="0" fontId="101" fillId="3" borderId="4" xfId="0" applyFont="1" applyFill="1" applyBorder="1" applyAlignment="1">
      <alignment horizontal="left" vertical="center" wrapText="1"/>
    </xf>
    <xf numFmtId="0" fontId="10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06" fillId="0" borderId="1" xfId="0" applyFont="1" applyBorder="1" applyAlignment="1">
      <alignment horizontal="center" vertical="center" wrapText="1"/>
    </xf>
    <xf numFmtId="0" fontId="101" fillId="0" borderId="0" xfId="0" applyFont="1" applyBorder="1" applyAlignment="1">
      <alignment horizontal="left" vertical="center" wrapText="1"/>
    </xf>
    <xf numFmtId="0" fontId="106" fillId="5" borderId="25" xfId="0" applyFont="1" applyFill="1" applyBorder="1" applyAlignment="1">
      <alignment horizontal="left" vertical="center" wrapText="1"/>
    </xf>
    <xf numFmtId="0" fontId="101" fillId="0" borderId="51" xfId="0" applyFont="1" applyBorder="1" applyAlignment="1">
      <alignment horizontal="center" vertical="center" wrapText="1"/>
    </xf>
    <xf numFmtId="0" fontId="101" fillId="0" borderId="56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08" fillId="0" borderId="0" xfId="0" applyFont="1" applyAlignment="1">
      <alignment horizontal="center" vertical="center" wrapText="1"/>
    </xf>
    <xf numFmtId="0" fontId="204" fillId="0" borderId="0" xfId="0" applyFont="1"/>
  </cellXfs>
  <cellStyles count="1900">
    <cellStyle name=" 1" xfId="26"/>
    <cellStyle name="_2005_БЮДЖЕТ В4 ==11.11.==  КР Дороги, Мосты" xfId="27"/>
    <cellStyle name="_2006_06_28_MGRES_inventories_request" xfId="28"/>
    <cellStyle name="_2008г. и 4кв" xfId="29"/>
    <cellStyle name="_4_macro 2009" xfId="30"/>
    <cellStyle name="_Condition-long(2012-2030)нах" xfId="31"/>
    <cellStyle name="_CPI foodimp" xfId="32"/>
    <cellStyle name="_macro 2012 var 1" xfId="33"/>
    <cellStyle name="_SeriesAttributes" xfId="34"/>
    <cellStyle name="_SeriesAttributes 2" xfId="854"/>
    <cellStyle name="_SeriesAttributes 3" xfId="1305"/>
    <cellStyle name="_SeriesAttributes 4" xfId="1487"/>
    <cellStyle name="_v-2013-2030- 2b17.01.11Нах-cpiнов. курс inn 1-2-Е1xls" xfId="35"/>
    <cellStyle name="_Анализ КТП_регионы" xfId="36"/>
    <cellStyle name="_БП 2009" xfId="37"/>
    <cellStyle name="_БП 2009 06.05.09" xfId="38"/>
    <cellStyle name="_БП 2009 корректировка" xfId="39"/>
    <cellStyle name="_Газ-расчет-16 0508Клдо 2023" xfId="40"/>
    <cellStyle name="_Затратный СШГЭС  14 11 2004" xfId="41"/>
    <cellStyle name="_Индексация исторических затрат" xfId="42"/>
    <cellStyle name="_ИПЦЖКХ2105 08-до 2023вар1" xfId="43"/>
    <cellStyle name="_Книга1" xfId="44"/>
    <cellStyle name="_Книга3" xfId="45"/>
    <cellStyle name="_Копия Программа первоочередных мер_(правка 18 05 06 Усаров_2А_3)" xfId="46"/>
    <cellStyle name="_Корректировка с учетом факта 3 кв.xls" xfId="47"/>
    <cellStyle name="_курсовые разницы 01,06,08" xfId="48"/>
    <cellStyle name="_Лист2" xfId="49"/>
    <cellStyle name="_Лист2 скорр." xfId="50"/>
    <cellStyle name="_Макро_2030 год" xfId="51"/>
    <cellStyle name="_Модель - 2(23)" xfId="52"/>
    <cellStyle name="_Оренбургэнерго_Тариф" xfId="53"/>
    <cellStyle name="_Плановая протяженность Января" xfId="54"/>
    <cellStyle name="_Правила заполнения" xfId="55"/>
    <cellStyle name="_Приложение 11 (воскресенье)" xfId="56"/>
    <cellStyle name="_Приложения ЕЭСК 2009 210809 отпр" xfId="57"/>
    <cellStyle name="_Производств-е показатели ЮНГ на 2005 на 49700 для согласования" xfId="58"/>
    <cellStyle name="_Расчет ВВ подстанций" xfId="59"/>
    <cellStyle name="_Расчет ВЛ таб.формата 12 рыба" xfId="60"/>
    <cellStyle name="_Сб-macro 2020" xfId="61"/>
    <cellStyle name="_Сб-macro 2020_v2008-2012-23.09.09вар2а-11" xfId="62"/>
    <cellStyle name="_Сергееву_тех х-ки_18.11" xfId="63"/>
    <cellStyle name="_Степень физического износа " xfId="64"/>
    <cellStyle name="_Типовой макет" xfId="65"/>
    <cellStyle name="_Узлы учета_10.08" xfId="66"/>
    <cellStyle name="_Форма исх." xfId="67"/>
    <cellStyle name="_ЦФ  реализация акций 2008-2010" xfId="68"/>
    <cellStyle name="_ЦФ  реализация акций 2008-2010_акции по годам 2009-2012" xfId="69"/>
    <cellStyle name="_ЦФ  реализация акций 2008-2010_Копия Прогноз ПТРдо 2030г  (3)" xfId="70"/>
    <cellStyle name="_ЦФ  реализация акций 2008-2010_Прогноз ПТРдо 2030г." xfId="71"/>
    <cellStyle name="1Normal" xfId="72"/>
    <cellStyle name="20% - Accent1" xfId="73"/>
    <cellStyle name="20% - Accent2" xfId="74"/>
    <cellStyle name="20% - Accent3" xfId="75"/>
    <cellStyle name="20% - Accent4" xfId="76"/>
    <cellStyle name="20% - Accent5" xfId="77"/>
    <cellStyle name="20% - Accent6" xfId="78"/>
    <cellStyle name="20% - Акцент1 2" xfId="80"/>
    <cellStyle name="20% - Акцент1 2 2" xfId="81"/>
    <cellStyle name="20% - Акцент1 3" xfId="79"/>
    <cellStyle name="20% - Акцент2 2" xfId="83"/>
    <cellStyle name="20% - Акцент2 2 2" xfId="84"/>
    <cellStyle name="20% - Акцент2 3" xfId="82"/>
    <cellStyle name="20% - Акцент3 2" xfId="86"/>
    <cellStyle name="20% - Акцент3 2 2" xfId="87"/>
    <cellStyle name="20% - Акцент3 3" xfId="85"/>
    <cellStyle name="20% - Акцент4 2" xfId="89"/>
    <cellStyle name="20% - Акцент4 2 2" xfId="90"/>
    <cellStyle name="20% - Акцент4 3" xfId="88"/>
    <cellStyle name="20% - Акцент5 2" xfId="92"/>
    <cellStyle name="20% - Акцент5 2 2" xfId="93"/>
    <cellStyle name="20% - Акцент5 3" xfId="91"/>
    <cellStyle name="20% - Акцент6 2" xfId="95"/>
    <cellStyle name="20% - Акцент6 2 2" xfId="96"/>
    <cellStyle name="20% - Акцент6 3" xfId="94"/>
    <cellStyle name="40% - Accent1" xfId="97"/>
    <cellStyle name="40% - Accent2" xfId="98"/>
    <cellStyle name="40% - Accent3" xfId="99"/>
    <cellStyle name="40% - Accent4" xfId="100"/>
    <cellStyle name="40% - Accent5" xfId="101"/>
    <cellStyle name="40% - Accent6" xfId="102"/>
    <cellStyle name="40% - Акцент1 2" xfId="104"/>
    <cellStyle name="40% - Акцент1 2 2" xfId="105"/>
    <cellStyle name="40% - Акцент1 3" xfId="103"/>
    <cellStyle name="40% - Акцент2 2" xfId="107"/>
    <cellStyle name="40% - Акцент2 2 2" xfId="108"/>
    <cellStyle name="40% - Акцент2 3" xfId="106"/>
    <cellStyle name="40% - Акцент3 2" xfId="110"/>
    <cellStyle name="40% - Акцент3 2 2" xfId="111"/>
    <cellStyle name="40% - Акцент3 3" xfId="109"/>
    <cellStyle name="40% - Акцент4 2" xfId="113"/>
    <cellStyle name="40% - Акцент4 2 2" xfId="114"/>
    <cellStyle name="40% - Акцент4 3" xfId="112"/>
    <cellStyle name="40% - Акцент5 2" xfId="116"/>
    <cellStyle name="40% - Акцент5 2 2" xfId="117"/>
    <cellStyle name="40% - Акцент5 3" xfId="115"/>
    <cellStyle name="40% - Акцент6 2" xfId="119"/>
    <cellStyle name="40% - Акцент6 2 2" xfId="120"/>
    <cellStyle name="40% - Акцент6 3" xfId="118"/>
    <cellStyle name="60% - Accent1" xfId="121"/>
    <cellStyle name="60% - Accent2" xfId="122"/>
    <cellStyle name="60% - Accent3" xfId="123"/>
    <cellStyle name="60% - Accent4" xfId="124"/>
    <cellStyle name="60% - Accent5" xfId="125"/>
    <cellStyle name="60% - Accent6" xfId="126"/>
    <cellStyle name="60% - Акцент1 2" xfId="128"/>
    <cellStyle name="60% - Акцент1 3" xfId="127"/>
    <cellStyle name="60% - Акцент2 2" xfId="130"/>
    <cellStyle name="60% - Акцент2 3" xfId="129"/>
    <cellStyle name="60% - Акцент3 2" xfId="132"/>
    <cellStyle name="60% - Акцент3 3" xfId="131"/>
    <cellStyle name="60% - Акцент4 2" xfId="134"/>
    <cellStyle name="60% - Акцент4 3" xfId="133"/>
    <cellStyle name="60% - Акцент5 2" xfId="136"/>
    <cellStyle name="60% - Акцент5 3" xfId="135"/>
    <cellStyle name="60% - Акцент6 2" xfId="138"/>
    <cellStyle name="60% - Акцент6 3" xfId="137"/>
    <cellStyle name="Accent1" xfId="139"/>
    <cellStyle name="Accent1 - 20%" xfId="140"/>
    <cellStyle name="Accent1 - 20% 2" xfId="141"/>
    <cellStyle name="Accent1 - 20% 3" xfId="142"/>
    <cellStyle name="Accent1 - 20% 4" xfId="143"/>
    <cellStyle name="Accent1 - 20% 5" xfId="144"/>
    <cellStyle name="Accent1 - 20% 6" xfId="145"/>
    <cellStyle name="Accent1 - 40%" xfId="146"/>
    <cellStyle name="Accent1 - 40% 2" xfId="147"/>
    <cellStyle name="Accent1 - 40% 3" xfId="148"/>
    <cellStyle name="Accent1 - 40% 4" xfId="149"/>
    <cellStyle name="Accent1 - 40% 5" xfId="150"/>
    <cellStyle name="Accent1 - 40% 6" xfId="151"/>
    <cellStyle name="Accent1 - 60%" xfId="152"/>
    <cellStyle name="Accent1 - 60% 2" xfId="153"/>
    <cellStyle name="Accent1 - 60% 3" xfId="154"/>
    <cellStyle name="Accent1 - 60% 4" xfId="155"/>
    <cellStyle name="Accent1 - 60% 5" xfId="156"/>
    <cellStyle name="Accent1 - 60% 6" xfId="157"/>
    <cellStyle name="Accent1_акции по годам 2009-2012" xfId="158"/>
    <cellStyle name="Accent2" xfId="159"/>
    <cellStyle name="Accent2 - 20%" xfId="160"/>
    <cellStyle name="Accent2 - 20% 2" xfId="161"/>
    <cellStyle name="Accent2 - 20% 3" xfId="162"/>
    <cellStyle name="Accent2 - 20% 4" xfId="163"/>
    <cellStyle name="Accent2 - 20% 5" xfId="164"/>
    <cellStyle name="Accent2 - 20% 6" xfId="165"/>
    <cellStyle name="Accent2 - 40%" xfId="166"/>
    <cellStyle name="Accent2 - 40% 2" xfId="167"/>
    <cellStyle name="Accent2 - 40% 3" xfId="168"/>
    <cellStyle name="Accent2 - 40% 4" xfId="169"/>
    <cellStyle name="Accent2 - 40% 5" xfId="170"/>
    <cellStyle name="Accent2 - 40% 6" xfId="171"/>
    <cellStyle name="Accent2 - 60%" xfId="172"/>
    <cellStyle name="Accent2 - 60% 2" xfId="173"/>
    <cellStyle name="Accent2 - 60% 3" xfId="174"/>
    <cellStyle name="Accent2 - 60% 4" xfId="175"/>
    <cellStyle name="Accent2 - 60% 5" xfId="176"/>
    <cellStyle name="Accent2 - 60% 6" xfId="177"/>
    <cellStyle name="Accent2_акции по годам 2009-2012" xfId="178"/>
    <cellStyle name="Accent3" xfId="179"/>
    <cellStyle name="Accent3 - 20%" xfId="180"/>
    <cellStyle name="Accent3 - 20% 2" xfId="181"/>
    <cellStyle name="Accent3 - 20% 3" xfId="182"/>
    <cellStyle name="Accent3 - 20% 4" xfId="183"/>
    <cellStyle name="Accent3 - 20% 5" xfId="184"/>
    <cellStyle name="Accent3 - 20% 6" xfId="185"/>
    <cellStyle name="Accent3 - 40%" xfId="186"/>
    <cellStyle name="Accent3 - 40% 2" xfId="187"/>
    <cellStyle name="Accent3 - 40% 3" xfId="188"/>
    <cellStyle name="Accent3 - 40% 4" xfId="189"/>
    <cellStyle name="Accent3 - 40% 5" xfId="190"/>
    <cellStyle name="Accent3 - 40% 6" xfId="191"/>
    <cellStyle name="Accent3 - 60%" xfId="192"/>
    <cellStyle name="Accent3 - 60% 2" xfId="193"/>
    <cellStyle name="Accent3 - 60% 3" xfId="194"/>
    <cellStyle name="Accent3 - 60% 4" xfId="195"/>
    <cellStyle name="Accent3 - 60% 5" xfId="196"/>
    <cellStyle name="Accent3 - 60% 6" xfId="197"/>
    <cellStyle name="Accent3_7-р" xfId="198"/>
    <cellStyle name="Accent4" xfId="199"/>
    <cellStyle name="Accent4 - 20%" xfId="200"/>
    <cellStyle name="Accent4 - 20% 2" xfId="201"/>
    <cellStyle name="Accent4 - 20% 3" xfId="202"/>
    <cellStyle name="Accent4 - 20% 4" xfId="203"/>
    <cellStyle name="Accent4 - 20% 5" xfId="204"/>
    <cellStyle name="Accent4 - 20% 6" xfId="205"/>
    <cellStyle name="Accent4 - 40%" xfId="206"/>
    <cellStyle name="Accent4 - 40% 2" xfId="207"/>
    <cellStyle name="Accent4 - 40% 3" xfId="208"/>
    <cellStyle name="Accent4 - 40% 4" xfId="209"/>
    <cellStyle name="Accent4 - 40% 5" xfId="210"/>
    <cellStyle name="Accent4 - 40% 6" xfId="211"/>
    <cellStyle name="Accent4 - 60%" xfId="212"/>
    <cellStyle name="Accent4 - 60% 2" xfId="213"/>
    <cellStyle name="Accent4 - 60% 3" xfId="214"/>
    <cellStyle name="Accent4 - 60% 4" xfId="215"/>
    <cellStyle name="Accent4 - 60% 5" xfId="216"/>
    <cellStyle name="Accent4 - 60% 6" xfId="217"/>
    <cellStyle name="Accent4_7-р" xfId="218"/>
    <cellStyle name="Accent5" xfId="219"/>
    <cellStyle name="Accent5 - 20%" xfId="220"/>
    <cellStyle name="Accent5 - 20% 2" xfId="221"/>
    <cellStyle name="Accent5 - 20% 3" xfId="222"/>
    <cellStyle name="Accent5 - 20% 4" xfId="223"/>
    <cellStyle name="Accent5 - 20% 5" xfId="224"/>
    <cellStyle name="Accent5 - 20% 6" xfId="225"/>
    <cellStyle name="Accent5 - 40%" xfId="226"/>
    <cellStyle name="Accent5 - 60%" xfId="227"/>
    <cellStyle name="Accent5 - 60% 2" xfId="228"/>
    <cellStyle name="Accent5 - 60% 3" xfId="229"/>
    <cellStyle name="Accent5 - 60% 4" xfId="230"/>
    <cellStyle name="Accent5 - 60% 5" xfId="231"/>
    <cellStyle name="Accent5 - 60% 6" xfId="232"/>
    <cellStyle name="Accent5_7-р" xfId="233"/>
    <cellStyle name="Accent6" xfId="234"/>
    <cellStyle name="Accent6 - 20%" xfId="235"/>
    <cellStyle name="Accent6 - 40%" xfId="236"/>
    <cellStyle name="Accent6 - 40% 2" xfId="237"/>
    <cellStyle name="Accent6 - 40% 3" xfId="238"/>
    <cellStyle name="Accent6 - 40% 4" xfId="239"/>
    <cellStyle name="Accent6 - 40% 5" xfId="240"/>
    <cellStyle name="Accent6 - 40% 6" xfId="241"/>
    <cellStyle name="Accent6 - 60%" xfId="242"/>
    <cellStyle name="Accent6 - 60% 2" xfId="243"/>
    <cellStyle name="Accent6 - 60% 3" xfId="244"/>
    <cellStyle name="Accent6 - 60% 4" xfId="245"/>
    <cellStyle name="Accent6 - 60% 5" xfId="246"/>
    <cellStyle name="Accent6 - 60% 6" xfId="247"/>
    <cellStyle name="Accent6_7-р" xfId="248"/>
    <cellStyle name="alternate" xfId="249"/>
    <cellStyle name="Annotations Cell - PerformancePoint" xfId="250"/>
    <cellStyle name="Arial007000001514155735" xfId="251"/>
    <cellStyle name="Arial007000001514155735 2" xfId="252"/>
    <cellStyle name="Arial007000001514155735 2 2" xfId="1039"/>
    <cellStyle name="Arial007000001514155735 2 3" xfId="988"/>
    <cellStyle name="Arial007000001514155735 2 4" xfId="1525"/>
    <cellStyle name="Arial007000001514155735 2 5" xfId="1835"/>
    <cellStyle name="Arial007000001514155735 3" xfId="1040"/>
    <cellStyle name="Arial007000001514155735 4" xfId="986"/>
    <cellStyle name="Arial007000001514155735 5" xfId="1526"/>
    <cellStyle name="Arial007000001514155735 6" xfId="1836"/>
    <cellStyle name="Arial0070000015536870911" xfId="253"/>
    <cellStyle name="Arial0070000015536870911 2" xfId="254"/>
    <cellStyle name="Arial0070000015536870911 2 2" xfId="1037"/>
    <cellStyle name="Arial0070000015536870911 2 3" xfId="990"/>
    <cellStyle name="Arial0070000015536870911 2 4" xfId="1523"/>
    <cellStyle name="Arial0070000015536870911 2 5" xfId="1833"/>
    <cellStyle name="Arial0070000015536870911 3" xfId="1038"/>
    <cellStyle name="Arial0070000015536870911 4" xfId="989"/>
    <cellStyle name="Arial0070000015536870911 5" xfId="1524"/>
    <cellStyle name="Arial0070000015536870911 6" xfId="1834"/>
    <cellStyle name="Arial007000001565535" xfId="255"/>
    <cellStyle name="Arial007000001565535 2" xfId="256"/>
    <cellStyle name="Arial007000001565535 2 2" xfId="1035"/>
    <cellStyle name="Arial007000001565535 2 3" xfId="992"/>
    <cellStyle name="Arial007000001565535 2 4" xfId="1521"/>
    <cellStyle name="Arial007000001565535 2 5" xfId="1831"/>
    <cellStyle name="Arial007000001565535 3" xfId="1036"/>
    <cellStyle name="Arial007000001565535 4" xfId="991"/>
    <cellStyle name="Arial007000001565535 5" xfId="1522"/>
    <cellStyle name="Arial007000001565535 6" xfId="1832"/>
    <cellStyle name="Arial0110010000536870911" xfId="257"/>
    <cellStyle name="Arial01101000015536870911" xfId="258"/>
    <cellStyle name="Arial01101000015536870911 2" xfId="1011"/>
    <cellStyle name="Arial01101000015536870911 3" xfId="1034"/>
    <cellStyle name="Arial01101000015536870911 4" xfId="1500"/>
    <cellStyle name="Arial017010000536870911" xfId="259"/>
    <cellStyle name="Arial018000000536870911" xfId="260"/>
    <cellStyle name="Arial10170100015536870911" xfId="261"/>
    <cellStyle name="Arial10170100015536870911 2" xfId="262"/>
    <cellStyle name="Arial10170100015536870911 2 2" xfId="1032"/>
    <cellStyle name="Arial10170100015536870911 2 3" xfId="994"/>
    <cellStyle name="Arial10170100015536870911 2 4" xfId="1519"/>
    <cellStyle name="Arial10170100015536870911 2 5" xfId="1827"/>
    <cellStyle name="Arial10170100015536870911 3" xfId="1033"/>
    <cellStyle name="Arial10170100015536870911 4" xfId="993"/>
    <cellStyle name="Arial10170100015536870911 5" xfId="1520"/>
    <cellStyle name="Arial10170100015536870911 6" xfId="1830"/>
    <cellStyle name="Arial107000000536870911" xfId="263"/>
    <cellStyle name="Arial107000001514155735" xfId="264"/>
    <cellStyle name="Arial107000001514155735 2" xfId="265"/>
    <cellStyle name="Arial107000001514155735 2 2" xfId="1030"/>
    <cellStyle name="Arial107000001514155735 2 3" xfId="996"/>
    <cellStyle name="Arial107000001514155735 2 4" xfId="1517"/>
    <cellStyle name="Arial107000001514155735 2 5" xfId="1825"/>
    <cellStyle name="Arial107000001514155735 3" xfId="1031"/>
    <cellStyle name="Arial107000001514155735 4" xfId="995"/>
    <cellStyle name="Arial107000001514155735 5" xfId="1518"/>
    <cellStyle name="Arial107000001514155735 6" xfId="1826"/>
    <cellStyle name="Arial107000001514155735FMT" xfId="266"/>
    <cellStyle name="Arial107000001514155735FMT 2" xfId="267"/>
    <cellStyle name="Arial107000001514155735FMT 2 2" xfId="1028"/>
    <cellStyle name="Arial107000001514155735FMT 2 3" xfId="998"/>
    <cellStyle name="Arial107000001514155735FMT 2 4" xfId="1515"/>
    <cellStyle name="Arial107000001514155735FMT 2 5" xfId="1823"/>
    <cellStyle name="Arial107000001514155735FMT 3" xfId="1029"/>
    <cellStyle name="Arial107000001514155735FMT 4" xfId="997"/>
    <cellStyle name="Arial107000001514155735FMT 5" xfId="1516"/>
    <cellStyle name="Arial107000001514155735FMT 6" xfId="1824"/>
    <cellStyle name="Arial1070000015536870911" xfId="268"/>
    <cellStyle name="Arial1070000015536870911 2" xfId="269"/>
    <cellStyle name="Arial1070000015536870911 2 2" xfId="1026"/>
    <cellStyle name="Arial1070000015536870911 2 3" xfId="1000"/>
    <cellStyle name="Arial1070000015536870911 2 4" xfId="1513"/>
    <cellStyle name="Arial1070000015536870911 2 5" xfId="1821"/>
    <cellStyle name="Arial1070000015536870911 3" xfId="1027"/>
    <cellStyle name="Arial1070000015536870911 4" xfId="999"/>
    <cellStyle name="Arial1070000015536870911 5" xfId="1514"/>
    <cellStyle name="Arial1070000015536870911 6" xfId="1822"/>
    <cellStyle name="Arial1070000015536870911FMT" xfId="270"/>
    <cellStyle name="Arial1070000015536870911FMT 2" xfId="271"/>
    <cellStyle name="Arial1070000015536870911FMT 2 2" xfId="1023"/>
    <cellStyle name="Arial1070000015536870911FMT 2 3" xfId="1002"/>
    <cellStyle name="Arial1070000015536870911FMT 2 4" xfId="1511"/>
    <cellStyle name="Arial1070000015536870911FMT 2 5" xfId="1819"/>
    <cellStyle name="Arial1070000015536870911FMT 3" xfId="1025"/>
    <cellStyle name="Arial1070000015536870911FMT 4" xfId="1001"/>
    <cellStyle name="Arial1070000015536870911FMT 5" xfId="1512"/>
    <cellStyle name="Arial1070000015536870911FMT 6" xfId="1820"/>
    <cellStyle name="Arial107000001565535" xfId="272"/>
    <cellStyle name="Arial107000001565535 2" xfId="273"/>
    <cellStyle name="Arial107000001565535 2 2" xfId="1021"/>
    <cellStyle name="Arial107000001565535 2 3" xfId="1004"/>
    <cellStyle name="Arial107000001565535 2 4" xfId="1509"/>
    <cellStyle name="Arial107000001565535 2 5" xfId="1817"/>
    <cellStyle name="Arial107000001565535 3" xfId="1022"/>
    <cellStyle name="Arial107000001565535 4" xfId="1003"/>
    <cellStyle name="Arial107000001565535 5" xfId="1510"/>
    <cellStyle name="Arial107000001565535 6" xfId="1818"/>
    <cellStyle name="Arial107000001565535FMT" xfId="274"/>
    <cellStyle name="Arial107000001565535FMT 2" xfId="275"/>
    <cellStyle name="Arial107000001565535FMT 2 2" xfId="1019"/>
    <cellStyle name="Arial107000001565535FMT 2 3" xfId="1006"/>
    <cellStyle name="Arial107000001565535FMT 2 4" xfId="1507"/>
    <cellStyle name="Arial107000001565535FMT 2 5" xfId="1815"/>
    <cellStyle name="Arial107000001565535FMT 3" xfId="1020"/>
    <cellStyle name="Arial107000001565535FMT 4" xfId="1005"/>
    <cellStyle name="Arial107000001565535FMT 5" xfId="1508"/>
    <cellStyle name="Arial107000001565535FMT 6" xfId="1816"/>
    <cellStyle name="Arial117100000536870911" xfId="276"/>
    <cellStyle name="Arial118000000536870911" xfId="277"/>
    <cellStyle name="Arial2110100000536870911" xfId="278"/>
    <cellStyle name="Arial21101000015536870911" xfId="279"/>
    <cellStyle name="Arial21101000015536870911 2" xfId="1013"/>
    <cellStyle name="Arial21101000015536870911 3" xfId="1018"/>
    <cellStyle name="Arial21101000015536870911 4" xfId="1501"/>
    <cellStyle name="Arial2170000015536870911" xfId="280"/>
    <cellStyle name="Arial2170000015536870911 2" xfId="281"/>
    <cellStyle name="Arial2170000015536870911 2 2" xfId="1016"/>
    <cellStyle name="Arial2170000015536870911 2 3" xfId="1008"/>
    <cellStyle name="Arial2170000015536870911 2 4" xfId="1505"/>
    <cellStyle name="Arial2170000015536870911 2 5" xfId="1813"/>
    <cellStyle name="Arial2170000015536870911 3" xfId="1017"/>
    <cellStyle name="Arial2170000015536870911 4" xfId="1007"/>
    <cellStyle name="Arial2170000015536870911 5" xfId="1506"/>
    <cellStyle name="Arial2170000015536870911 6" xfId="1814"/>
    <cellStyle name="Arial2170000015536870911FMT" xfId="282"/>
    <cellStyle name="Arial2170000015536870911FMT 2" xfId="283"/>
    <cellStyle name="Arial2170000015536870911FMT 2 2" xfId="1014"/>
    <cellStyle name="Arial2170000015536870911FMT 2 3" xfId="1010"/>
    <cellStyle name="Arial2170000015536870911FMT 2 4" xfId="1503"/>
    <cellStyle name="Arial2170000015536870911FMT 2 5" xfId="1811"/>
    <cellStyle name="Arial2170000015536870911FMT 3" xfId="1015"/>
    <cellStyle name="Arial2170000015536870911FMT 4" xfId="1009"/>
    <cellStyle name="Arial2170000015536870911FMT 5" xfId="1504"/>
    <cellStyle name="Arial2170000015536870911FMT 6" xfId="1812"/>
    <cellStyle name="Bad" xfId="284"/>
    <cellStyle name="Calc Currency (0)" xfId="285"/>
    <cellStyle name="Calc Currency (2)" xfId="286"/>
    <cellStyle name="Calc Percent (0)" xfId="287"/>
    <cellStyle name="Calc Percent (1)" xfId="288"/>
    <cellStyle name="Calc Percent (2)" xfId="289"/>
    <cellStyle name="Calc Units (0)" xfId="290"/>
    <cellStyle name="Calc Units (1)" xfId="291"/>
    <cellStyle name="Calc Units (2)" xfId="292"/>
    <cellStyle name="Calculation" xfId="293"/>
    <cellStyle name="Calculation 2" xfId="1024"/>
    <cellStyle name="Calculation 3" xfId="1012"/>
    <cellStyle name="Calculation 4" xfId="1502"/>
    <cellStyle name="Check Cell" xfId="294"/>
    <cellStyle name="Comma [0]" xfId="295"/>
    <cellStyle name="Comma [00]" xfId="296"/>
    <cellStyle name="Comma 2" xfId="297"/>
    <cellStyle name="Comma 3" xfId="298"/>
    <cellStyle name="Comma_Generation Model final - 27-06-2005" xfId="299"/>
    <cellStyle name="Comma0" xfId="300"/>
    <cellStyle name="Currency [0]" xfId="301"/>
    <cellStyle name="Currency [00]" xfId="302"/>
    <cellStyle name="Currency_laroux" xfId="303"/>
    <cellStyle name="Data Cell - PerformancePoint" xfId="304"/>
    <cellStyle name="Data Entry Cell - PerformancePoint" xfId="305"/>
    <cellStyle name="Date" xfId="306"/>
    <cellStyle name="Date Short" xfId="307"/>
    <cellStyle name="Default" xfId="308"/>
    <cellStyle name="Dezimal [0]_PERSONAL" xfId="309"/>
    <cellStyle name="Dezimal_PERSONAL" xfId="310"/>
    <cellStyle name="done" xfId="311"/>
    <cellStyle name="Dziesiêtny [0]_1" xfId="312"/>
    <cellStyle name="Dziesiêtny_1" xfId="313"/>
    <cellStyle name="Emphasis 1" xfId="314"/>
    <cellStyle name="Emphasis 1 2" xfId="315"/>
    <cellStyle name="Emphasis 1 3" xfId="316"/>
    <cellStyle name="Emphasis 1 4" xfId="317"/>
    <cellStyle name="Emphasis 1 5" xfId="318"/>
    <cellStyle name="Emphasis 1 6" xfId="319"/>
    <cellStyle name="Emphasis 2" xfId="320"/>
    <cellStyle name="Emphasis 2 2" xfId="321"/>
    <cellStyle name="Emphasis 2 3" xfId="322"/>
    <cellStyle name="Emphasis 2 4" xfId="323"/>
    <cellStyle name="Emphasis 2 5" xfId="324"/>
    <cellStyle name="Emphasis 2 6" xfId="325"/>
    <cellStyle name="Emphasis 3" xfId="326"/>
    <cellStyle name="Enter Currency (0)" xfId="327"/>
    <cellStyle name="Enter Currency (2)" xfId="328"/>
    <cellStyle name="Enter Units (0)" xfId="329"/>
    <cellStyle name="Enter Units (1)" xfId="330"/>
    <cellStyle name="Enter Units (2)" xfId="331"/>
    <cellStyle name="Euro" xfId="332"/>
    <cellStyle name="Explanatory Text" xfId="333"/>
    <cellStyle name="Good" xfId="334"/>
    <cellStyle name="Good 2" xfId="335"/>
    <cellStyle name="Good 3" xfId="336"/>
    <cellStyle name="Good 4" xfId="337"/>
    <cellStyle name="Good_7-р_Из_Системы" xfId="338"/>
    <cellStyle name="Grey" xfId="339"/>
    <cellStyle name="Header1" xfId="340"/>
    <cellStyle name="Header2" xfId="341"/>
    <cellStyle name="Header2 2" xfId="1042"/>
    <cellStyle name="Header2 3" xfId="987"/>
    <cellStyle name="Header2 4" xfId="1041"/>
    <cellStyle name="Header2 5" xfId="1499"/>
    <cellStyle name="Header2 6" xfId="1490"/>
    <cellStyle name="Header2 7" xfId="1861"/>
    <cellStyle name="Heading 1" xfId="342"/>
    <cellStyle name="Heading 2" xfId="343"/>
    <cellStyle name="Heading 3" xfId="344"/>
    <cellStyle name="Heading 3 2" xfId="985"/>
    <cellStyle name="Heading 3 3" xfId="1468"/>
    <cellStyle name="Heading 3 4" xfId="1498"/>
    <cellStyle name="Heading 3 5" xfId="1491"/>
    <cellStyle name="Heading 3 6" xfId="1488"/>
    <cellStyle name="Heading 3 7" xfId="1862"/>
    <cellStyle name="Heading 3 8" xfId="1860"/>
    <cellStyle name="Heading 3 9" xfId="1863"/>
    <cellStyle name="Heading 4" xfId="345"/>
    <cellStyle name="Hyperlink_Info gathering example (hydro)" xfId="346"/>
    <cellStyle name="Iau?iue_?iardu1999a" xfId="347"/>
    <cellStyle name="Input" xfId="348"/>
    <cellStyle name="Input [yellow]" xfId="349"/>
    <cellStyle name="Input [yellow] 2" xfId="983"/>
    <cellStyle name="Input [yellow] 3" xfId="1044"/>
    <cellStyle name="Input [yellow] 4" xfId="1496"/>
    <cellStyle name="Input [yellow] 5" xfId="1493"/>
    <cellStyle name="Input 2" xfId="984"/>
    <cellStyle name="Input 3" xfId="1043"/>
    <cellStyle name="Input 4" xfId="1297"/>
    <cellStyle name="Input 5" xfId="1497"/>
    <cellStyle name="Input 6" xfId="1492"/>
    <cellStyle name="Input 7" xfId="1495"/>
    <cellStyle name="Input 8" xfId="1489"/>
    <cellStyle name="Link Currency (0)" xfId="350"/>
    <cellStyle name="Link Currency (2)" xfId="351"/>
    <cellStyle name="Link Units (0)" xfId="352"/>
    <cellStyle name="Link Units (1)" xfId="353"/>
    <cellStyle name="Link Units (2)" xfId="354"/>
    <cellStyle name="Linked Cell" xfId="355"/>
    <cellStyle name="Locked Cell - PerformancePoint" xfId="356"/>
    <cellStyle name="Neutral" xfId="357"/>
    <cellStyle name="Neutral 2" xfId="358"/>
    <cellStyle name="Neutral 3" xfId="359"/>
    <cellStyle name="Neutral 4" xfId="360"/>
    <cellStyle name="Neutral_7-р_Из_Системы" xfId="361"/>
    <cellStyle name="Norma11l" xfId="362"/>
    <cellStyle name="Normal - Style1" xfId="363"/>
    <cellStyle name="Normal 2" xfId="364"/>
    <cellStyle name="Normal 3" xfId="365"/>
    <cellStyle name="Normal 4" xfId="366"/>
    <cellStyle name="Normal 5" xfId="367"/>
    <cellStyle name="Normal_! Приложение_Сбор инфо" xfId="368"/>
    <cellStyle name="Normal1" xfId="369"/>
    <cellStyle name="normální_Rozvaha - aktiva" xfId="370"/>
    <cellStyle name="Normalny_0" xfId="371"/>
    <cellStyle name="normбlnм_laroux" xfId="372"/>
    <cellStyle name="Note" xfId="373"/>
    <cellStyle name="Note 2" xfId="374"/>
    <cellStyle name="Note 2 2" xfId="1046"/>
    <cellStyle name="Note 2 3" xfId="981"/>
    <cellStyle name="Note 2 4" xfId="1530"/>
    <cellStyle name="Note 3" xfId="375"/>
    <cellStyle name="Note 3 2" xfId="1047"/>
    <cellStyle name="Note 3 3" xfId="980"/>
    <cellStyle name="Note 3 4" xfId="1531"/>
    <cellStyle name="Note 4" xfId="376"/>
    <cellStyle name="Note 4 2" xfId="1048"/>
    <cellStyle name="Note 4 3" xfId="979"/>
    <cellStyle name="Note 4 4" xfId="1532"/>
    <cellStyle name="Note 5" xfId="1045"/>
    <cellStyle name="Note 6" xfId="982"/>
    <cellStyle name="Note 7" xfId="1529"/>
    <cellStyle name="Note_7-р_Из_Системы" xfId="377"/>
    <cellStyle name="Nun??c [0]_Ecnn1" xfId="378"/>
    <cellStyle name="Nun??c_Ecnn1" xfId="379"/>
    <cellStyle name="Ociriniaue [0]_laroux" xfId="380"/>
    <cellStyle name="Ociriniaue_laroux" xfId="381"/>
    <cellStyle name="Output" xfId="382"/>
    <cellStyle name="Output 2" xfId="1049"/>
    <cellStyle name="Output 3" xfId="978"/>
    <cellStyle name="Output 4" xfId="1533"/>
    <cellStyle name="Percent [0]" xfId="383"/>
    <cellStyle name="Percent [00]" xfId="384"/>
    <cellStyle name="Percent [2]" xfId="385"/>
    <cellStyle name="Percent 2" xfId="386"/>
    <cellStyle name="Percent 3" xfId="387"/>
    <cellStyle name="PrePop Currency (0)" xfId="388"/>
    <cellStyle name="PrePop Currency (2)" xfId="389"/>
    <cellStyle name="PrePop Units (0)" xfId="390"/>
    <cellStyle name="PrePop Units (1)" xfId="391"/>
    <cellStyle name="PrePop Units (2)" xfId="392"/>
    <cellStyle name="Price_Body" xfId="393"/>
    <cellStyle name="SAPBEXaggData" xfId="394"/>
    <cellStyle name="SAPBEXaggData 2" xfId="395"/>
    <cellStyle name="SAPBEXaggData 2 2" xfId="1051"/>
    <cellStyle name="SAPBEXaggData 2 3" xfId="976"/>
    <cellStyle name="SAPBEXaggData 2 4" xfId="1544"/>
    <cellStyle name="SAPBEXaggData 3" xfId="396"/>
    <cellStyle name="SAPBEXaggData 3 2" xfId="1052"/>
    <cellStyle name="SAPBEXaggData 3 3" xfId="975"/>
    <cellStyle name="SAPBEXaggData 3 4" xfId="1545"/>
    <cellStyle name="SAPBEXaggData 4" xfId="397"/>
    <cellStyle name="SAPBEXaggData 4 2" xfId="1053"/>
    <cellStyle name="SAPBEXaggData 4 3" xfId="974"/>
    <cellStyle name="SAPBEXaggData 4 4" xfId="1546"/>
    <cellStyle name="SAPBEXaggData 5" xfId="398"/>
    <cellStyle name="SAPBEXaggData 5 2" xfId="1054"/>
    <cellStyle name="SAPBEXaggData 5 3" xfId="973"/>
    <cellStyle name="SAPBEXaggData 5 4" xfId="1547"/>
    <cellStyle name="SAPBEXaggData 6" xfId="399"/>
    <cellStyle name="SAPBEXaggData 6 2" xfId="1055"/>
    <cellStyle name="SAPBEXaggData 6 3" xfId="972"/>
    <cellStyle name="SAPBEXaggData 6 4" xfId="1548"/>
    <cellStyle name="SAPBEXaggData 7" xfId="1050"/>
    <cellStyle name="SAPBEXaggData 8" xfId="977"/>
    <cellStyle name="SAPBEXaggData 9" xfId="1543"/>
    <cellStyle name="SAPBEXaggDataEmph" xfId="400"/>
    <cellStyle name="SAPBEXaggDataEmph 2" xfId="401"/>
    <cellStyle name="SAPBEXaggDataEmph 2 2" xfId="1057"/>
    <cellStyle name="SAPBEXaggDataEmph 2 3" xfId="970"/>
    <cellStyle name="SAPBEXaggDataEmph 2 4" xfId="1550"/>
    <cellStyle name="SAPBEXaggDataEmph 3" xfId="402"/>
    <cellStyle name="SAPBEXaggDataEmph 3 2" xfId="1058"/>
    <cellStyle name="SAPBEXaggDataEmph 3 3" xfId="969"/>
    <cellStyle name="SAPBEXaggDataEmph 3 4" xfId="1551"/>
    <cellStyle name="SAPBEXaggDataEmph 4" xfId="403"/>
    <cellStyle name="SAPBEXaggDataEmph 4 2" xfId="1059"/>
    <cellStyle name="SAPBEXaggDataEmph 4 3" xfId="968"/>
    <cellStyle name="SAPBEXaggDataEmph 4 4" xfId="1552"/>
    <cellStyle name="SAPBEXaggDataEmph 5" xfId="404"/>
    <cellStyle name="SAPBEXaggDataEmph 5 2" xfId="1060"/>
    <cellStyle name="SAPBEXaggDataEmph 5 3" xfId="967"/>
    <cellStyle name="SAPBEXaggDataEmph 5 4" xfId="1553"/>
    <cellStyle name="SAPBEXaggDataEmph 6" xfId="405"/>
    <cellStyle name="SAPBEXaggDataEmph 6 2" xfId="1061"/>
    <cellStyle name="SAPBEXaggDataEmph 6 3" xfId="966"/>
    <cellStyle name="SAPBEXaggDataEmph 6 4" xfId="1554"/>
    <cellStyle name="SAPBEXaggDataEmph 7" xfId="1056"/>
    <cellStyle name="SAPBEXaggDataEmph 8" xfId="971"/>
    <cellStyle name="SAPBEXaggDataEmph 9" xfId="1549"/>
    <cellStyle name="SAPBEXaggItem" xfId="406"/>
    <cellStyle name="SAPBEXaggItem 2" xfId="407"/>
    <cellStyle name="SAPBEXaggItem 2 2" xfId="1063"/>
    <cellStyle name="SAPBEXaggItem 2 3" xfId="964"/>
    <cellStyle name="SAPBEXaggItem 2 4" xfId="1556"/>
    <cellStyle name="SAPBEXaggItem 3" xfId="408"/>
    <cellStyle name="SAPBEXaggItem 3 2" xfId="1064"/>
    <cellStyle name="SAPBEXaggItem 3 3" xfId="963"/>
    <cellStyle name="SAPBEXaggItem 3 4" xfId="1557"/>
    <cellStyle name="SAPBEXaggItem 4" xfId="409"/>
    <cellStyle name="SAPBEXaggItem 4 2" xfId="1065"/>
    <cellStyle name="SAPBEXaggItem 4 3" xfId="962"/>
    <cellStyle name="SAPBEXaggItem 4 4" xfId="1558"/>
    <cellStyle name="SAPBEXaggItem 5" xfId="410"/>
    <cellStyle name="SAPBEXaggItem 5 2" xfId="1066"/>
    <cellStyle name="SAPBEXaggItem 5 3" xfId="961"/>
    <cellStyle name="SAPBEXaggItem 5 4" xfId="1559"/>
    <cellStyle name="SAPBEXaggItem 6" xfId="411"/>
    <cellStyle name="SAPBEXaggItem 6 2" xfId="1067"/>
    <cellStyle name="SAPBEXaggItem 6 3" xfId="960"/>
    <cellStyle name="SAPBEXaggItem 6 4" xfId="1560"/>
    <cellStyle name="SAPBEXaggItem 7" xfId="1062"/>
    <cellStyle name="SAPBEXaggItem 8" xfId="965"/>
    <cellStyle name="SAPBEXaggItem 9" xfId="1555"/>
    <cellStyle name="SAPBEXaggItemX" xfId="412"/>
    <cellStyle name="SAPBEXaggItemX 2" xfId="413"/>
    <cellStyle name="SAPBEXaggItemX 2 2" xfId="1069"/>
    <cellStyle name="SAPBEXaggItemX 2 3" xfId="958"/>
    <cellStyle name="SAPBEXaggItemX 2 4" xfId="1562"/>
    <cellStyle name="SAPBEXaggItemX 3" xfId="414"/>
    <cellStyle name="SAPBEXaggItemX 3 2" xfId="1070"/>
    <cellStyle name="SAPBEXaggItemX 3 3" xfId="957"/>
    <cellStyle name="SAPBEXaggItemX 3 4" xfId="1563"/>
    <cellStyle name="SAPBEXaggItemX 4" xfId="415"/>
    <cellStyle name="SAPBEXaggItemX 4 2" xfId="1071"/>
    <cellStyle name="SAPBEXaggItemX 4 3" xfId="956"/>
    <cellStyle name="SAPBEXaggItemX 4 4" xfId="1564"/>
    <cellStyle name="SAPBEXaggItemX 5" xfId="416"/>
    <cellStyle name="SAPBEXaggItemX 5 2" xfId="1072"/>
    <cellStyle name="SAPBEXaggItemX 5 3" xfId="955"/>
    <cellStyle name="SAPBEXaggItemX 5 4" xfId="1565"/>
    <cellStyle name="SAPBEXaggItemX 6" xfId="417"/>
    <cellStyle name="SAPBEXaggItemX 6 2" xfId="1073"/>
    <cellStyle name="SAPBEXaggItemX 6 3" xfId="954"/>
    <cellStyle name="SAPBEXaggItemX 6 4" xfId="1566"/>
    <cellStyle name="SAPBEXaggItemX 7" xfId="1068"/>
    <cellStyle name="SAPBEXaggItemX 8" xfId="959"/>
    <cellStyle name="SAPBEXaggItemX 9" xfId="1561"/>
    <cellStyle name="SAPBEXchaText" xfId="418"/>
    <cellStyle name="SAPBEXchaText 2" xfId="419"/>
    <cellStyle name="SAPBEXchaText 2 2" xfId="1074"/>
    <cellStyle name="SAPBEXchaText 2 3" xfId="953"/>
    <cellStyle name="SAPBEXchaText 2 4" xfId="1568"/>
    <cellStyle name="SAPBEXchaText 3" xfId="420"/>
    <cellStyle name="SAPBEXchaText 3 2" xfId="1075"/>
    <cellStyle name="SAPBEXchaText 3 3" xfId="952"/>
    <cellStyle name="SAPBEXchaText 3 4" xfId="1569"/>
    <cellStyle name="SAPBEXchaText 4" xfId="421"/>
    <cellStyle name="SAPBEXchaText 4 2" xfId="1076"/>
    <cellStyle name="SAPBEXchaText 4 3" xfId="951"/>
    <cellStyle name="SAPBEXchaText 4 4" xfId="1570"/>
    <cellStyle name="SAPBEXchaText 5" xfId="422"/>
    <cellStyle name="SAPBEXchaText 5 2" xfId="1077"/>
    <cellStyle name="SAPBEXchaText 5 3" xfId="950"/>
    <cellStyle name="SAPBEXchaText 5 4" xfId="1571"/>
    <cellStyle name="SAPBEXchaText 6" xfId="423"/>
    <cellStyle name="SAPBEXchaText 6 2" xfId="1078"/>
    <cellStyle name="SAPBEXchaText 6 3" xfId="949"/>
    <cellStyle name="SAPBEXchaText 6 4" xfId="1572"/>
    <cellStyle name="SAPBEXchaText_Приложение_1_к_7-у-о_2009_Кв_1_ФСТ" xfId="424"/>
    <cellStyle name="SAPBEXexcBad7" xfId="425"/>
    <cellStyle name="SAPBEXexcBad7 2" xfId="426"/>
    <cellStyle name="SAPBEXexcBad7 2 2" xfId="1080"/>
    <cellStyle name="SAPBEXexcBad7 2 3" xfId="948"/>
    <cellStyle name="SAPBEXexcBad7 2 4" xfId="1574"/>
    <cellStyle name="SAPBEXexcBad7 3" xfId="427"/>
    <cellStyle name="SAPBEXexcBad7 3 2" xfId="1081"/>
    <cellStyle name="SAPBEXexcBad7 3 3" xfId="945"/>
    <cellStyle name="SAPBEXexcBad7 3 4" xfId="1575"/>
    <cellStyle name="SAPBEXexcBad7 4" xfId="428"/>
    <cellStyle name="SAPBEXexcBad7 4 2" xfId="1082"/>
    <cellStyle name="SAPBEXexcBad7 4 3" xfId="946"/>
    <cellStyle name="SAPBEXexcBad7 4 4" xfId="1576"/>
    <cellStyle name="SAPBEXexcBad7 5" xfId="429"/>
    <cellStyle name="SAPBEXexcBad7 5 2" xfId="1083"/>
    <cellStyle name="SAPBEXexcBad7 5 3" xfId="943"/>
    <cellStyle name="SAPBEXexcBad7 5 4" xfId="1577"/>
    <cellStyle name="SAPBEXexcBad7 6" xfId="430"/>
    <cellStyle name="SAPBEXexcBad7 6 2" xfId="1084"/>
    <cellStyle name="SAPBEXexcBad7 6 3" xfId="944"/>
    <cellStyle name="SAPBEXexcBad7 6 4" xfId="1578"/>
    <cellStyle name="SAPBEXexcBad7 7" xfId="1079"/>
    <cellStyle name="SAPBEXexcBad7 8" xfId="947"/>
    <cellStyle name="SAPBEXexcBad7 9" xfId="1573"/>
    <cellStyle name="SAPBEXexcBad8" xfId="431"/>
    <cellStyle name="SAPBEXexcBad8 2" xfId="432"/>
    <cellStyle name="SAPBEXexcBad8 2 2" xfId="1086"/>
    <cellStyle name="SAPBEXexcBad8 2 3" xfId="942"/>
    <cellStyle name="SAPBEXexcBad8 2 4" xfId="1580"/>
    <cellStyle name="SAPBEXexcBad8 3" xfId="433"/>
    <cellStyle name="SAPBEXexcBad8 3 2" xfId="1087"/>
    <cellStyle name="SAPBEXexcBad8 3 3" xfId="939"/>
    <cellStyle name="SAPBEXexcBad8 3 4" xfId="1581"/>
    <cellStyle name="SAPBEXexcBad8 4" xfId="434"/>
    <cellStyle name="SAPBEXexcBad8 4 2" xfId="1088"/>
    <cellStyle name="SAPBEXexcBad8 4 3" xfId="940"/>
    <cellStyle name="SAPBEXexcBad8 4 4" xfId="1582"/>
    <cellStyle name="SAPBEXexcBad8 5" xfId="435"/>
    <cellStyle name="SAPBEXexcBad8 5 2" xfId="1089"/>
    <cellStyle name="SAPBEXexcBad8 5 3" xfId="938"/>
    <cellStyle name="SAPBEXexcBad8 5 4" xfId="1583"/>
    <cellStyle name="SAPBEXexcBad8 6" xfId="436"/>
    <cellStyle name="SAPBEXexcBad8 6 2" xfId="1090"/>
    <cellStyle name="SAPBEXexcBad8 6 3" xfId="937"/>
    <cellStyle name="SAPBEXexcBad8 6 4" xfId="1584"/>
    <cellStyle name="SAPBEXexcBad8 7" xfId="1085"/>
    <cellStyle name="SAPBEXexcBad8 8" xfId="941"/>
    <cellStyle name="SAPBEXexcBad8 9" xfId="1579"/>
    <cellStyle name="SAPBEXexcBad9" xfId="437"/>
    <cellStyle name="SAPBEXexcBad9 2" xfId="438"/>
    <cellStyle name="SAPBEXexcBad9 2 2" xfId="1092"/>
    <cellStyle name="SAPBEXexcBad9 2 3" xfId="935"/>
    <cellStyle name="SAPBEXexcBad9 2 4" xfId="1586"/>
    <cellStyle name="SAPBEXexcBad9 3" xfId="439"/>
    <cellStyle name="SAPBEXexcBad9 3 2" xfId="1093"/>
    <cellStyle name="SAPBEXexcBad9 3 3" xfId="934"/>
    <cellStyle name="SAPBEXexcBad9 3 4" xfId="1587"/>
    <cellStyle name="SAPBEXexcBad9 4" xfId="440"/>
    <cellStyle name="SAPBEXexcBad9 4 2" xfId="1094"/>
    <cellStyle name="SAPBEXexcBad9 4 3" xfId="933"/>
    <cellStyle name="SAPBEXexcBad9 4 4" xfId="1588"/>
    <cellStyle name="SAPBEXexcBad9 5" xfId="441"/>
    <cellStyle name="SAPBEXexcBad9 5 2" xfId="1095"/>
    <cellStyle name="SAPBEXexcBad9 5 3" xfId="930"/>
    <cellStyle name="SAPBEXexcBad9 5 4" xfId="1589"/>
    <cellStyle name="SAPBEXexcBad9 6" xfId="442"/>
    <cellStyle name="SAPBEXexcBad9 6 2" xfId="1096"/>
    <cellStyle name="SAPBEXexcBad9 6 3" xfId="932"/>
    <cellStyle name="SAPBEXexcBad9 6 4" xfId="1590"/>
    <cellStyle name="SAPBEXexcBad9 7" xfId="1091"/>
    <cellStyle name="SAPBEXexcBad9 8" xfId="936"/>
    <cellStyle name="SAPBEXexcBad9 9" xfId="1585"/>
    <cellStyle name="SAPBEXexcCritical4" xfId="443"/>
    <cellStyle name="SAPBEXexcCritical4 2" xfId="444"/>
    <cellStyle name="SAPBEXexcCritical4 2 2" xfId="1098"/>
    <cellStyle name="SAPBEXexcCritical4 2 3" xfId="927"/>
    <cellStyle name="SAPBEXexcCritical4 2 4" xfId="1592"/>
    <cellStyle name="SAPBEXexcCritical4 3" xfId="445"/>
    <cellStyle name="SAPBEXexcCritical4 3 2" xfId="1099"/>
    <cellStyle name="SAPBEXexcCritical4 3 3" xfId="929"/>
    <cellStyle name="SAPBEXexcCritical4 3 4" xfId="1593"/>
    <cellStyle name="SAPBEXexcCritical4 4" xfId="446"/>
    <cellStyle name="SAPBEXexcCritical4 4 2" xfId="1100"/>
    <cellStyle name="SAPBEXexcCritical4 4 3" xfId="928"/>
    <cellStyle name="SAPBEXexcCritical4 4 4" xfId="1594"/>
    <cellStyle name="SAPBEXexcCritical4 5" xfId="447"/>
    <cellStyle name="SAPBEXexcCritical4 5 2" xfId="1101"/>
    <cellStyle name="SAPBEXexcCritical4 5 3" xfId="924"/>
    <cellStyle name="SAPBEXexcCritical4 5 4" xfId="1595"/>
    <cellStyle name="SAPBEXexcCritical4 6" xfId="448"/>
    <cellStyle name="SAPBEXexcCritical4 6 2" xfId="1102"/>
    <cellStyle name="SAPBEXexcCritical4 6 3" xfId="926"/>
    <cellStyle name="SAPBEXexcCritical4 6 4" xfId="1596"/>
    <cellStyle name="SAPBEXexcCritical4 7" xfId="1097"/>
    <cellStyle name="SAPBEXexcCritical4 8" xfId="931"/>
    <cellStyle name="SAPBEXexcCritical4 9" xfId="1591"/>
    <cellStyle name="SAPBEXexcCritical5" xfId="449"/>
    <cellStyle name="SAPBEXexcCritical5 2" xfId="450"/>
    <cellStyle name="SAPBEXexcCritical5 2 2" xfId="1104"/>
    <cellStyle name="SAPBEXexcCritical5 2 3" xfId="921"/>
    <cellStyle name="SAPBEXexcCritical5 2 4" xfId="1598"/>
    <cellStyle name="SAPBEXexcCritical5 3" xfId="451"/>
    <cellStyle name="SAPBEXexcCritical5 3 2" xfId="1105"/>
    <cellStyle name="SAPBEXexcCritical5 3 3" xfId="923"/>
    <cellStyle name="SAPBEXexcCritical5 3 4" xfId="1599"/>
    <cellStyle name="SAPBEXexcCritical5 4" xfId="452"/>
    <cellStyle name="SAPBEXexcCritical5 4 2" xfId="1106"/>
    <cellStyle name="SAPBEXexcCritical5 4 3" xfId="922"/>
    <cellStyle name="SAPBEXexcCritical5 4 4" xfId="1600"/>
    <cellStyle name="SAPBEXexcCritical5 5" xfId="453"/>
    <cellStyle name="SAPBEXexcCritical5 5 2" xfId="1107"/>
    <cellStyle name="SAPBEXexcCritical5 5 3" xfId="918"/>
    <cellStyle name="SAPBEXexcCritical5 5 4" xfId="1601"/>
    <cellStyle name="SAPBEXexcCritical5 6" xfId="454"/>
    <cellStyle name="SAPBEXexcCritical5 6 2" xfId="1108"/>
    <cellStyle name="SAPBEXexcCritical5 6 3" xfId="920"/>
    <cellStyle name="SAPBEXexcCritical5 6 4" xfId="1602"/>
    <cellStyle name="SAPBEXexcCritical5 7" xfId="1103"/>
    <cellStyle name="SAPBEXexcCritical5 8" xfId="925"/>
    <cellStyle name="SAPBEXexcCritical5 9" xfId="1597"/>
    <cellStyle name="SAPBEXexcCritical6" xfId="455"/>
    <cellStyle name="SAPBEXexcCritical6 2" xfId="456"/>
    <cellStyle name="SAPBEXexcCritical6 2 2" xfId="1110"/>
    <cellStyle name="SAPBEXexcCritical6 2 3" xfId="915"/>
    <cellStyle name="SAPBEXexcCritical6 2 4" xfId="1604"/>
    <cellStyle name="SAPBEXexcCritical6 3" xfId="457"/>
    <cellStyle name="SAPBEXexcCritical6 3 2" xfId="1111"/>
    <cellStyle name="SAPBEXexcCritical6 3 3" xfId="917"/>
    <cellStyle name="SAPBEXexcCritical6 3 4" xfId="1605"/>
    <cellStyle name="SAPBEXexcCritical6 4" xfId="458"/>
    <cellStyle name="SAPBEXexcCritical6 4 2" xfId="1112"/>
    <cellStyle name="SAPBEXexcCritical6 4 3" xfId="916"/>
    <cellStyle name="SAPBEXexcCritical6 4 4" xfId="1606"/>
    <cellStyle name="SAPBEXexcCritical6 5" xfId="459"/>
    <cellStyle name="SAPBEXexcCritical6 5 2" xfId="1113"/>
    <cellStyle name="SAPBEXexcCritical6 5 3" xfId="914"/>
    <cellStyle name="SAPBEXexcCritical6 5 4" xfId="1607"/>
    <cellStyle name="SAPBEXexcCritical6 6" xfId="460"/>
    <cellStyle name="SAPBEXexcCritical6 6 2" xfId="1114"/>
    <cellStyle name="SAPBEXexcCritical6 6 3" xfId="913"/>
    <cellStyle name="SAPBEXexcCritical6 6 4" xfId="1608"/>
    <cellStyle name="SAPBEXexcCritical6 7" xfId="1109"/>
    <cellStyle name="SAPBEXexcCritical6 8" xfId="919"/>
    <cellStyle name="SAPBEXexcCritical6 9" xfId="1603"/>
    <cellStyle name="SAPBEXexcGood1" xfId="461"/>
    <cellStyle name="SAPBEXexcGood1 2" xfId="462"/>
    <cellStyle name="SAPBEXexcGood1 2 2" xfId="1116"/>
    <cellStyle name="SAPBEXexcGood1 2 3" xfId="911"/>
    <cellStyle name="SAPBEXexcGood1 2 4" xfId="1610"/>
    <cellStyle name="SAPBEXexcGood1 3" xfId="463"/>
    <cellStyle name="SAPBEXexcGood1 3 2" xfId="1117"/>
    <cellStyle name="SAPBEXexcGood1 3 3" xfId="910"/>
    <cellStyle name="SAPBEXexcGood1 3 4" xfId="1611"/>
    <cellStyle name="SAPBEXexcGood1 4" xfId="464"/>
    <cellStyle name="SAPBEXexcGood1 4 2" xfId="1118"/>
    <cellStyle name="SAPBEXexcGood1 4 3" xfId="909"/>
    <cellStyle name="SAPBEXexcGood1 4 4" xfId="1612"/>
    <cellStyle name="SAPBEXexcGood1 5" xfId="465"/>
    <cellStyle name="SAPBEXexcGood1 5 2" xfId="1119"/>
    <cellStyle name="SAPBEXexcGood1 5 3" xfId="906"/>
    <cellStyle name="SAPBEXexcGood1 5 4" xfId="1613"/>
    <cellStyle name="SAPBEXexcGood1 6" xfId="466"/>
    <cellStyle name="SAPBEXexcGood1 6 2" xfId="1120"/>
    <cellStyle name="SAPBEXexcGood1 6 3" xfId="908"/>
    <cellStyle name="SAPBEXexcGood1 6 4" xfId="1614"/>
    <cellStyle name="SAPBEXexcGood1 7" xfId="1115"/>
    <cellStyle name="SAPBEXexcGood1 8" xfId="912"/>
    <cellStyle name="SAPBEXexcGood1 9" xfId="1609"/>
    <cellStyle name="SAPBEXexcGood2" xfId="467"/>
    <cellStyle name="SAPBEXexcGood2 2" xfId="468"/>
    <cellStyle name="SAPBEXexcGood2 2 2" xfId="1122"/>
    <cellStyle name="SAPBEXexcGood2 2 3" xfId="903"/>
    <cellStyle name="SAPBEXexcGood2 2 4" xfId="1616"/>
    <cellStyle name="SAPBEXexcGood2 3" xfId="469"/>
    <cellStyle name="SAPBEXexcGood2 3 2" xfId="1123"/>
    <cellStyle name="SAPBEXexcGood2 3 3" xfId="905"/>
    <cellStyle name="SAPBEXexcGood2 3 4" xfId="1617"/>
    <cellStyle name="SAPBEXexcGood2 4" xfId="470"/>
    <cellStyle name="SAPBEXexcGood2 4 2" xfId="1124"/>
    <cellStyle name="SAPBEXexcGood2 4 3" xfId="904"/>
    <cellStyle name="SAPBEXexcGood2 4 4" xfId="1618"/>
    <cellStyle name="SAPBEXexcGood2 5" xfId="471"/>
    <cellStyle name="SAPBEXexcGood2 5 2" xfId="1125"/>
    <cellStyle name="SAPBEXexcGood2 5 3" xfId="900"/>
    <cellStyle name="SAPBEXexcGood2 5 4" xfId="1619"/>
    <cellStyle name="SAPBEXexcGood2 6" xfId="472"/>
    <cellStyle name="SAPBEXexcGood2 6 2" xfId="1126"/>
    <cellStyle name="SAPBEXexcGood2 6 3" xfId="902"/>
    <cellStyle name="SAPBEXexcGood2 6 4" xfId="1620"/>
    <cellStyle name="SAPBEXexcGood2 7" xfId="1121"/>
    <cellStyle name="SAPBEXexcGood2 8" xfId="907"/>
    <cellStyle name="SAPBEXexcGood2 9" xfId="1615"/>
    <cellStyle name="SAPBEXexcGood3" xfId="473"/>
    <cellStyle name="SAPBEXexcGood3 2" xfId="474"/>
    <cellStyle name="SAPBEXexcGood3 2 2" xfId="1128"/>
    <cellStyle name="SAPBEXexcGood3 2 3" xfId="897"/>
    <cellStyle name="SAPBEXexcGood3 2 4" xfId="1622"/>
    <cellStyle name="SAPBEXexcGood3 3" xfId="475"/>
    <cellStyle name="SAPBEXexcGood3 3 2" xfId="1129"/>
    <cellStyle name="SAPBEXexcGood3 3 3" xfId="899"/>
    <cellStyle name="SAPBEXexcGood3 3 4" xfId="1623"/>
    <cellStyle name="SAPBEXexcGood3 4" xfId="476"/>
    <cellStyle name="SAPBEXexcGood3 4 2" xfId="1130"/>
    <cellStyle name="SAPBEXexcGood3 4 3" xfId="898"/>
    <cellStyle name="SAPBEXexcGood3 4 4" xfId="1624"/>
    <cellStyle name="SAPBEXexcGood3 5" xfId="477"/>
    <cellStyle name="SAPBEXexcGood3 5 2" xfId="1131"/>
    <cellStyle name="SAPBEXexcGood3 5 3" xfId="894"/>
    <cellStyle name="SAPBEXexcGood3 5 4" xfId="1625"/>
    <cellStyle name="SAPBEXexcGood3 6" xfId="478"/>
    <cellStyle name="SAPBEXexcGood3 6 2" xfId="1132"/>
    <cellStyle name="SAPBEXexcGood3 6 3" xfId="896"/>
    <cellStyle name="SAPBEXexcGood3 6 4" xfId="1626"/>
    <cellStyle name="SAPBEXexcGood3 7" xfId="1127"/>
    <cellStyle name="SAPBEXexcGood3 8" xfId="901"/>
    <cellStyle name="SAPBEXexcGood3 9" xfId="1621"/>
    <cellStyle name="SAPBEXfilterDrill" xfId="479"/>
    <cellStyle name="SAPBEXfilterDrill 2" xfId="480"/>
    <cellStyle name="SAPBEXfilterDrill 2 2" xfId="1134"/>
    <cellStyle name="SAPBEXfilterDrill 2 3" xfId="891"/>
    <cellStyle name="SAPBEXfilterDrill 2 4" xfId="1628"/>
    <cellStyle name="SAPBEXfilterDrill 3" xfId="481"/>
    <cellStyle name="SAPBEXfilterDrill 3 2" xfId="1135"/>
    <cellStyle name="SAPBEXfilterDrill 3 3" xfId="893"/>
    <cellStyle name="SAPBEXfilterDrill 3 4" xfId="1629"/>
    <cellStyle name="SAPBEXfilterDrill 4" xfId="482"/>
    <cellStyle name="SAPBEXfilterDrill 4 2" xfId="1136"/>
    <cellStyle name="SAPBEXfilterDrill 4 3" xfId="892"/>
    <cellStyle name="SAPBEXfilterDrill 4 4" xfId="1630"/>
    <cellStyle name="SAPBEXfilterDrill 5" xfId="483"/>
    <cellStyle name="SAPBEXfilterDrill 5 2" xfId="1137"/>
    <cellStyle name="SAPBEXfilterDrill 5 3" xfId="890"/>
    <cellStyle name="SAPBEXfilterDrill 5 4" xfId="1631"/>
    <cellStyle name="SAPBEXfilterDrill 6" xfId="484"/>
    <cellStyle name="SAPBEXfilterDrill 6 2" xfId="1138"/>
    <cellStyle name="SAPBEXfilterDrill 6 3" xfId="889"/>
    <cellStyle name="SAPBEXfilterDrill 6 4" xfId="1632"/>
    <cellStyle name="SAPBEXfilterDrill 7" xfId="1133"/>
    <cellStyle name="SAPBEXfilterDrill 8" xfId="895"/>
    <cellStyle name="SAPBEXfilterDrill 9" xfId="1627"/>
    <cellStyle name="SAPBEXfilterItem" xfId="485"/>
    <cellStyle name="SAPBEXfilterItem 2" xfId="486"/>
    <cellStyle name="SAPBEXfilterItem 2 2" xfId="1140"/>
    <cellStyle name="SAPBEXfilterItem 2 3" xfId="888"/>
    <cellStyle name="SAPBEXfilterItem 2 4" xfId="1634"/>
    <cellStyle name="SAPBEXfilterItem 3" xfId="487"/>
    <cellStyle name="SAPBEXfilterItem 3 2" xfId="1141"/>
    <cellStyle name="SAPBEXfilterItem 3 3" xfId="887"/>
    <cellStyle name="SAPBEXfilterItem 3 4" xfId="1635"/>
    <cellStyle name="SAPBEXfilterItem 4" xfId="488"/>
    <cellStyle name="SAPBEXfilterItem 4 2" xfId="1142"/>
    <cellStyle name="SAPBEXfilterItem 4 3" xfId="886"/>
    <cellStyle name="SAPBEXfilterItem 4 4" xfId="1636"/>
    <cellStyle name="SAPBEXfilterItem 5" xfId="489"/>
    <cellStyle name="SAPBEXfilterItem 5 2" xfId="1143"/>
    <cellStyle name="SAPBEXfilterItem 5 3" xfId="885"/>
    <cellStyle name="SAPBEXfilterItem 5 4" xfId="1637"/>
    <cellStyle name="SAPBEXfilterItem 6" xfId="490"/>
    <cellStyle name="SAPBEXfilterItem 6 2" xfId="1144"/>
    <cellStyle name="SAPBEXfilterItem 6 3" xfId="884"/>
    <cellStyle name="SAPBEXfilterItem 6 4" xfId="1638"/>
    <cellStyle name="SAPBEXfilterItem 7" xfId="1139"/>
    <cellStyle name="SAPBEXfilterItem 8" xfId="1633"/>
    <cellStyle name="SAPBEXfilterItem 9" xfId="1494"/>
    <cellStyle name="SAPBEXfilterText" xfId="491"/>
    <cellStyle name="SAPBEXfilterText 2" xfId="492"/>
    <cellStyle name="SAPBEXfilterText 2 2" xfId="1145"/>
    <cellStyle name="SAPBEXfilterText 2 3" xfId="883"/>
    <cellStyle name="SAPBEXfilterText 2 4" xfId="1639"/>
    <cellStyle name="SAPBEXfilterText 3" xfId="493"/>
    <cellStyle name="SAPBEXfilterText 3 2" xfId="1146"/>
    <cellStyle name="SAPBEXfilterText 3 3" xfId="882"/>
    <cellStyle name="SAPBEXfilterText 3 4" xfId="1640"/>
    <cellStyle name="SAPBEXfilterText 4" xfId="494"/>
    <cellStyle name="SAPBEXfilterText 4 2" xfId="1147"/>
    <cellStyle name="SAPBEXfilterText 4 3" xfId="881"/>
    <cellStyle name="SAPBEXfilterText 4 4" xfId="1641"/>
    <cellStyle name="SAPBEXfilterText 5" xfId="495"/>
    <cellStyle name="SAPBEXfilterText 5 2" xfId="1148"/>
    <cellStyle name="SAPBEXfilterText 5 3" xfId="880"/>
    <cellStyle name="SAPBEXfilterText 5 4" xfId="1642"/>
    <cellStyle name="SAPBEXfilterText 6" xfId="496"/>
    <cellStyle name="SAPBEXfilterText 6 2" xfId="1149"/>
    <cellStyle name="SAPBEXfilterText 6 3" xfId="879"/>
    <cellStyle name="SAPBEXfilterText 6 4" xfId="1643"/>
    <cellStyle name="SAPBEXformats" xfId="497"/>
    <cellStyle name="SAPBEXformats 2" xfId="498"/>
    <cellStyle name="SAPBEXformats 2 2" xfId="1150"/>
    <cellStyle name="SAPBEXformats 2 3" xfId="878"/>
    <cellStyle name="SAPBEXformats 2 4" xfId="1644"/>
    <cellStyle name="SAPBEXformats 3" xfId="499"/>
    <cellStyle name="SAPBEXformats 3 2" xfId="1151"/>
    <cellStyle name="SAPBEXformats 3 3" xfId="877"/>
    <cellStyle name="SAPBEXformats 3 4" xfId="1645"/>
    <cellStyle name="SAPBEXformats 4" xfId="500"/>
    <cellStyle name="SAPBEXformats 4 2" xfId="1152"/>
    <cellStyle name="SAPBEXformats 4 3" xfId="876"/>
    <cellStyle name="SAPBEXformats 4 4" xfId="1646"/>
    <cellStyle name="SAPBEXformats 5" xfId="501"/>
    <cellStyle name="SAPBEXformats 5 2" xfId="1153"/>
    <cellStyle name="SAPBEXformats 5 3" xfId="875"/>
    <cellStyle name="SAPBEXformats 5 4" xfId="1647"/>
    <cellStyle name="SAPBEXformats 6" xfId="502"/>
    <cellStyle name="SAPBEXformats 6 2" xfId="1154"/>
    <cellStyle name="SAPBEXformats 6 3" xfId="874"/>
    <cellStyle name="SAPBEXformats 6 4" xfId="1648"/>
    <cellStyle name="SAPBEXheaderItem" xfId="503"/>
    <cellStyle name="SAPBEXheaderItem 2" xfId="504"/>
    <cellStyle name="SAPBEXheaderItem 2 2" xfId="1155"/>
    <cellStyle name="SAPBEXheaderItem 2 3" xfId="873"/>
    <cellStyle name="SAPBEXheaderItem 2 4" xfId="1649"/>
    <cellStyle name="SAPBEXheaderItem 3" xfId="505"/>
    <cellStyle name="SAPBEXheaderItem 3 2" xfId="1156"/>
    <cellStyle name="SAPBEXheaderItem 3 3" xfId="872"/>
    <cellStyle name="SAPBEXheaderItem 3 4" xfId="1650"/>
    <cellStyle name="SAPBEXheaderItem 4" xfId="506"/>
    <cellStyle name="SAPBEXheaderItem 4 2" xfId="1157"/>
    <cellStyle name="SAPBEXheaderItem 4 3" xfId="871"/>
    <cellStyle name="SAPBEXheaderItem 4 4" xfId="1651"/>
    <cellStyle name="SAPBEXheaderItem 5" xfId="507"/>
    <cellStyle name="SAPBEXheaderItem 5 2" xfId="1158"/>
    <cellStyle name="SAPBEXheaderItem 5 3" xfId="870"/>
    <cellStyle name="SAPBEXheaderItem 5 4" xfId="1652"/>
    <cellStyle name="SAPBEXheaderItem 6" xfId="508"/>
    <cellStyle name="SAPBEXheaderItem 6 2" xfId="1159"/>
    <cellStyle name="SAPBEXheaderItem 6 3" xfId="869"/>
    <cellStyle name="SAPBEXheaderItem 6 4" xfId="1653"/>
    <cellStyle name="SAPBEXheaderText" xfId="509"/>
    <cellStyle name="SAPBEXheaderText 2" xfId="510"/>
    <cellStyle name="SAPBEXheaderText 2 2" xfId="1160"/>
    <cellStyle name="SAPBEXheaderText 2 3" xfId="868"/>
    <cellStyle name="SAPBEXheaderText 2 4" xfId="1654"/>
    <cellStyle name="SAPBEXheaderText 3" xfId="511"/>
    <cellStyle name="SAPBEXheaderText 3 2" xfId="1161"/>
    <cellStyle name="SAPBEXheaderText 3 3" xfId="867"/>
    <cellStyle name="SAPBEXheaderText 3 4" xfId="1655"/>
    <cellStyle name="SAPBEXheaderText 4" xfId="512"/>
    <cellStyle name="SAPBEXheaderText 4 2" xfId="1162"/>
    <cellStyle name="SAPBEXheaderText 4 3" xfId="866"/>
    <cellStyle name="SAPBEXheaderText 4 4" xfId="1656"/>
    <cellStyle name="SAPBEXheaderText 5" xfId="513"/>
    <cellStyle name="SAPBEXheaderText 5 2" xfId="1163"/>
    <cellStyle name="SAPBEXheaderText 5 3" xfId="865"/>
    <cellStyle name="SAPBEXheaderText 5 4" xfId="1657"/>
    <cellStyle name="SAPBEXheaderText 6" xfId="514"/>
    <cellStyle name="SAPBEXheaderText 6 2" xfId="1164"/>
    <cellStyle name="SAPBEXheaderText 6 3" xfId="864"/>
    <cellStyle name="SAPBEXheaderText 6 4" xfId="1658"/>
    <cellStyle name="SAPBEXHLevel0" xfId="515"/>
    <cellStyle name="SAPBEXHLevel0 2" xfId="516"/>
    <cellStyle name="SAPBEXHLevel0 2 2" xfId="1165"/>
    <cellStyle name="SAPBEXHLevel0 2 3" xfId="863"/>
    <cellStyle name="SAPBEXHLevel0 2 4" xfId="1659"/>
    <cellStyle name="SAPBEXHLevel0 3" xfId="517"/>
    <cellStyle name="SAPBEXHLevel0 3 2" xfId="1166"/>
    <cellStyle name="SAPBEXHLevel0 3 3" xfId="862"/>
    <cellStyle name="SAPBEXHLevel0 3 4" xfId="1660"/>
    <cellStyle name="SAPBEXHLevel0 4" xfId="518"/>
    <cellStyle name="SAPBEXHLevel0 4 2" xfId="1167"/>
    <cellStyle name="SAPBEXHLevel0 4 3" xfId="861"/>
    <cellStyle name="SAPBEXHLevel0 4 4" xfId="1661"/>
    <cellStyle name="SAPBEXHLevel0 5" xfId="519"/>
    <cellStyle name="SAPBEXHLevel0 5 2" xfId="1168"/>
    <cellStyle name="SAPBEXHLevel0 5 3" xfId="860"/>
    <cellStyle name="SAPBEXHLevel0 5 4" xfId="1662"/>
    <cellStyle name="SAPBEXHLevel0 6" xfId="520"/>
    <cellStyle name="SAPBEXHLevel0 6 2" xfId="1169"/>
    <cellStyle name="SAPBEXHLevel0 6 3" xfId="859"/>
    <cellStyle name="SAPBEXHLevel0 6 4" xfId="1663"/>
    <cellStyle name="SAPBEXHLevel0 7" xfId="521"/>
    <cellStyle name="SAPBEXHLevel0 7 2" xfId="1170"/>
    <cellStyle name="SAPBEXHLevel0 7 3" xfId="858"/>
    <cellStyle name="SAPBEXHLevel0 7 4" xfId="1664"/>
    <cellStyle name="SAPBEXHLevel0_7y-отчетная_РЖД_2009_04" xfId="522"/>
    <cellStyle name="SAPBEXHLevel0X" xfId="523"/>
    <cellStyle name="SAPBEXHLevel0X 2" xfId="524"/>
    <cellStyle name="SAPBEXHLevel0X 2 2" xfId="1171"/>
    <cellStyle name="SAPBEXHLevel0X 2 3" xfId="857"/>
    <cellStyle name="SAPBEXHLevel0X 2 4" xfId="1665"/>
    <cellStyle name="SAPBEXHLevel0X 3" xfId="525"/>
    <cellStyle name="SAPBEXHLevel0X 3 2" xfId="1172"/>
    <cellStyle name="SAPBEXHLevel0X 3 3" xfId="856"/>
    <cellStyle name="SAPBEXHLevel0X 3 4" xfId="1666"/>
    <cellStyle name="SAPBEXHLevel0X 4" xfId="526"/>
    <cellStyle name="SAPBEXHLevel0X 4 2" xfId="1173"/>
    <cellStyle name="SAPBEXHLevel0X 4 3" xfId="855"/>
    <cellStyle name="SAPBEXHLevel0X 4 4" xfId="1667"/>
    <cellStyle name="SAPBEXHLevel0X 5" xfId="527"/>
    <cellStyle name="SAPBEXHLevel0X 5 2" xfId="1174"/>
    <cellStyle name="SAPBEXHLevel0X 5 3" xfId="853"/>
    <cellStyle name="SAPBEXHLevel0X 5 4" xfId="1668"/>
    <cellStyle name="SAPBEXHLevel0X 6" xfId="528"/>
    <cellStyle name="SAPBEXHLevel0X 6 2" xfId="1175"/>
    <cellStyle name="SAPBEXHLevel0X 6 3" xfId="852"/>
    <cellStyle name="SAPBEXHLevel0X 6 4" xfId="1669"/>
    <cellStyle name="SAPBEXHLevel0X 7" xfId="529"/>
    <cellStyle name="SAPBEXHLevel0X 7 2" xfId="1176"/>
    <cellStyle name="SAPBEXHLevel0X 7 3" xfId="851"/>
    <cellStyle name="SAPBEXHLevel0X 7 4" xfId="1670"/>
    <cellStyle name="SAPBEXHLevel0X 8" xfId="530"/>
    <cellStyle name="SAPBEXHLevel0X 8 2" xfId="1177"/>
    <cellStyle name="SAPBEXHLevel0X 8 3" xfId="850"/>
    <cellStyle name="SAPBEXHLevel0X 8 4" xfId="1671"/>
    <cellStyle name="SAPBEXHLevel0X 9" xfId="531"/>
    <cellStyle name="SAPBEXHLevel0X 9 2" xfId="1178"/>
    <cellStyle name="SAPBEXHLevel0X 9 3" xfId="849"/>
    <cellStyle name="SAPBEXHLevel0X 9 4" xfId="1672"/>
    <cellStyle name="SAPBEXHLevel0X_7-р_Из_Системы" xfId="532"/>
    <cellStyle name="SAPBEXHLevel1" xfId="533"/>
    <cellStyle name="SAPBEXHLevel1 2" xfId="534"/>
    <cellStyle name="SAPBEXHLevel1 2 2" xfId="1179"/>
    <cellStyle name="SAPBEXHLevel1 2 3" xfId="848"/>
    <cellStyle name="SAPBEXHLevel1 2 4" xfId="1673"/>
    <cellStyle name="SAPBEXHLevel1 3" xfId="535"/>
    <cellStyle name="SAPBEXHLevel1 3 2" xfId="1180"/>
    <cellStyle name="SAPBEXHLevel1 3 3" xfId="1312"/>
    <cellStyle name="SAPBEXHLevel1 3 4" xfId="1674"/>
    <cellStyle name="SAPBEXHLevel1 4" xfId="536"/>
    <cellStyle name="SAPBEXHLevel1 4 2" xfId="1181"/>
    <cellStyle name="SAPBEXHLevel1 4 3" xfId="1313"/>
    <cellStyle name="SAPBEXHLevel1 4 4" xfId="1675"/>
    <cellStyle name="SAPBEXHLevel1 5" xfId="537"/>
    <cellStyle name="SAPBEXHLevel1 5 2" xfId="1182"/>
    <cellStyle name="SAPBEXHLevel1 5 3" xfId="1314"/>
    <cellStyle name="SAPBEXHLevel1 5 4" xfId="1676"/>
    <cellStyle name="SAPBEXHLevel1 6" xfId="538"/>
    <cellStyle name="SAPBEXHLevel1 6 2" xfId="1183"/>
    <cellStyle name="SAPBEXHLevel1 6 3" xfId="1315"/>
    <cellStyle name="SAPBEXHLevel1 6 4" xfId="1677"/>
    <cellStyle name="SAPBEXHLevel1 7" xfId="539"/>
    <cellStyle name="SAPBEXHLevel1 7 2" xfId="1184"/>
    <cellStyle name="SAPBEXHLevel1 7 3" xfId="1316"/>
    <cellStyle name="SAPBEXHLevel1 7 4" xfId="1678"/>
    <cellStyle name="SAPBEXHLevel1_7y-отчетная_РЖД_2009_04" xfId="540"/>
    <cellStyle name="SAPBEXHLevel1X" xfId="541"/>
    <cellStyle name="SAPBEXHLevel1X 2" xfId="542"/>
    <cellStyle name="SAPBEXHLevel1X 2 2" xfId="1185"/>
    <cellStyle name="SAPBEXHLevel1X 2 3" xfId="1317"/>
    <cellStyle name="SAPBEXHLevel1X 2 4" xfId="1679"/>
    <cellStyle name="SAPBEXHLevel1X 3" xfId="543"/>
    <cellStyle name="SAPBEXHLevel1X 3 2" xfId="1186"/>
    <cellStyle name="SAPBEXHLevel1X 3 3" xfId="1318"/>
    <cellStyle name="SAPBEXHLevel1X 3 4" xfId="1680"/>
    <cellStyle name="SAPBEXHLevel1X 4" xfId="544"/>
    <cellStyle name="SAPBEXHLevel1X 4 2" xfId="1187"/>
    <cellStyle name="SAPBEXHLevel1X 4 3" xfId="1319"/>
    <cellStyle name="SAPBEXHLevel1X 4 4" xfId="1681"/>
    <cellStyle name="SAPBEXHLevel1X 5" xfId="545"/>
    <cellStyle name="SAPBEXHLevel1X 5 2" xfId="1188"/>
    <cellStyle name="SAPBEXHLevel1X 5 3" xfId="1320"/>
    <cellStyle name="SAPBEXHLevel1X 5 4" xfId="1682"/>
    <cellStyle name="SAPBEXHLevel1X 6" xfId="546"/>
    <cellStyle name="SAPBEXHLevel1X 6 2" xfId="1189"/>
    <cellStyle name="SAPBEXHLevel1X 6 3" xfId="1321"/>
    <cellStyle name="SAPBEXHLevel1X 6 4" xfId="1683"/>
    <cellStyle name="SAPBEXHLevel1X 7" xfId="547"/>
    <cellStyle name="SAPBEXHLevel1X 7 2" xfId="1190"/>
    <cellStyle name="SAPBEXHLevel1X 7 3" xfId="1322"/>
    <cellStyle name="SAPBEXHLevel1X 7 4" xfId="1684"/>
    <cellStyle name="SAPBEXHLevel1X 8" xfId="548"/>
    <cellStyle name="SAPBEXHLevel1X 8 2" xfId="1191"/>
    <cellStyle name="SAPBEXHLevel1X 8 3" xfId="1323"/>
    <cellStyle name="SAPBEXHLevel1X 8 4" xfId="1685"/>
    <cellStyle name="SAPBEXHLevel1X 9" xfId="549"/>
    <cellStyle name="SAPBEXHLevel1X 9 2" xfId="1192"/>
    <cellStyle name="SAPBEXHLevel1X 9 3" xfId="1324"/>
    <cellStyle name="SAPBEXHLevel1X 9 4" xfId="1686"/>
    <cellStyle name="SAPBEXHLevel1X_7-р_Из_Системы" xfId="550"/>
    <cellStyle name="SAPBEXHLevel2" xfId="551"/>
    <cellStyle name="SAPBEXHLevel2 2" xfId="552"/>
    <cellStyle name="SAPBEXHLevel2 2 2" xfId="1193"/>
    <cellStyle name="SAPBEXHLevel2 2 3" xfId="1325"/>
    <cellStyle name="SAPBEXHLevel2 2 4" xfId="1687"/>
    <cellStyle name="SAPBEXHLevel2 3" xfId="553"/>
    <cellStyle name="SAPBEXHLevel2 3 2" xfId="1194"/>
    <cellStyle name="SAPBEXHLevel2 3 3" xfId="1326"/>
    <cellStyle name="SAPBEXHLevel2 3 4" xfId="1688"/>
    <cellStyle name="SAPBEXHLevel2 4" xfId="554"/>
    <cellStyle name="SAPBEXHLevel2 4 2" xfId="1195"/>
    <cellStyle name="SAPBEXHLevel2 4 3" xfId="1327"/>
    <cellStyle name="SAPBEXHLevel2 4 4" xfId="1689"/>
    <cellStyle name="SAPBEXHLevel2 5" xfId="555"/>
    <cellStyle name="SAPBEXHLevel2 5 2" xfId="1196"/>
    <cellStyle name="SAPBEXHLevel2 5 3" xfId="1328"/>
    <cellStyle name="SAPBEXHLevel2 5 4" xfId="1690"/>
    <cellStyle name="SAPBEXHLevel2 6" xfId="556"/>
    <cellStyle name="SAPBEXHLevel2 6 2" xfId="1197"/>
    <cellStyle name="SAPBEXHLevel2 6 3" xfId="1329"/>
    <cellStyle name="SAPBEXHLevel2 6 4" xfId="1691"/>
    <cellStyle name="SAPBEXHLevel2_Приложение_1_к_7-у-о_2009_Кв_1_ФСТ" xfId="557"/>
    <cellStyle name="SAPBEXHLevel2X" xfId="558"/>
    <cellStyle name="SAPBEXHLevel2X 10" xfId="1198"/>
    <cellStyle name="SAPBEXHLevel2X 11" xfId="1330"/>
    <cellStyle name="SAPBEXHLevel2X 12" xfId="1692"/>
    <cellStyle name="SAPBEXHLevel2X 2" xfId="559"/>
    <cellStyle name="SAPBEXHLevel2X 2 2" xfId="1199"/>
    <cellStyle name="SAPBEXHLevel2X 2 3" xfId="1331"/>
    <cellStyle name="SAPBEXHLevel2X 2 4" xfId="1693"/>
    <cellStyle name="SAPBEXHLevel2X 3" xfId="560"/>
    <cellStyle name="SAPBEXHLevel2X 3 2" xfId="1200"/>
    <cellStyle name="SAPBEXHLevel2X 3 3" xfId="1332"/>
    <cellStyle name="SAPBEXHLevel2X 3 4" xfId="1694"/>
    <cellStyle name="SAPBEXHLevel2X 4" xfId="561"/>
    <cellStyle name="SAPBEXHLevel2X 4 2" xfId="1201"/>
    <cellStyle name="SAPBEXHLevel2X 4 3" xfId="1333"/>
    <cellStyle name="SAPBEXHLevel2X 4 4" xfId="1695"/>
    <cellStyle name="SAPBEXHLevel2X 5" xfId="562"/>
    <cellStyle name="SAPBEXHLevel2X 5 2" xfId="1202"/>
    <cellStyle name="SAPBEXHLevel2X 5 3" xfId="1334"/>
    <cellStyle name="SAPBEXHLevel2X 5 4" xfId="1696"/>
    <cellStyle name="SAPBEXHLevel2X 6" xfId="563"/>
    <cellStyle name="SAPBEXHLevel2X 6 2" xfId="1203"/>
    <cellStyle name="SAPBEXHLevel2X 6 3" xfId="1335"/>
    <cellStyle name="SAPBEXHLevel2X 6 4" xfId="1697"/>
    <cellStyle name="SAPBEXHLevel2X 7" xfId="564"/>
    <cellStyle name="SAPBEXHLevel2X 7 2" xfId="1204"/>
    <cellStyle name="SAPBEXHLevel2X 7 3" xfId="1336"/>
    <cellStyle name="SAPBEXHLevel2X 7 4" xfId="1698"/>
    <cellStyle name="SAPBEXHLevel2X 8" xfId="565"/>
    <cellStyle name="SAPBEXHLevel2X 8 2" xfId="1205"/>
    <cellStyle name="SAPBEXHLevel2X 8 3" xfId="1337"/>
    <cellStyle name="SAPBEXHLevel2X 8 4" xfId="1699"/>
    <cellStyle name="SAPBEXHLevel2X 9" xfId="566"/>
    <cellStyle name="SAPBEXHLevel2X 9 2" xfId="1206"/>
    <cellStyle name="SAPBEXHLevel2X 9 3" xfId="1338"/>
    <cellStyle name="SAPBEXHLevel2X 9 4" xfId="1700"/>
    <cellStyle name="SAPBEXHLevel2X_7-р_Из_Системы" xfId="567"/>
    <cellStyle name="SAPBEXHLevel3" xfId="568"/>
    <cellStyle name="SAPBEXHLevel3 2" xfId="569"/>
    <cellStyle name="SAPBEXHLevel3 2 2" xfId="1207"/>
    <cellStyle name="SAPBEXHLevel3 2 3" xfId="1339"/>
    <cellStyle name="SAPBEXHLevel3 2 4" xfId="1701"/>
    <cellStyle name="SAPBEXHLevel3 3" xfId="570"/>
    <cellStyle name="SAPBEXHLevel3 3 2" xfId="1208"/>
    <cellStyle name="SAPBEXHLevel3 3 3" xfId="1340"/>
    <cellStyle name="SAPBEXHLevel3 3 4" xfId="1702"/>
    <cellStyle name="SAPBEXHLevel3 4" xfId="571"/>
    <cellStyle name="SAPBEXHLevel3 4 2" xfId="1209"/>
    <cellStyle name="SAPBEXHLevel3 4 3" xfId="1341"/>
    <cellStyle name="SAPBEXHLevel3 4 4" xfId="1703"/>
    <cellStyle name="SAPBEXHLevel3 5" xfId="572"/>
    <cellStyle name="SAPBEXHLevel3 5 2" xfId="1210"/>
    <cellStyle name="SAPBEXHLevel3 5 3" xfId="1342"/>
    <cellStyle name="SAPBEXHLevel3 5 4" xfId="1704"/>
    <cellStyle name="SAPBEXHLevel3 6" xfId="573"/>
    <cellStyle name="SAPBEXHLevel3 6 2" xfId="1211"/>
    <cellStyle name="SAPBEXHLevel3 6 3" xfId="1343"/>
    <cellStyle name="SAPBEXHLevel3 6 4" xfId="1705"/>
    <cellStyle name="SAPBEXHLevel3_Приложение_1_к_7-у-о_2009_Кв_1_ФСТ" xfId="574"/>
    <cellStyle name="SAPBEXHLevel3X" xfId="575"/>
    <cellStyle name="SAPBEXHLevel3X 10" xfId="1212"/>
    <cellStyle name="SAPBEXHLevel3X 11" xfId="1344"/>
    <cellStyle name="SAPBEXHLevel3X 12" xfId="1706"/>
    <cellStyle name="SAPBEXHLevel3X 2" xfId="576"/>
    <cellStyle name="SAPBEXHLevel3X 2 2" xfId="1213"/>
    <cellStyle name="SAPBEXHLevel3X 2 3" xfId="1345"/>
    <cellStyle name="SAPBEXHLevel3X 2 4" xfId="1707"/>
    <cellStyle name="SAPBEXHLevel3X 3" xfId="577"/>
    <cellStyle name="SAPBEXHLevel3X 3 2" xfId="1214"/>
    <cellStyle name="SAPBEXHLevel3X 3 3" xfId="1346"/>
    <cellStyle name="SAPBEXHLevel3X 3 4" xfId="1708"/>
    <cellStyle name="SAPBEXHLevel3X 4" xfId="578"/>
    <cellStyle name="SAPBEXHLevel3X 4 2" xfId="1215"/>
    <cellStyle name="SAPBEXHLevel3X 4 3" xfId="1347"/>
    <cellStyle name="SAPBEXHLevel3X 4 4" xfId="1709"/>
    <cellStyle name="SAPBEXHLevel3X 5" xfId="579"/>
    <cellStyle name="SAPBEXHLevel3X 5 2" xfId="1216"/>
    <cellStyle name="SAPBEXHLevel3X 5 3" xfId="1348"/>
    <cellStyle name="SAPBEXHLevel3X 5 4" xfId="1710"/>
    <cellStyle name="SAPBEXHLevel3X 6" xfId="580"/>
    <cellStyle name="SAPBEXHLevel3X 6 2" xfId="1217"/>
    <cellStyle name="SAPBEXHLevel3X 6 3" xfId="1349"/>
    <cellStyle name="SAPBEXHLevel3X 6 4" xfId="1711"/>
    <cellStyle name="SAPBEXHLevel3X 7" xfId="581"/>
    <cellStyle name="SAPBEXHLevel3X 7 2" xfId="1218"/>
    <cellStyle name="SAPBEXHLevel3X 7 3" xfId="1350"/>
    <cellStyle name="SAPBEXHLevel3X 7 4" xfId="1712"/>
    <cellStyle name="SAPBEXHLevel3X 8" xfId="582"/>
    <cellStyle name="SAPBEXHLevel3X 8 2" xfId="1219"/>
    <cellStyle name="SAPBEXHLevel3X 8 3" xfId="1351"/>
    <cellStyle name="SAPBEXHLevel3X 8 4" xfId="1713"/>
    <cellStyle name="SAPBEXHLevel3X 9" xfId="583"/>
    <cellStyle name="SAPBEXHLevel3X 9 2" xfId="1220"/>
    <cellStyle name="SAPBEXHLevel3X 9 3" xfId="1352"/>
    <cellStyle name="SAPBEXHLevel3X 9 4" xfId="1714"/>
    <cellStyle name="SAPBEXHLevel3X_7-р_Из_Системы" xfId="584"/>
    <cellStyle name="SAPBEXinputData" xfId="585"/>
    <cellStyle name="SAPBEXinputData 10" xfId="586"/>
    <cellStyle name="SAPBEXinputData 10 2" xfId="1354"/>
    <cellStyle name="SAPBEXinputData 10 3" xfId="1448"/>
    <cellStyle name="SAPBEXinputData 10 4" xfId="1829"/>
    <cellStyle name="SAPBEXinputData 10 5" xfId="1528"/>
    <cellStyle name="SAPBEXinputData 11" xfId="1353"/>
    <cellStyle name="SAPBEXinputData 12" xfId="1447"/>
    <cellStyle name="SAPBEXinputData 13" xfId="1828"/>
    <cellStyle name="SAPBEXinputData 14" xfId="1527"/>
    <cellStyle name="SAPBEXinputData 2" xfId="587"/>
    <cellStyle name="SAPBEXinputData 3" xfId="588"/>
    <cellStyle name="SAPBEXinputData 4" xfId="589"/>
    <cellStyle name="SAPBEXinputData 5" xfId="590"/>
    <cellStyle name="SAPBEXinputData 6" xfId="591"/>
    <cellStyle name="SAPBEXinputData 7" xfId="592"/>
    <cellStyle name="SAPBEXinputData 8" xfId="593"/>
    <cellStyle name="SAPBEXinputData 9" xfId="594"/>
    <cellStyle name="SAPBEXinputData_7-р_Из_Системы" xfId="595"/>
    <cellStyle name="SAPBEXItemHeader" xfId="596"/>
    <cellStyle name="SAPBEXItemHeader 2" xfId="1221"/>
    <cellStyle name="SAPBEXItemHeader 3" xfId="1355"/>
    <cellStyle name="SAPBEXItemHeader 4" xfId="1715"/>
    <cellStyle name="SAPBEXresData" xfId="597"/>
    <cellStyle name="SAPBEXresData 2" xfId="598"/>
    <cellStyle name="SAPBEXresData 2 2" xfId="1223"/>
    <cellStyle name="SAPBEXresData 2 3" xfId="1357"/>
    <cellStyle name="SAPBEXresData 2 4" xfId="1717"/>
    <cellStyle name="SAPBEXresData 3" xfId="599"/>
    <cellStyle name="SAPBEXresData 3 2" xfId="1224"/>
    <cellStyle name="SAPBEXresData 3 3" xfId="1358"/>
    <cellStyle name="SAPBEXresData 3 4" xfId="1718"/>
    <cellStyle name="SAPBEXresData 4" xfId="600"/>
    <cellStyle name="SAPBEXresData 4 2" xfId="1225"/>
    <cellStyle name="SAPBEXresData 4 3" xfId="1359"/>
    <cellStyle name="SAPBEXresData 4 4" xfId="1719"/>
    <cellStyle name="SAPBEXresData 5" xfId="601"/>
    <cellStyle name="SAPBEXresData 5 2" xfId="1226"/>
    <cellStyle name="SAPBEXresData 5 3" xfId="1360"/>
    <cellStyle name="SAPBEXresData 5 4" xfId="1720"/>
    <cellStyle name="SAPBEXresData 6" xfId="602"/>
    <cellStyle name="SAPBEXresData 6 2" xfId="1227"/>
    <cellStyle name="SAPBEXresData 6 3" xfId="1361"/>
    <cellStyle name="SAPBEXresData 6 4" xfId="1721"/>
    <cellStyle name="SAPBEXresData 7" xfId="1222"/>
    <cellStyle name="SAPBEXresData 8" xfId="1356"/>
    <cellStyle name="SAPBEXresData 9" xfId="1716"/>
    <cellStyle name="SAPBEXresDataEmph" xfId="603"/>
    <cellStyle name="SAPBEXresDataEmph 2" xfId="604"/>
    <cellStyle name="SAPBEXresDataEmph 2 2" xfId="605"/>
    <cellStyle name="SAPBEXresDataEmph 2 2 2" xfId="1364"/>
    <cellStyle name="SAPBEXresDataEmph 2 2 3" xfId="1450"/>
    <cellStyle name="SAPBEXresDataEmph 2 2 4" xfId="1838"/>
    <cellStyle name="SAPBEXresDataEmph 2 2 5" xfId="1535"/>
    <cellStyle name="SAPBEXresDataEmph 2 3" xfId="1363"/>
    <cellStyle name="SAPBEXresDataEmph 2 4" xfId="1449"/>
    <cellStyle name="SAPBEXresDataEmph 2 5" xfId="1837"/>
    <cellStyle name="SAPBEXresDataEmph 2 6" xfId="1534"/>
    <cellStyle name="SAPBEXresDataEmph 3" xfId="606"/>
    <cellStyle name="SAPBEXresDataEmph 3 2" xfId="607"/>
    <cellStyle name="SAPBEXresDataEmph 3 2 2" xfId="1366"/>
    <cellStyle name="SAPBEXresDataEmph 3 2 3" xfId="1452"/>
    <cellStyle name="SAPBEXresDataEmph 3 2 4" xfId="1840"/>
    <cellStyle name="SAPBEXresDataEmph 3 2 5" xfId="1537"/>
    <cellStyle name="SAPBEXresDataEmph 3 3" xfId="1365"/>
    <cellStyle name="SAPBEXresDataEmph 3 4" xfId="1451"/>
    <cellStyle name="SAPBEXresDataEmph 3 5" xfId="1839"/>
    <cellStyle name="SAPBEXresDataEmph 3 6" xfId="1536"/>
    <cellStyle name="SAPBEXresDataEmph 4" xfId="608"/>
    <cellStyle name="SAPBEXresDataEmph 4 2" xfId="609"/>
    <cellStyle name="SAPBEXresDataEmph 4 2 2" xfId="1368"/>
    <cellStyle name="SAPBEXresDataEmph 4 2 3" xfId="1454"/>
    <cellStyle name="SAPBEXresDataEmph 4 2 4" xfId="1842"/>
    <cellStyle name="SAPBEXresDataEmph 4 2 5" xfId="1539"/>
    <cellStyle name="SAPBEXresDataEmph 4 3" xfId="1367"/>
    <cellStyle name="SAPBEXresDataEmph 4 4" xfId="1453"/>
    <cellStyle name="SAPBEXresDataEmph 4 5" xfId="1841"/>
    <cellStyle name="SAPBEXresDataEmph 4 6" xfId="1538"/>
    <cellStyle name="SAPBEXresDataEmph 5" xfId="610"/>
    <cellStyle name="SAPBEXresDataEmph 5 2" xfId="611"/>
    <cellStyle name="SAPBEXresDataEmph 5 2 2" xfId="1370"/>
    <cellStyle name="SAPBEXresDataEmph 5 2 3" xfId="1456"/>
    <cellStyle name="SAPBEXresDataEmph 5 2 4" xfId="1844"/>
    <cellStyle name="SAPBEXresDataEmph 5 2 5" xfId="1541"/>
    <cellStyle name="SAPBEXresDataEmph 5 3" xfId="1369"/>
    <cellStyle name="SAPBEXresDataEmph 5 4" xfId="1455"/>
    <cellStyle name="SAPBEXresDataEmph 5 5" xfId="1843"/>
    <cellStyle name="SAPBEXresDataEmph 5 6" xfId="1540"/>
    <cellStyle name="SAPBEXresDataEmph 6" xfId="612"/>
    <cellStyle name="SAPBEXresDataEmph 6 2" xfId="613"/>
    <cellStyle name="SAPBEXresDataEmph 6 2 2" xfId="1372"/>
    <cellStyle name="SAPBEXresDataEmph 6 2 3" xfId="1458"/>
    <cellStyle name="SAPBEXresDataEmph 6 2 4" xfId="1846"/>
    <cellStyle name="SAPBEXresDataEmph 6 2 5" xfId="1567"/>
    <cellStyle name="SAPBEXresDataEmph 6 3" xfId="1371"/>
    <cellStyle name="SAPBEXresDataEmph 6 4" xfId="1457"/>
    <cellStyle name="SAPBEXresDataEmph 6 5" xfId="1845"/>
    <cellStyle name="SAPBEXresDataEmph 6 6" xfId="1542"/>
    <cellStyle name="SAPBEXresDataEmph 7" xfId="1228"/>
    <cellStyle name="SAPBEXresDataEmph 8" xfId="1362"/>
    <cellStyle name="SAPBEXresDataEmph 9" xfId="1722"/>
    <cellStyle name="SAPBEXresItem" xfId="614"/>
    <cellStyle name="SAPBEXresItem 2" xfId="615"/>
    <cellStyle name="SAPBEXresItem 2 2" xfId="1230"/>
    <cellStyle name="SAPBEXresItem 2 3" xfId="1374"/>
    <cellStyle name="SAPBEXresItem 2 4" xfId="1724"/>
    <cellStyle name="SAPBEXresItem 3" xfId="616"/>
    <cellStyle name="SAPBEXresItem 3 2" xfId="1231"/>
    <cellStyle name="SAPBEXresItem 3 3" xfId="1375"/>
    <cellStyle name="SAPBEXresItem 3 4" xfId="1725"/>
    <cellStyle name="SAPBEXresItem 4" xfId="617"/>
    <cellStyle name="SAPBEXresItem 4 2" xfId="1232"/>
    <cellStyle name="SAPBEXresItem 4 3" xfId="1376"/>
    <cellStyle name="SAPBEXresItem 4 4" xfId="1726"/>
    <cellStyle name="SAPBEXresItem 5" xfId="618"/>
    <cellStyle name="SAPBEXresItem 5 2" xfId="1233"/>
    <cellStyle name="SAPBEXresItem 5 3" xfId="1377"/>
    <cellStyle name="SAPBEXresItem 5 4" xfId="1727"/>
    <cellStyle name="SAPBEXresItem 6" xfId="619"/>
    <cellStyle name="SAPBEXresItem 6 2" xfId="1234"/>
    <cellStyle name="SAPBEXresItem 6 3" xfId="1378"/>
    <cellStyle name="SAPBEXresItem 6 4" xfId="1728"/>
    <cellStyle name="SAPBEXresItem 7" xfId="1229"/>
    <cellStyle name="SAPBEXresItem 8" xfId="1373"/>
    <cellStyle name="SAPBEXresItem 9" xfId="1723"/>
    <cellStyle name="SAPBEXresItemX" xfId="620"/>
    <cellStyle name="SAPBEXresItemX 2" xfId="621"/>
    <cellStyle name="SAPBEXresItemX 2 2" xfId="1236"/>
    <cellStyle name="SAPBEXresItemX 2 3" xfId="1380"/>
    <cellStyle name="SAPBEXresItemX 2 4" xfId="1730"/>
    <cellStyle name="SAPBEXresItemX 3" xfId="622"/>
    <cellStyle name="SAPBEXresItemX 3 2" xfId="1237"/>
    <cellStyle name="SAPBEXresItemX 3 3" xfId="1381"/>
    <cellStyle name="SAPBEXresItemX 3 4" xfId="1731"/>
    <cellStyle name="SAPBEXresItemX 4" xfId="623"/>
    <cellStyle name="SAPBEXresItemX 4 2" xfId="1238"/>
    <cellStyle name="SAPBEXresItemX 4 3" xfId="1382"/>
    <cellStyle name="SAPBEXresItemX 4 4" xfId="1732"/>
    <cellStyle name="SAPBEXresItemX 5" xfId="624"/>
    <cellStyle name="SAPBEXresItemX 5 2" xfId="1239"/>
    <cellStyle name="SAPBEXresItemX 5 3" xfId="1383"/>
    <cellStyle name="SAPBEXresItemX 5 4" xfId="1733"/>
    <cellStyle name="SAPBEXresItemX 6" xfId="625"/>
    <cellStyle name="SAPBEXresItemX 6 2" xfId="1240"/>
    <cellStyle name="SAPBEXresItemX 6 3" xfId="1384"/>
    <cellStyle name="SAPBEXresItemX 6 4" xfId="1734"/>
    <cellStyle name="SAPBEXresItemX 7" xfId="1235"/>
    <cellStyle name="SAPBEXresItemX 8" xfId="1379"/>
    <cellStyle name="SAPBEXresItemX 9" xfId="1729"/>
    <cellStyle name="SAPBEXstdData" xfId="626"/>
    <cellStyle name="SAPBEXstdData 2" xfId="627"/>
    <cellStyle name="SAPBEXstdData 2 2" xfId="1242"/>
    <cellStyle name="SAPBEXstdData 2 3" xfId="1386"/>
    <cellStyle name="SAPBEXstdData 2 4" xfId="1736"/>
    <cellStyle name="SAPBEXstdData 3" xfId="628"/>
    <cellStyle name="SAPBEXstdData 3 2" xfId="1243"/>
    <cellStyle name="SAPBEXstdData 3 3" xfId="1387"/>
    <cellStyle name="SAPBEXstdData 3 4" xfId="1737"/>
    <cellStyle name="SAPBEXstdData 4" xfId="629"/>
    <cellStyle name="SAPBEXstdData 4 2" xfId="1244"/>
    <cellStyle name="SAPBEXstdData 4 3" xfId="1388"/>
    <cellStyle name="SAPBEXstdData 4 4" xfId="1738"/>
    <cellStyle name="SAPBEXstdData 5" xfId="630"/>
    <cellStyle name="SAPBEXstdData 5 2" xfId="1245"/>
    <cellStyle name="SAPBEXstdData 5 3" xfId="1389"/>
    <cellStyle name="SAPBEXstdData 5 4" xfId="1739"/>
    <cellStyle name="SAPBEXstdData 6" xfId="631"/>
    <cellStyle name="SAPBEXstdData 6 2" xfId="1246"/>
    <cellStyle name="SAPBEXstdData 6 3" xfId="1390"/>
    <cellStyle name="SAPBEXstdData 6 4" xfId="1740"/>
    <cellStyle name="SAPBEXstdData 7" xfId="1241"/>
    <cellStyle name="SAPBEXstdData 8" xfId="1385"/>
    <cellStyle name="SAPBEXstdData 9" xfId="1735"/>
    <cellStyle name="SAPBEXstdData_Приложение_1_к_7-у-о_2009_Кв_1_ФСТ" xfId="632"/>
    <cellStyle name="SAPBEXstdDataEmph" xfId="633"/>
    <cellStyle name="SAPBEXstdDataEmph 2" xfId="634"/>
    <cellStyle name="SAPBEXstdDataEmph 2 2" xfId="1248"/>
    <cellStyle name="SAPBEXstdDataEmph 2 3" xfId="1392"/>
    <cellStyle name="SAPBEXstdDataEmph 2 4" xfId="1742"/>
    <cellStyle name="SAPBEXstdDataEmph 3" xfId="635"/>
    <cellStyle name="SAPBEXstdDataEmph 3 2" xfId="1249"/>
    <cellStyle name="SAPBEXstdDataEmph 3 3" xfId="1393"/>
    <cellStyle name="SAPBEXstdDataEmph 3 4" xfId="1743"/>
    <cellStyle name="SAPBEXstdDataEmph 4" xfId="636"/>
    <cellStyle name="SAPBEXstdDataEmph 4 2" xfId="1250"/>
    <cellStyle name="SAPBEXstdDataEmph 4 3" xfId="1394"/>
    <cellStyle name="SAPBEXstdDataEmph 4 4" xfId="1744"/>
    <cellStyle name="SAPBEXstdDataEmph 5" xfId="637"/>
    <cellStyle name="SAPBEXstdDataEmph 5 2" xfId="1251"/>
    <cellStyle name="SAPBEXstdDataEmph 5 3" xfId="1395"/>
    <cellStyle name="SAPBEXstdDataEmph 5 4" xfId="1745"/>
    <cellStyle name="SAPBEXstdDataEmph 6" xfId="638"/>
    <cellStyle name="SAPBEXstdDataEmph 6 2" xfId="1252"/>
    <cellStyle name="SAPBEXstdDataEmph 6 3" xfId="1396"/>
    <cellStyle name="SAPBEXstdDataEmph 6 4" xfId="1746"/>
    <cellStyle name="SAPBEXstdDataEmph 7" xfId="1247"/>
    <cellStyle name="SAPBEXstdDataEmph 8" xfId="1391"/>
    <cellStyle name="SAPBEXstdDataEmph 9" xfId="1741"/>
    <cellStyle name="SAPBEXstdItem" xfId="639"/>
    <cellStyle name="SAPBEXstdItem 2" xfId="640"/>
    <cellStyle name="SAPBEXstdItem 2 2" xfId="1253"/>
    <cellStyle name="SAPBEXstdItem 2 3" xfId="1397"/>
    <cellStyle name="SAPBEXstdItem 2 4" xfId="1747"/>
    <cellStyle name="SAPBEXstdItem 3" xfId="641"/>
    <cellStyle name="SAPBEXstdItem 3 2" xfId="1254"/>
    <cellStyle name="SAPBEXstdItem 3 3" xfId="1398"/>
    <cellStyle name="SAPBEXstdItem 3 4" xfId="1748"/>
    <cellStyle name="SAPBEXstdItem 4" xfId="642"/>
    <cellStyle name="SAPBEXstdItem 4 2" xfId="1255"/>
    <cellStyle name="SAPBEXstdItem 4 3" xfId="1399"/>
    <cellStyle name="SAPBEXstdItem 4 4" xfId="1749"/>
    <cellStyle name="SAPBEXstdItem 5" xfId="643"/>
    <cellStyle name="SAPBEXstdItem 5 2" xfId="1256"/>
    <cellStyle name="SAPBEXstdItem 5 3" xfId="1400"/>
    <cellStyle name="SAPBEXstdItem 5 4" xfId="1750"/>
    <cellStyle name="SAPBEXstdItem 6" xfId="644"/>
    <cellStyle name="SAPBEXstdItem 6 2" xfId="1257"/>
    <cellStyle name="SAPBEXstdItem 6 3" xfId="1401"/>
    <cellStyle name="SAPBEXstdItem 6 4" xfId="1751"/>
    <cellStyle name="SAPBEXstdItem 7" xfId="645"/>
    <cellStyle name="SAPBEXstdItem 7 2" xfId="1258"/>
    <cellStyle name="SAPBEXstdItem 7 3" xfId="1402"/>
    <cellStyle name="SAPBEXstdItem 7 4" xfId="1752"/>
    <cellStyle name="SAPBEXstdItem_7-р" xfId="646"/>
    <cellStyle name="SAPBEXstdItemX" xfId="647"/>
    <cellStyle name="SAPBEXstdItemX 2" xfId="648"/>
    <cellStyle name="SAPBEXstdItemX 2 2" xfId="1259"/>
    <cellStyle name="SAPBEXstdItemX 2 3" xfId="1403"/>
    <cellStyle name="SAPBEXstdItemX 2 4" xfId="1753"/>
    <cellStyle name="SAPBEXstdItemX 3" xfId="649"/>
    <cellStyle name="SAPBEXstdItemX 3 2" xfId="1260"/>
    <cellStyle name="SAPBEXstdItemX 3 3" xfId="1404"/>
    <cellStyle name="SAPBEXstdItemX 3 4" xfId="1754"/>
    <cellStyle name="SAPBEXstdItemX 4" xfId="650"/>
    <cellStyle name="SAPBEXstdItemX 4 2" xfId="1261"/>
    <cellStyle name="SAPBEXstdItemX 4 3" xfId="1405"/>
    <cellStyle name="SAPBEXstdItemX 4 4" xfId="1755"/>
    <cellStyle name="SAPBEXstdItemX 5" xfId="651"/>
    <cellStyle name="SAPBEXstdItemX 5 2" xfId="1262"/>
    <cellStyle name="SAPBEXstdItemX 5 3" xfId="1406"/>
    <cellStyle name="SAPBEXstdItemX 5 4" xfId="1756"/>
    <cellStyle name="SAPBEXstdItemX 6" xfId="652"/>
    <cellStyle name="SAPBEXstdItemX 6 2" xfId="1263"/>
    <cellStyle name="SAPBEXstdItemX 6 3" xfId="1407"/>
    <cellStyle name="SAPBEXstdItemX 6 4" xfId="1757"/>
    <cellStyle name="SAPBEXtitle" xfId="653"/>
    <cellStyle name="SAPBEXtitle 2" xfId="654"/>
    <cellStyle name="SAPBEXtitle 2 2" xfId="1264"/>
    <cellStyle name="SAPBEXtitle 2 3" xfId="1408"/>
    <cellStyle name="SAPBEXtitle 2 4" xfId="1758"/>
    <cellStyle name="SAPBEXtitle 3" xfId="655"/>
    <cellStyle name="SAPBEXtitle 3 2" xfId="1265"/>
    <cellStyle name="SAPBEXtitle 3 3" xfId="1409"/>
    <cellStyle name="SAPBEXtitle 3 4" xfId="1759"/>
    <cellStyle name="SAPBEXtitle 4" xfId="656"/>
    <cellStyle name="SAPBEXtitle 4 2" xfId="1266"/>
    <cellStyle name="SAPBEXtitle 4 3" xfId="1410"/>
    <cellStyle name="SAPBEXtitle 4 4" xfId="1760"/>
    <cellStyle name="SAPBEXtitle 5" xfId="657"/>
    <cellStyle name="SAPBEXtitle 5 2" xfId="1267"/>
    <cellStyle name="SAPBEXtitle 5 3" xfId="1411"/>
    <cellStyle name="SAPBEXtitle 5 4" xfId="1761"/>
    <cellStyle name="SAPBEXtitle 6" xfId="658"/>
    <cellStyle name="SAPBEXtitle 6 2" xfId="1268"/>
    <cellStyle name="SAPBEXtitle 6 3" xfId="1412"/>
    <cellStyle name="SAPBEXtitle 6 4" xfId="1762"/>
    <cellStyle name="SAPBEXunassignedItem" xfId="659"/>
    <cellStyle name="SAPBEXunassignedItem 2" xfId="660"/>
    <cellStyle name="SAPBEXunassignedItem 2 2" xfId="1414"/>
    <cellStyle name="SAPBEXunassignedItem 2 3" xfId="1460"/>
    <cellStyle name="SAPBEXunassignedItem 2 4" xfId="1848"/>
    <cellStyle name="SAPBEXunassignedItem 2 5" xfId="1779"/>
    <cellStyle name="SAPBEXunassignedItem 3" xfId="1413"/>
    <cellStyle name="SAPBEXunassignedItem 4" xfId="1459"/>
    <cellStyle name="SAPBEXunassignedItem 5" xfId="1847"/>
    <cellStyle name="SAPBEXunassignedItem 6" xfId="1778"/>
    <cellStyle name="SAPBEXundefined" xfId="661"/>
    <cellStyle name="SAPBEXundefined 2" xfId="662"/>
    <cellStyle name="SAPBEXundefined 2 2" xfId="1270"/>
    <cellStyle name="SAPBEXundefined 2 3" xfId="1416"/>
    <cellStyle name="SAPBEXundefined 2 4" xfId="1764"/>
    <cellStyle name="SAPBEXundefined 3" xfId="663"/>
    <cellStyle name="SAPBEXundefined 3 2" xfId="1271"/>
    <cellStyle name="SAPBEXundefined 3 3" xfId="1417"/>
    <cellStyle name="SAPBEXundefined 3 4" xfId="1765"/>
    <cellStyle name="SAPBEXundefined 4" xfId="664"/>
    <cellStyle name="SAPBEXundefined 4 2" xfId="1272"/>
    <cellStyle name="SAPBEXundefined 4 3" xfId="1418"/>
    <cellStyle name="SAPBEXundefined 4 4" xfId="1766"/>
    <cellStyle name="SAPBEXundefined 5" xfId="665"/>
    <cellStyle name="SAPBEXundefined 5 2" xfId="1273"/>
    <cellStyle name="SAPBEXundefined 5 3" xfId="1419"/>
    <cellStyle name="SAPBEXundefined 5 4" xfId="1767"/>
    <cellStyle name="SAPBEXundefined 6" xfId="666"/>
    <cellStyle name="SAPBEXundefined 6 2" xfId="1274"/>
    <cellStyle name="SAPBEXundefined 6 3" xfId="1420"/>
    <cellStyle name="SAPBEXundefined 6 4" xfId="1768"/>
    <cellStyle name="SAPBEXundefined 7" xfId="1269"/>
    <cellStyle name="SAPBEXundefined 8" xfId="1415"/>
    <cellStyle name="SAPBEXundefined 9" xfId="1763"/>
    <cellStyle name="Sheet Title" xfId="667"/>
    <cellStyle name="STYLE1 - Style1" xfId="668"/>
    <cellStyle name="styleColumnTitles" xfId="669"/>
    <cellStyle name="styleColumnTitles 2" xfId="1275"/>
    <cellStyle name="styleColumnTitles 3" xfId="1421"/>
    <cellStyle name="styleColumnTitles 4" xfId="1769"/>
    <cellStyle name="styleDateRange" xfId="670"/>
    <cellStyle name="styleDateRange 2" xfId="1276"/>
    <cellStyle name="styleDateRange 3" xfId="1422"/>
    <cellStyle name="styleDateRange 4" xfId="1770"/>
    <cellStyle name="styleHidden" xfId="671"/>
    <cellStyle name="styleNormal" xfId="672"/>
    <cellStyle name="styleSeriesAttributes" xfId="673"/>
    <cellStyle name="styleSeriesAttributes 2" xfId="1277"/>
    <cellStyle name="styleSeriesAttributes 3" xfId="1423"/>
    <cellStyle name="styleSeriesAttributes 4" xfId="1771"/>
    <cellStyle name="styleSeriesData" xfId="674"/>
    <cellStyle name="styleSeriesData 2" xfId="1278"/>
    <cellStyle name="styleSeriesData 3" xfId="1424"/>
    <cellStyle name="styleSeriesData 4" xfId="1772"/>
    <cellStyle name="styleSeriesDataForecast" xfId="675"/>
    <cellStyle name="styleSeriesDataForecast 2" xfId="1279"/>
    <cellStyle name="styleSeriesDataForecast 3" xfId="1425"/>
    <cellStyle name="styleSeriesDataForecast 4" xfId="1773"/>
    <cellStyle name="styleSeriesDataForecastNA" xfId="676"/>
    <cellStyle name="styleSeriesDataForecastNA 2" xfId="1280"/>
    <cellStyle name="styleSeriesDataForecastNA 3" xfId="1426"/>
    <cellStyle name="styleSeriesDataForecastNA 4" xfId="1774"/>
    <cellStyle name="styleSeriesDataNA" xfId="677"/>
    <cellStyle name="styleSeriesDataNA 2" xfId="1281"/>
    <cellStyle name="styleSeriesDataNA 3" xfId="1427"/>
    <cellStyle name="styleSeriesDataNA 4" xfId="1775"/>
    <cellStyle name="Text Indent A" xfId="678"/>
    <cellStyle name="Text Indent B" xfId="679"/>
    <cellStyle name="Text Indent C" xfId="680"/>
    <cellStyle name="Times New Roman0181000015536870911" xfId="681"/>
    <cellStyle name="Times New Roman0181000015536870911 2" xfId="1282"/>
    <cellStyle name="Times New Roman0181000015536870911 3" xfId="1428"/>
    <cellStyle name="Times New Roman0181000015536870911 4" xfId="1776"/>
    <cellStyle name="Title" xfId="682"/>
    <cellStyle name="Total" xfId="683"/>
    <cellStyle name="Total 2" xfId="1283"/>
    <cellStyle name="Total 3" xfId="1429"/>
    <cellStyle name="Total 4" xfId="1777"/>
    <cellStyle name="Währung [0]_laroux" xfId="684"/>
    <cellStyle name="Währung_laroux" xfId="685"/>
    <cellStyle name="Walutowy [0]_1" xfId="686"/>
    <cellStyle name="Walutowy_1" xfId="687"/>
    <cellStyle name="Warning Text" xfId="688"/>
    <cellStyle name="Акцент1 2" xfId="690"/>
    <cellStyle name="Акцент1 3" xfId="689"/>
    <cellStyle name="Акцент2 2" xfId="692"/>
    <cellStyle name="Акцент2 3" xfId="691"/>
    <cellStyle name="Акцент3 2" xfId="694"/>
    <cellStyle name="Акцент3 3" xfId="693"/>
    <cellStyle name="Акцент4 2" xfId="696"/>
    <cellStyle name="Акцент4 3" xfId="695"/>
    <cellStyle name="Акцент5 2" xfId="698"/>
    <cellStyle name="Акцент5 3" xfId="697"/>
    <cellStyle name="Акцент6 2" xfId="700"/>
    <cellStyle name="Акцент6 3" xfId="699"/>
    <cellStyle name="Беззащитный" xfId="701"/>
    <cellStyle name="Ввод  2" xfId="703"/>
    <cellStyle name="Ввод  2 2" xfId="1285"/>
    <cellStyle name="Ввод  2 3" xfId="1431"/>
    <cellStyle name="Ввод  2 4" xfId="1781"/>
    <cellStyle name="Ввод  3" xfId="702"/>
    <cellStyle name="Ввод  3 2" xfId="1284"/>
    <cellStyle name="Ввод  3 3" xfId="1430"/>
    <cellStyle name="Ввод  3 4" xfId="1780"/>
    <cellStyle name="Вывод 2" xfId="705"/>
    <cellStyle name="Вывод 2 2" xfId="1287"/>
    <cellStyle name="Вывод 2 3" xfId="1433"/>
    <cellStyle name="Вывод 2 4" xfId="1783"/>
    <cellStyle name="Вывод 3" xfId="704"/>
    <cellStyle name="Вывод 3 2" xfId="1286"/>
    <cellStyle name="Вывод 3 3" xfId="1432"/>
    <cellStyle name="Вывод 3 4" xfId="1782"/>
    <cellStyle name="Вычисление 2" xfId="707"/>
    <cellStyle name="Вычисление 2 2" xfId="1289"/>
    <cellStyle name="Вычисление 2 3" xfId="1435"/>
    <cellStyle name="Вычисление 2 4" xfId="1785"/>
    <cellStyle name="Вычисление 3" xfId="706"/>
    <cellStyle name="Вычисление 3 2" xfId="1288"/>
    <cellStyle name="Вычисление 3 3" xfId="1434"/>
    <cellStyle name="Вычисление 3 4" xfId="1784"/>
    <cellStyle name="Гиперссылка 2" xfId="708"/>
    <cellStyle name="Заголовок" xfId="709"/>
    <cellStyle name="Заголовок 1 2" xfId="711"/>
    <cellStyle name="Заголовок 1 3" xfId="710"/>
    <cellStyle name="Заголовок 2 2" xfId="713"/>
    <cellStyle name="Заголовок 2 3" xfId="712"/>
    <cellStyle name="Заголовок 3 2" xfId="715"/>
    <cellStyle name="Заголовок 3 2 2" xfId="1437"/>
    <cellStyle name="Заголовок 3 2 3" xfId="1466"/>
    <cellStyle name="Заголовок 3 2 4" xfId="1850"/>
    <cellStyle name="Заголовок 3 2 5" xfId="1791"/>
    <cellStyle name="Заголовок 3 2 6" xfId="1789"/>
    <cellStyle name="Заголовок 3 2 7" xfId="1856"/>
    <cellStyle name="Заголовок 3 2 8" xfId="1864"/>
    <cellStyle name="Заголовок 3 2 9" xfId="1858"/>
    <cellStyle name="Заголовок 3 3" xfId="714"/>
    <cellStyle name="Заголовок 3 3 2" xfId="1436"/>
    <cellStyle name="Заголовок 3 3 3" xfId="1467"/>
    <cellStyle name="Заголовок 3 3 4" xfId="1849"/>
    <cellStyle name="Заголовок 3 3 5" xfId="1790"/>
    <cellStyle name="Заголовок 3 3 6" xfId="1788"/>
    <cellStyle name="Заголовок 3 3 7" xfId="1857"/>
    <cellStyle name="Заголовок 3 3 8" xfId="1865"/>
    <cellStyle name="Заголовок 3 3 9" xfId="1859"/>
    <cellStyle name="Заголовок 4 2" xfId="717"/>
    <cellStyle name="Заголовок 4 3" xfId="716"/>
    <cellStyle name="ЗаголовокСтолбца" xfId="718"/>
    <cellStyle name="Защитный" xfId="719"/>
    <cellStyle name="Значение" xfId="720"/>
    <cellStyle name="Значение 2" xfId="1438"/>
    <cellStyle name="Значение 3" xfId="1461"/>
    <cellStyle name="Значение 4" xfId="1851"/>
    <cellStyle name="Значение 5" xfId="1792"/>
    <cellStyle name="Итог 2" xfId="722"/>
    <cellStyle name="Итог 2 2" xfId="1291"/>
    <cellStyle name="Итог 2 3" xfId="1440"/>
    <cellStyle name="Итог 2 4" xfId="1787"/>
    <cellStyle name="Итог 3" xfId="721"/>
    <cellStyle name="Итог 3 2" xfId="1290"/>
    <cellStyle name="Итог 3 3" xfId="1439"/>
    <cellStyle name="Итог 3 4" xfId="1786"/>
    <cellStyle name="Контрольная ячейка 2" xfId="724"/>
    <cellStyle name="Контрольная ячейка 3" xfId="723"/>
    <cellStyle name="Название 2" xfId="726"/>
    <cellStyle name="Название 3" xfId="725"/>
    <cellStyle name="Нейтральный 2" xfId="728"/>
    <cellStyle name="Нейтральный 3" xfId="727"/>
    <cellStyle name="Обычный" xfId="0" builtinId="0"/>
    <cellStyle name="Обычный 10" xfId="13"/>
    <cellStyle name="Обычный 10 2" xfId="12"/>
    <cellStyle name="Обычный 100" xfId="9"/>
    <cellStyle name="Обычный 11" xfId="729"/>
    <cellStyle name="Обычный 12" xfId="730"/>
    <cellStyle name="Обычный 12 2" xfId="731"/>
    <cellStyle name="Обычный 12_Т-НахВТО-газ-28.09.12" xfId="732"/>
    <cellStyle name="Обычный 13" xfId="733"/>
    <cellStyle name="Обычный 14" xfId="11"/>
    <cellStyle name="Обычный 140 3" xfId="22"/>
    <cellStyle name="Обычный 140 3 2" xfId="845"/>
    <cellStyle name="Обычный 140 3 2 2" xfId="1898"/>
    <cellStyle name="Обычный 140 3 3" xfId="1311"/>
    <cellStyle name="Обычный 140 3 4" xfId="1484"/>
    <cellStyle name="Обычный 140 3 5" xfId="1810"/>
    <cellStyle name="Обычный 140 3 6" xfId="1880"/>
    <cellStyle name="Обычный 140 3 7" xfId="1897"/>
    <cellStyle name="Обычный 142" xfId="17"/>
    <cellStyle name="Обычный 15" xfId="734"/>
    <cellStyle name="Обычный 16" xfId="735"/>
    <cellStyle name="Обычный 16 2" xfId="736"/>
    <cellStyle name="Обычный 17" xfId="737"/>
    <cellStyle name="Обычный 18" xfId="738"/>
    <cellStyle name="Обычный 19" xfId="739"/>
    <cellStyle name="Обычный 2" xfId="3"/>
    <cellStyle name="Обычный 2 10" xfId="740"/>
    <cellStyle name="Обычный 2 10 2" xfId="4"/>
    <cellStyle name="Обычный 2 11" xfId="741"/>
    <cellStyle name="Обычный 2 11 2" xfId="742"/>
    <cellStyle name="Обычный 2 11_Т-НахВТО-газ-28.09.12" xfId="743"/>
    <cellStyle name="Обычный 2 12" xfId="744"/>
    <cellStyle name="Обычный 2 12 2" xfId="745"/>
    <cellStyle name="Обычный 2 12_Т-НахВТО-газ-28.09.12" xfId="746"/>
    <cellStyle name="Обычный 2 13" xfId="747"/>
    <cellStyle name="Обычный 2 14" xfId="748"/>
    <cellStyle name="Обычный 2 15" xfId="749"/>
    <cellStyle name="Обычный 2 2" xfId="5"/>
    <cellStyle name="Обычный 2 3" xfId="750"/>
    <cellStyle name="Обычный 2 4" xfId="751"/>
    <cellStyle name="Обычный 2 4 2" xfId="1292"/>
    <cellStyle name="Обычный 2 4 3" xfId="1469"/>
    <cellStyle name="Обычный 2 4 4" xfId="1793"/>
    <cellStyle name="Обычный 2 4 5" xfId="1866"/>
    <cellStyle name="Обычный 2 4 6" xfId="1884"/>
    <cellStyle name="Обычный 2 5" xfId="752"/>
    <cellStyle name="Обычный 2 6" xfId="753"/>
    <cellStyle name="Обычный 2 7" xfId="754"/>
    <cellStyle name="Обычный 2 8" xfId="755"/>
    <cellStyle name="Обычный 2 9" xfId="756"/>
    <cellStyle name="Обычный 2_Т-НахВТО-газ-28.09.12" xfId="757"/>
    <cellStyle name="Обычный 20" xfId="758"/>
    <cellStyle name="Обычный 21" xfId="759"/>
    <cellStyle name="Обычный 22" xfId="760"/>
    <cellStyle name="Обычный 23" xfId="761"/>
    <cellStyle name="Обычный 24" xfId="762"/>
    <cellStyle name="Обычный 25" xfId="763"/>
    <cellStyle name="Обычный 25 2" xfId="8"/>
    <cellStyle name="Обычный 26" xfId="764"/>
    <cellStyle name="Обычный 27" xfId="765"/>
    <cellStyle name="Обычный 28" xfId="766"/>
    <cellStyle name="Обычный 28 2" xfId="1293"/>
    <cellStyle name="Обычный 28 3" xfId="1470"/>
    <cellStyle name="Обычный 28 4" xfId="1794"/>
    <cellStyle name="Обычный 28 5" xfId="1867"/>
    <cellStyle name="Обычный 28 6" xfId="1885"/>
    <cellStyle name="Обычный 29" xfId="25"/>
    <cellStyle name="Обычный 3" xfId="23"/>
    <cellStyle name="Обычный 3 10" xfId="1868"/>
    <cellStyle name="Обычный 3 11" xfId="1886"/>
    <cellStyle name="Обычный 3 2" xfId="768"/>
    <cellStyle name="Обычный 3 2 19" xfId="10"/>
    <cellStyle name="Обычный 3 2 2" xfId="769"/>
    <cellStyle name="Обычный 3 2 2 2" xfId="1296"/>
    <cellStyle name="Обычный 3 2 2 3" xfId="1473"/>
    <cellStyle name="Обычный 3 2 2 4" xfId="1797"/>
    <cellStyle name="Обычный 3 2 2 5" xfId="1870"/>
    <cellStyle name="Обычный 3 2 2 6" xfId="1888"/>
    <cellStyle name="Обычный 3 2 3" xfId="1295"/>
    <cellStyle name="Обычный 3 2 4" xfId="1472"/>
    <cellStyle name="Обычный 3 2 5" xfId="1796"/>
    <cellStyle name="Обычный 3 2 6" xfId="1869"/>
    <cellStyle name="Обычный 3 2 7" xfId="1887"/>
    <cellStyle name="Обычный 3 3" xfId="770"/>
    <cellStyle name="Обычный 3 4" xfId="771"/>
    <cellStyle name="Обычный 3 5" xfId="772"/>
    <cellStyle name="Обычный 3 6" xfId="767"/>
    <cellStyle name="Обычный 3 7" xfId="1294"/>
    <cellStyle name="Обычный 3 8" xfId="1471"/>
    <cellStyle name="Обычный 3 9" xfId="1795"/>
    <cellStyle name="Обычный 3_RZD_2009-2030_macromodel_090518" xfId="773"/>
    <cellStyle name="Обычный 30" xfId="21"/>
    <cellStyle name="Обычный 30 2" xfId="846"/>
    <cellStyle name="Обычный 31" xfId="24"/>
    <cellStyle name="Обычный 32" xfId="847"/>
    <cellStyle name="Обычный 33" xfId="1308"/>
    <cellStyle name="Обычный 34" xfId="1446"/>
    <cellStyle name="Обычный 34 11" xfId="2"/>
    <cellStyle name="Обычный 35" xfId="1463"/>
    <cellStyle name="Обычный 36" xfId="1464"/>
    <cellStyle name="Обычный 37" xfId="1482"/>
    <cellStyle name="Обычный 38" xfId="1485"/>
    <cellStyle name="Обычный 39" xfId="1486"/>
    <cellStyle name="Обычный 4" xfId="774"/>
    <cellStyle name="Обычный 4 10" xfId="1798"/>
    <cellStyle name="Обычный 4 11" xfId="1871"/>
    <cellStyle name="Обычный 4 12" xfId="1889"/>
    <cellStyle name="Обычный 4 2" xfId="775"/>
    <cellStyle name="Обычный 4 2 2" xfId="776"/>
    <cellStyle name="Обычный 4 2_Т-НахВТО-газ-28.09.12" xfId="777"/>
    <cellStyle name="Обычный 4 3" xfId="1298"/>
    <cellStyle name="Обычный 4 4" xfId="1441"/>
    <cellStyle name="Обычный 4 5" xfId="1462"/>
    <cellStyle name="Обычный 4 6" xfId="1445"/>
    <cellStyle name="Обычный 4 7" xfId="1474"/>
    <cellStyle name="Обычный 4 8" xfId="1465"/>
    <cellStyle name="Обычный 4 9" xfId="1483"/>
    <cellStyle name="Обычный 4_ЦФ запрос2008-2009" xfId="778"/>
    <cellStyle name="Обычный 40" xfId="1807"/>
    <cellStyle name="Обычный 41" xfId="1852"/>
    <cellStyle name="Обычный 42" xfId="1853"/>
    <cellStyle name="Обычный 43" xfId="1854"/>
    <cellStyle name="Обычный 44" xfId="1855"/>
    <cellStyle name="Обычный 45" xfId="1877"/>
    <cellStyle name="Обычный 46" xfId="1881"/>
    <cellStyle name="Обычный 47" xfId="1882"/>
    <cellStyle name="Обычный 48" xfId="1883"/>
    <cellStyle name="Обычный 49" xfId="1899"/>
    <cellStyle name="Обычный 5" xfId="779"/>
    <cellStyle name="Обычный 5 2" xfId="1299"/>
    <cellStyle name="Обычный 5 3" xfId="1475"/>
    <cellStyle name="Обычный 5 4" xfId="1799"/>
    <cellStyle name="Обычный 5 5" xfId="1872"/>
    <cellStyle name="Обычный 5 6" xfId="1890"/>
    <cellStyle name="Обычный 6" xfId="780"/>
    <cellStyle name="Обычный 6 2" xfId="1300"/>
    <cellStyle name="Обычный 6 2 13" xfId="16"/>
    <cellStyle name="Обычный 6 2 2" xfId="14"/>
    <cellStyle name="Обычный 6 3" xfId="1476"/>
    <cellStyle name="Обычный 6 4" xfId="1800"/>
    <cellStyle name="Обычный 6 5" xfId="1873"/>
    <cellStyle name="Обычный 6 6" xfId="1891"/>
    <cellStyle name="Обычный 7" xfId="781"/>
    <cellStyle name="Обычный 7 2" xfId="1301"/>
    <cellStyle name="Обычный 7 3" xfId="1477"/>
    <cellStyle name="Обычный 7 4" xfId="1801"/>
    <cellStyle name="Обычный 7 5" xfId="1874"/>
    <cellStyle name="Обычный 7 6" xfId="1892"/>
    <cellStyle name="Обычный 8" xfId="782"/>
    <cellStyle name="Обычный 8 2" xfId="1302"/>
    <cellStyle name="Обычный 8 3" xfId="1478"/>
    <cellStyle name="Обычный 8 4" xfId="1802"/>
    <cellStyle name="Обычный 8 5" xfId="1875"/>
    <cellStyle name="Обычный 8 6" xfId="1893"/>
    <cellStyle name="Обычный 9" xfId="7"/>
    <cellStyle name="Обычный_Звездный бульвар" xfId="19"/>
    <cellStyle name="Обычный_Сб-macro 2020" xfId="6"/>
    <cellStyle name="Обычный_Сводный Рыбинская" xfId="20"/>
    <cellStyle name="Плохой 2" xfId="784"/>
    <cellStyle name="Плохой 3" xfId="783"/>
    <cellStyle name="Пояснение 2" xfId="786"/>
    <cellStyle name="Пояснение 3" xfId="785"/>
    <cellStyle name="Примечание 2" xfId="788"/>
    <cellStyle name="Примечание 2 2" xfId="1304"/>
    <cellStyle name="Примечание 2 3" xfId="1443"/>
    <cellStyle name="Примечание 2 4" xfId="1804"/>
    <cellStyle name="Примечание 3" xfId="787"/>
    <cellStyle name="Примечание 3 2" xfId="1303"/>
    <cellStyle name="Примечание 3 3" xfId="1442"/>
    <cellStyle name="Примечание 3 4" xfId="1803"/>
    <cellStyle name="Процентный 10" xfId="15"/>
    <cellStyle name="Процентный 11" xfId="789"/>
    <cellStyle name="Процентный 12" xfId="790"/>
    <cellStyle name="Процентный 2" xfId="791"/>
    <cellStyle name="Процентный 2 2" xfId="792"/>
    <cellStyle name="Процентный 2 2 2" xfId="793"/>
    <cellStyle name="Процентный 3" xfId="794"/>
    <cellStyle name="Процентный 3 2" xfId="1306"/>
    <cellStyle name="Процентный 3 3" xfId="1479"/>
    <cellStyle name="Процентный 3 4" xfId="1805"/>
    <cellStyle name="Процентный 3 5" xfId="1876"/>
    <cellStyle name="Процентный 3 6" xfId="1894"/>
    <cellStyle name="Процентный 4" xfId="795"/>
    <cellStyle name="Процентный 5" xfId="796"/>
    <cellStyle name="Процентный 6" xfId="797"/>
    <cellStyle name="Процентный 7" xfId="798"/>
    <cellStyle name="Процентный 8" xfId="799"/>
    <cellStyle name="Процентный 9" xfId="800"/>
    <cellStyle name="Сверхулин" xfId="801"/>
    <cellStyle name="Сверхулин 2" xfId="1307"/>
    <cellStyle name="Сверхулин 3" xfId="1444"/>
    <cellStyle name="Сверхулин 4" xfId="1806"/>
    <cellStyle name="Связанная ячейка 2" xfId="803"/>
    <cellStyle name="Связанная ячейка 3" xfId="802"/>
    <cellStyle name="смр" xfId="804"/>
    <cellStyle name="Стиль 1" xfId="805"/>
    <cellStyle name="Стиль 1 2" xfId="806"/>
    <cellStyle name="Стиль 1 3" xfId="807"/>
    <cellStyle name="Стиль 1 4" xfId="808"/>
    <cellStyle name="Стиль 1 5" xfId="809"/>
    <cellStyle name="Стиль 1 6" xfId="810"/>
    <cellStyle name="Стиль 1 7" xfId="811"/>
    <cellStyle name="Стиль 1_Книга2" xfId="812"/>
    <cellStyle name="ТаблицаТекст" xfId="813"/>
    <cellStyle name="Текст предупреждения 2" xfId="815"/>
    <cellStyle name="Текст предупреждения 3" xfId="814"/>
    <cellStyle name="Тысячи [0]_01.01.98" xfId="816"/>
    <cellStyle name="Тысячи_01.01.98" xfId="817"/>
    <cellStyle name="Финансовый" xfId="1" builtinId="3"/>
    <cellStyle name="Финансовый 10" xfId="819"/>
    <cellStyle name="Финансовый 11" xfId="820"/>
    <cellStyle name="Финансовый 12" xfId="821"/>
    <cellStyle name="Финансовый 13" xfId="822"/>
    <cellStyle name="Финансовый 14" xfId="823"/>
    <cellStyle name="Финансовый 15" xfId="824"/>
    <cellStyle name="Финансовый 16" xfId="818"/>
    <cellStyle name="Финансовый 18" xfId="18"/>
    <cellStyle name="Финансовый 2" xfId="825"/>
    <cellStyle name="Финансовый 2 10" xfId="826"/>
    <cellStyle name="Финансовый 2 2" xfId="827"/>
    <cellStyle name="Финансовый 2 3" xfId="828"/>
    <cellStyle name="Финансовый 2 4" xfId="829"/>
    <cellStyle name="Финансовый 2 5" xfId="830"/>
    <cellStyle name="Финансовый 2 6" xfId="831"/>
    <cellStyle name="Финансовый 2 7" xfId="832"/>
    <cellStyle name="Финансовый 2 8" xfId="833"/>
    <cellStyle name="Финансовый 2 9" xfId="834"/>
    <cellStyle name="Финансовый 3" xfId="835"/>
    <cellStyle name="Финансовый 3 2" xfId="1309"/>
    <cellStyle name="Финансовый 3 3" xfId="1480"/>
    <cellStyle name="Финансовый 3 4" xfId="1808"/>
    <cellStyle name="Финансовый 3 5" xfId="1878"/>
    <cellStyle name="Финансовый 3 6" xfId="1895"/>
    <cellStyle name="Финансовый 4" xfId="836"/>
    <cellStyle name="Финансовый 4 2" xfId="1310"/>
    <cellStyle name="Финансовый 4 3" xfId="1481"/>
    <cellStyle name="Финансовый 4 4" xfId="1809"/>
    <cellStyle name="Финансовый 4 5" xfId="1879"/>
    <cellStyle name="Финансовый 4 6" xfId="1896"/>
    <cellStyle name="Финансовый 5" xfId="837"/>
    <cellStyle name="Финансовый 6" xfId="838"/>
    <cellStyle name="Финансовый 7" xfId="839"/>
    <cellStyle name="Финансовый 8" xfId="840"/>
    <cellStyle name="Финансовый 9" xfId="841"/>
    <cellStyle name="Формула_Книга1" xfId="842"/>
    <cellStyle name="Хороший 2" xfId="844"/>
    <cellStyle name="Хороший 3" xfId="843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Medium9"/>
  <colors>
    <mruColors>
      <color rgb="FFCCCCFF"/>
      <color rgb="FFCCFFCC"/>
      <color rgb="FFCCECFF"/>
      <color rgb="FFFFCCFF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dudkinpa\AppData\Local\Microsoft\Windows\INetCache\Content.Outlook\S6U5KSIK\&#1064;&#1072;&#1073;&#1083;&#1086;&#1085;%20&#1084;&#1072;&#1089;&#1089;&#1086;&#1074;&#1086;&#1081;%20&#1079;&#1072;&#1075;&#1088;&#1091;&#1079;&#1082;&#1080;%20&#1057;&#1057;&#1056;_&#1087;&#1088;&#1080;&#1084;&#1077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V20"/>
  <sheetViews>
    <sheetView zoomScale="90" zoomScaleNormal="90" workbookViewId="0">
      <selection activeCell="I5" sqref="I5:T5"/>
    </sheetView>
  </sheetViews>
  <sheetFormatPr defaultRowHeight="15"/>
  <sheetData>
    <row r="1" spans="2:22" ht="24.75" customHeight="1">
      <c r="B1" s="628" t="s">
        <v>326</v>
      </c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8"/>
      <c r="R1" s="628"/>
      <c r="S1" s="628"/>
      <c r="T1" s="628"/>
      <c r="U1" s="628"/>
      <c r="V1" s="628"/>
    </row>
    <row r="3" spans="2:22" ht="31.5" customHeight="1">
      <c r="B3" s="1" t="s">
        <v>0</v>
      </c>
      <c r="C3" s="2"/>
      <c r="D3" s="629" t="s">
        <v>772</v>
      </c>
      <c r="E3" s="629"/>
      <c r="F3" s="629"/>
      <c r="G3" s="629"/>
      <c r="H3" s="629"/>
      <c r="I3" s="629"/>
      <c r="J3" s="629"/>
      <c r="K3" s="3"/>
      <c r="L3" s="3"/>
      <c r="M3" s="3"/>
      <c r="N3" s="3"/>
      <c r="O3" s="3"/>
      <c r="P3" s="3"/>
      <c r="Q3" s="3"/>
    </row>
    <row r="4" spans="2:22" ht="16.5"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82.5" customHeight="1">
      <c r="B5" s="1" t="s">
        <v>1</v>
      </c>
      <c r="C5" s="2"/>
      <c r="D5" s="630" t="s">
        <v>2</v>
      </c>
      <c r="E5" s="631"/>
      <c r="F5" s="631"/>
      <c r="G5" s="631"/>
      <c r="H5" s="632"/>
      <c r="I5" s="633" t="s">
        <v>788</v>
      </c>
      <c r="J5" s="634"/>
      <c r="K5" s="634"/>
      <c r="L5" s="634"/>
      <c r="M5" s="634"/>
      <c r="N5" s="634"/>
      <c r="O5" s="634"/>
      <c r="P5" s="635"/>
      <c r="Q5" s="635"/>
      <c r="R5" s="635"/>
      <c r="S5" s="635"/>
      <c r="T5" s="635"/>
    </row>
    <row r="6" spans="2:22" ht="16.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22" ht="40.5" customHeight="1">
      <c r="B7" s="627" t="s">
        <v>3</v>
      </c>
      <c r="C7" s="627"/>
      <c r="D7" s="636" t="s">
        <v>789</v>
      </c>
      <c r="E7" s="637"/>
      <c r="F7" s="637"/>
      <c r="G7" s="637"/>
      <c r="H7" s="637"/>
      <c r="I7" s="637"/>
      <c r="J7" s="637"/>
      <c r="K7" s="637"/>
      <c r="L7" s="637"/>
      <c r="M7" s="637"/>
      <c r="N7" s="637"/>
      <c r="O7" s="637"/>
      <c r="P7" s="637"/>
      <c r="Q7" s="637"/>
      <c r="R7" s="637"/>
      <c r="S7" s="637"/>
      <c r="T7" s="638"/>
    </row>
    <row r="8" spans="2:22" ht="43.5" customHeight="1">
      <c r="B8" s="639" t="s">
        <v>4</v>
      </c>
      <c r="C8" s="639"/>
      <c r="D8" s="5"/>
      <c r="E8" s="6">
        <v>3</v>
      </c>
      <c r="F8" s="7"/>
      <c r="G8" s="7"/>
      <c r="H8" s="2"/>
    </row>
    <row r="9" spans="2:22" ht="52.5" customHeight="1">
      <c r="B9" s="640" t="s">
        <v>5</v>
      </c>
      <c r="C9" s="640"/>
      <c r="D9" s="625">
        <v>15</v>
      </c>
      <c r="E9" s="626"/>
      <c r="F9" s="8"/>
      <c r="G9" s="8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22" ht="16.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22" ht="16.5">
      <c r="B11" s="4" t="s">
        <v>6</v>
      </c>
      <c r="C11" s="2"/>
      <c r="D11" s="9"/>
      <c r="E11" s="9"/>
      <c r="F11" s="9"/>
      <c r="G11" s="9"/>
      <c r="H11" s="9"/>
      <c r="I11" s="2"/>
      <c r="J11" s="2"/>
      <c r="K11" s="2"/>
      <c r="L11" s="2"/>
      <c r="M11" s="2"/>
      <c r="N11" s="2"/>
      <c r="O11" s="2"/>
      <c r="P11" s="2"/>
      <c r="Q11" s="2"/>
    </row>
    <row r="12" spans="2:22" ht="16.5">
      <c r="B12" s="4" t="s">
        <v>7</v>
      </c>
      <c r="C12" s="2"/>
      <c r="D12" s="1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22" ht="16.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22" ht="21.75" customHeight="1">
      <c r="B14" s="641"/>
      <c r="C14" s="641"/>
      <c r="D14" s="11"/>
      <c r="E14" s="11"/>
      <c r="F14" s="12" t="s">
        <v>8</v>
      </c>
      <c r="G14" s="11"/>
      <c r="H14" s="11"/>
      <c r="I14" s="11"/>
      <c r="J14" s="2"/>
      <c r="K14" s="2"/>
      <c r="L14" s="2"/>
      <c r="M14" s="2"/>
      <c r="N14" s="2"/>
      <c r="O14" s="2"/>
      <c r="P14" s="2"/>
      <c r="Q14" s="2"/>
    </row>
    <row r="15" spans="2:22" ht="32.25" customHeight="1">
      <c r="B15" s="627" t="s">
        <v>329</v>
      </c>
      <c r="C15" s="627"/>
      <c r="D15" s="627"/>
      <c r="E15" s="13">
        <v>2026</v>
      </c>
      <c r="F15" s="14">
        <f>E15</f>
        <v>2026</v>
      </c>
      <c r="G15" s="15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22" ht="16.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8.5" customHeight="1">
      <c r="B17" s="627" t="s">
        <v>9</v>
      </c>
      <c r="C17" s="627"/>
      <c r="D17" s="627"/>
      <c r="E17" s="627"/>
      <c r="F17" s="627"/>
      <c r="G17" s="627"/>
      <c r="H17" s="627"/>
      <c r="I17" s="16"/>
      <c r="J17" s="17" t="s">
        <v>10</v>
      </c>
      <c r="K17" s="2"/>
      <c r="L17" s="2"/>
      <c r="M17" s="2"/>
      <c r="N17" s="2"/>
      <c r="O17" s="2"/>
      <c r="P17" s="2"/>
      <c r="Q17" s="2"/>
    </row>
    <row r="18" spans="2:17" ht="16.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20" spans="2:17" ht="32.25" customHeight="1">
      <c r="B20" s="623" t="s">
        <v>328</v>
      </c>
      <c r="C20" s="624"/>
      <c r="D20" s="624"/>
      <c r="E20" s="624"/>
      <c r="F20" s="624"/>
      <c r="G20" s="624"/>
      <c r="H20" s="624"/>
      <c r="I20" s="625" t="s">
        <v>771</v>
      </c>
      <c r="J20" s="626"/>
    </row>
  </sheetData>
  <mergeCells count="14">
    <mergeCell ref="B20:H20"/>
    <mergeCell ref="I20:J20"/>
    <mergeCell ref="B17:H17"/>
    <mergeCell ref="B1:V1"/>
    <mergeCell ref="D3:J3"/>
    <mergeCell ref="D5:H5"/>
    <mergeCell ref="I5:T5"/>
    <mergeCell ref="B7:C7"/>
    <mergeCell ref="D7:T7"/>
    <mergeCell ref="B8:C8"/>
    <mergeCell ref="B9:C9"/>
    <mergeCell ref="D9:E9"/>
    <mergeCell ref="B14:C14"/>
    <mergeCell ref="B15:D15"/>
  </mergeCells>
  <pageMargins left="0.25" right="0.25" top="0.75" bottom="0.75" header="0.3" footer="0.3"/>
  <pageSetup paperSize="9" scale="72" orientation="landscape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7"/>
  <sheetViews>
    <sheetView zoomScale="70" zoomScaleNormal="70" workbookViewId="0">
      <selection activeCell="B10" sqref="B10:J107"/>
    </sheetView>
  </sheetViews>
  <sheetFormatPr defaultColWidth="17.42578125" defaultRowHeight="15.75" outlineLevelRow="1"/>
  <cols>
    <col min="1" max="1" width="38.140625" style="113" customWidth="1"/>
    <col min="2" max="2" width="39" style="108" customWidth="1"/>
    <col min="3" max="3" width="21.85546875" style="113" customWidth="1"/>
    <col min="4" max="4" width="12.85546875" style="113" customWidth="1"/>
    <col min="5" max="8" width="10.7109375" style="113" customWidth="1"/>
    <col min="9" max="9" width="12.5703125" style="113" customWidth="1"/>
    <col min="10" max="10" width="10.7109375" style="113" customWidth="1"/>
    <col min="11" max="11" width="13.140625" style="113" customWidth="1"/>
    <col min="12" max="12" width="10.7109375" style="113" customWidth="1"/>
    <col min="13" max="13" width="11.42578125" style="113" customWidth="1"/>
    <col min="14" max="14" width="9.7109375" style="113" customWidth="1"/>
    <col min="15" max="15" width="10.28515625" style="113" customWidth="1"/>
    <col min="16" max="16" width="10.7109375" style="113" customWidth="1"/>
    <col min="17" max="17" width="10.140625" style="113" customWidth="1"/>
    <col min="18" max="18" width="9.7109375" style="113" customWidth="1"/>
    <col min="19" max="19" width="9.85546875" style="113" customWidth="1"/>
    <col min="20" max="22" width="8.85546875" style="112" customWidth="1"/>
    <col min="23" max="23" width="10.5703125" style="112" customWidth="1"/>
    <col min="24" max="24" width="10" style="112" customWidth="1"/>
    <col min="25" max="25" width="11.28515625" style="113" customWidth="1"/>
    <col min="26" max="16384" width="17.42578125" style="113"/>
  </cols>
  <sheetData>
    <row r="1" spans="1:25" ht="33.75" customHeight="1">
      <c r="A1" s="107" t="s">
        <v>55</v>
      </c>
      <c r="C1" s="109"/>
      <c r="D1" s="109"/>
      <c r="E1" s="109"/>
      <c r="F1" s="110"/>
      <c r="G1" s="111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25" s="118" customFormat="1" ht="93" customHeight="1">
      <c r="A2" s="114" t="s">
        <v>56</v>
      </c>
      <c r="B2" s="115" t="s">
        <v>57</v>
      </c>
      <c r="C2" s="115" t="s">
        <v>58</v>
      </c>
      <c r="D2" s="116" t="s">
        <v>59</v>
      </c>
      <c r="E2" s="116" t="s">
        <v>60</v>
      </c>
      <c r="F2" s="116" t="s">
        <v>61</v>
      </c>
      <c r="G2" s="116" t="s">
        <v>62</v>
      </c>
      <c r="H2" s="116" t="s">
        <v>63</v>
      </c>
      <c r="I2" s="116" t="s">
        <v>64</v>
      </c>
      <c r="J2" s="116" t="s">
        <v>65</v>
      </c>
      <c r="K2" s="116" t="s">
        <v>66</v>
      </c>
      <c r="L2" s="116" t="s">
        <v>67</v>
      </c>
      <c r="M2" s="116" t="s">
        <v>68</v>
      </c>
      <c r="N2" s="116" t="s">
        <v>69</v>
      </c>
      <c r="O2" s="116" t="s">
        <v>70</v>
      </c>
      <c r="P2" s="116" t="s">
        <v>71</v>
      </c>
      <c r="Q2" s="116" t="s">
        <v>72</v>
      </c>
      <c r="R2" s="116" t="s">
        <v>73</v>
      </c>
      <c r="S2" s="116" t="s">
        <v>74</v>
      </c>
      <c r="T2" s="117">
        <v>2031</v>
      </c>
      <c r="U2" s="117">
        <v>2032</v>
      </c>
      <c r="V2" s="117">
        <v>2033</v>
      </c>
      <c r="W2" s="117">
        <v>2034</v>
      </c>
      <c r="X2" s="117">
        <v>2035</v>
      </c>
      <c r="Y2" s="117">
        <v>2036</v>
      </c>
    </row>
    <row r="3" spans="1:25" s="119" customFormat="1" ht="81" customHeight="1">
      <c r="A3" s="903" t="s">
        <v>75</v>
      </c>
      <c r="B3" s="903" t="s">
        <v>322</v>
      </c>
      <c r="C3" s="903" t="s">
        <v>324</v>
      </c>
      <c r="D3" s="402">
        <v>114.30972260932106</v>
      </c>
      <c r="E3" s="403">
        <v>106.3005726762904</v>
      </c>
      <c r="F3" s="404">
        <v>103.69498560435535</v>
      </c>
      <c r="G3" s="405">
        <v>105.2557</v>
      </c>
      <c r="H3" s="405">
        <v>106.826398641827</v>
      </c>
      <c r="I3" s="406">
        <v>105.56188522495653</v>
      </c>
      <c r="J3" s="383">
        <v>104.9354</v>
      </c>
      <c r="K3" s="407">
        <v>114.63142733059361</v>
      </c>
      <c r="L3" s="434">
        <v>109.09646626082731</v>
      </c>
      <c r="M3" s="435">
        <v>108.14</v>
      </c>
      <c r="N3" s="435">
        <v>107.4</v>
      </c>
      <c r="O3" s="435">
        <v>105.5</v>
      </c>
      <c r="P3" s="436">
        <v>104.1</v>
      </c>
      <c r="Q3" s="408">
        <v>104.1</v>
      </c>
      <c r="R3" s="408">
        <v>104.1</v>
      </c>
      <c r="S3" s="408">
        <v>104.1</v>
      </c>
      <c r="T3" s="408">
        <v>104.1</v>
      </c>
      <c r="U3" s="408">
        <v>104.1</v>
      </c>
      <c r="V3" s="408">
        <v>104.1</v>
      </c>
      <c r="W3" s="408">
        <v>104.1</v>
      </c>
      <c r="X3" s="408">
        <v>104.1</v>
      </c>
      <c r="Y3" s="408">
        <v>104.1</v>
      </c>
    </row>
    <row r="4" spans="1:25" s="120" customFormat="1" ht="164.25" customHeight="1">
      <c r="A4" s="903"/>
      <c r="B4" s="903"/>
      <c r="C4" s="904"/>
      <c r="D4" s="409">
        <v>105</v>
      </c>
      <c r="E4" s="410">
        <v>105.28</v>
      </c>
      <c r="F4" s="410">
        <v>106</v>
      </c>
      <c r="G4" s="411">
        <v>105.1</v>
      </c>
      <c r="H4" s="411">
        <v>107</v>
      </c>
      <c r="I4" s="411">
        <v>107.1</v>
      </c>
      <c r="J4" s="411">
        <v>106.9</v>
      </c>
      <c r="K4" s="411">
        <v>106.5</v>
      </c>
      <c r="L4" s="411">
        <v>106.7</v>
      </c>
      <c r="M4" s="411">
        <v>106.8</v>
      </c>
      <c r="N4" s="412">
        <v>104.59423080876481</v>
      </c>
      <c r="O4" s="412">
        <v>104.60841788467178</v>
      </c>
      <c r="P4" s="412">
        <v>104.60498238005394</v>
      </c>
      <c r="Q4" s="412">
        <v>104.61543786962289</v>
      </c>
      <c r="R4" s="412">
        <v>104.60146939774303</v>
      </c>
      <c r="S4" s="412">
        <v>104.65545624062253</v>
      </c>
      <c r="T4" s="412">
        <v>104.51334550401226</v>
      </c>
      <c r="U4" s="412">
        <v>104.48145091589475</v>
      </c>
      <c r="V4" s="412">
        <v>104.36301700416995</v>
      </c>
      <c r="W4" s="412">
        <v>104.2258269089634</v>
      </c>
      <c r="X4" s="412">
        <v>104.10743463259816</v>
      </c>
      <c r="Y4" s="412">
        <v>104.05223722631891</v>
      </c>
    </row>
    <row r="5" spans="1:25" s="120" customFormat="1" ht="38.25" customHeight="1">
      <c r="A5" s="428"/>
      <c r="B5" s="428"/>
      <c r="C5" s="428"/>
      <c r="D5" s="429"/>
      <c r="E5" s="430"/>
      <c r="F5" s="430"/>
      <c r="G5" s="431"/>
      <c r="H5" s="431"/>
      <c r="I5" s="431"/>
      <c r="J5" s="431"/>
      <c r="K5" s="431"/>
      <c r="L5" s="432"/>
      <c r="M5" s="432"/>
      <c r="N5" s="432">
        <f>'Прогнозная стоимость РСС ИП '!D9</f>
        <v>1.0369999999999999</v>
      </c>
      <c r="O5" s="432">
        <f>'Прогнозная стоимость РСС ИП '!E9</f>
        <v>1.1035350000000002</v>
      </c>
      <c r="P5" s="432">
        <f>'Прогнозная стоимость РСС ИП '!F9</f>
        <v>1.156297935</v>
      </c>
      <c r="Q5" s="432">
        <f>'Прогнозная стоимость РСС ИП '!G9</f>
        <v>1.2037061503349999</v>
      </c>
      <c r="R5" s="432">
        <f>'Прогнозная стоимость РСС ИП '!H9</f>
        <v>1.2530581024987348</v>
      </c>
      <c r="S5" s="432">
        <f>'Прогнозная стоимость РСС ИП '!I9</f>
        <v>1.3044334847011827</v>
      </c>
      <c r="T5" s="432"/>
      <c r="U5" s="432"/>
      <c r="V5" s="432"/>
      <c r="W5" s="432"/>
      <c r="X5" s="432"/>
      <c r="Y5" s="432"/>
    </row>
    <row r="6" spans="1:25" s="414" customFormat="1" ht="8.25" customHeight="1">
      <c r="A6" s="413"/>
      <c r="B6" s="386"/>
      <c r="C6" s="387"/>
      <c r="D6" s="388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401"/>
      <c r="U6" s="401"/>
      <c r="V6" s="387"/>
      <c r="W6" s="387"/>
    </row>
    <row r="7" spans="1:25" s="414" customFormat="1" ht="8.25" customHeight="1">
      <c r="A7" s="413"/>
      <c r="B7" s="386"/>
      <c r="C7" s="387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  <c r="R7" s="390"/>
      <c r="S7" s="390"/>
      <c r="T7" s="401"/>
      <c r="U7" s="401"/>
      <c r="V7" s="387"/>
      <c r="W7" s="387"/>
    </row>
    <row r="8" spans="1:25" s="414" customFormat="1" ht="8.25" customHeight="1">
      <c r="A8" s="413"/>
      <c r="B8" s="386"/>
      <c r="C8" s="387"/>
      <c r="D8" s="390"/>
      <c r="E8" s="391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401"/>
      <c r="U8" s="401"/>
      <c r="V8" s="387"/>
      <c r="W8" s="387"/>
    </row>
    <row r="9" spans="1:25" s="414" customFormat="1" ht="10.5" customHeight="1">
      <c r="A9" s="413"/>
      <c r="B9" s="386"/>
      <c r="C9" s="387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388"/>
      <c r="R9" s="388"/>
      <c r="S9" s="388"/>
      <c r="T9" s="387"/>
      <c r="U9" s="387"/>
      <c r="V9" s="387"/>
      <c r="W9" s="387"/>
    </row>
    <row r="10" spans="1:25" s="393" customFormat="1" ht="103.5" customHeight="1">
      <c r="A10" s="415"/>
      <c r="B10" s="909" t="s">
        <v>782</v>
      </c>
      <c r="C10" s="772"/>
      <c r="D10" s="772"/>
      <c r="E10" s="772"/>
      <c r="F10" s="772"/>
      <c r="G10" s="772"/>
      <c r="H10" s="772"/>
      <c r="I10" s="772"/>
      <c r="J10" s="772"/>
      <c r="K10" s="437"/>
      <c r="L10" s="437"/>
      <c r="M10" s="437"/>
      <c r="N10" s="392"/>
      <c r="O10" s="392"/>
      <c r="P10" s="392"/>
    </row>
    <row r="11" spans="1:25" s="393" customFormat="1" ht="6" customHeight="1" thickBot="1">
      <c r="A11" s="415"/>
      <c r="B11" s="394"/>
    </row>
    <row r="12" spans="1:25" ht="16.5" thickBot="1">
      <c r="A12" s="122"/>
      <c r="B12" s="382"/>
      <c r="C12" s="384">
        <v>2024</v>
      </c>
      <c r="D12" s="384">
        <f t="shared" ref="D12:H12" si="0">C12+1</f>
        <v>2025</v>
      </c>
      <c r="E12" s="556">
        <f t="shared" si="0"/>
        <v>2026</v>
      </c>
      <c r="F12" s="556">
        <f t="shared" si="0"/>
        <v>2027</v>
      </c>
      <c r="G12" s="557">
        <f t="shared" si="0"/>
        <v>2028</v>
      </c>
      <c r="H12" s="558">
        <f t="shared" si="0"/>
        <v>2029</v>
      </c>
      <c r="I12" s="559">
        <f>H12+1</f>
        <v>2030</v>
      </c>
      <c r="J12" s="560">
        <f>I12+1</f>
        <v>2031</v>
      </c>
      <c r="K12" s="392"/>
      <c r="L12" s="392"/>
      <c r="M12" s="392"/>
      <c r="N12" s="392"/>
      <c r="O12" s="392"/>
      <c r="P12" s="392"/>
      <c r="Q12" s="112"/>
      <c r="R12" s="112"/>
      <c r="S12" s="112"/>
    </row>
    <row r="13" spans="1:25" ht="19.5" thickBot="1">
      <c r="A13" s="122"/>
      <c r="B13" s="561"/>
      <c r="C13" s="395" t="s">
        <v>783</v>
      </c>
      <c r="D13" s="562" t="s">
        <v>319</v>
      </c>
      <c r="E13" s="910" t="s">
        <v>320</v>
      </c>
      <c r="F13" s="911"/>
      <c r="G13" s="911"/>
      <c r="H13" s="912" t="s">
        <v>321</v>
      </c>
      <c r="I13" s="913"/>
      <c r="J13" s="914"/>
      <c r="K13" s="123"/>
      <c r="L13" s="123"/>
      <c r="M13" s="123"/>
      <c r="N13" s="123"/>
      <c r="O13" s="112"/>
      <c r="P13" s="112"/>
      <c r="Q13" s="112"/>
      <c r="R13" s="112"/>
      <c r="S13" s="112"/>
    </row>
    <row r="14" spans="1:25" ht="21" hidden="1" customHeight="1" outlineLevel="1">
      <c r="A14" s="122"/>
      <c r="B14" s="396"/>
      <c r="C14" s="112"/>
      <c r="D14" s="905"/>
      <c r="E14" s="905"/>
      <c r="F14" s="905"/>
      <c r="G14" s="905"/>
      <c r="H14" s="905"/>
      <c r="I14" s="905"/>
      <c r="J14" s="906"/>
      <c r="K14" s="112"/>
      <c r="L14" s="112"/>
      <c r="M14" s="112"/>
      <c r="N14" s="112"/>
      <c r="O14" s="112"/>
      <c r="P14" s="112"/>
      <c r="Q14" s="112"/>
      <c r="R14" s="112"/>
      <c r="S14" s="112"/>
    </row>
    <row r="15" spans="1:25" ht="15.75" hidden="1" customHeight="1" outlineLevel="1">
      <c r="A15" s="122"/>
      <c r="B15" s="396"/>
      <c r="C15" s="112"/>
      <c r="D15" s="112"/>
      <c r="E15" s="112"/>
      <c r="F15" s="112"/>
      <c r="G15" s="112"/>
      <c r="H15" s="112"/>
      <c r="I15" s="112"/>
      <c r="J15" s="397"/>
      <c r="K15" s="112"/>
      <c r="L15" s="112"/>
      <c r="M15" s="112"/>
      <c r="N15" s="112"/>
      <c r="O15" s="112"/>
      <c r="P15" s="112"/>
      <c r="Q15" s="112"/>
      <c r="R15" s="112"/>
      <c r="S15" s="112"/>
    </row>
    <row r="16" spans="1:25" ht="15.75" hidden="1" customHeight="1" outlineLevel="1">
      <c r="A16" s="122"/>
      <c r="B16" s="396"/>
      <c r="C16" s="112"/>
      <c r="D16" s="112"/>
      <c r="E16" s="112"/>
      <c r="F16" s="112"/>
      <c r="G16" s="112"/>
      <c r="H16" s="112"/>
      <c r="I16" s="112"/>
      <c r="J16" s="397"/>
      <c r="K16" s="112"/>
      <c r="L16" s="112"/>
      <c r="M16" s="112"/>
      <c r="N16" s="112"/>
      <c r="O16" s="112"/>
      <c r="P16" s="112"/>
      <c r="Q16" s="112"/>
      <c r="R16" s="112"/>
      <c r="S16" s="112"/>
    </row>
    <row r="17" spans="1:24" ht="15.75" hidden="1" customHeight="1" outlineLevel="1">
      <c r="A17" s="122"/>
      <c r="B17" s="396"/>
      <c r="C17" s="112"/>
      <c r="D17" s="124"/>
      <c r="E17" s="124"/>
      <c r="F17" s="125"/>
      <c r="G17" s="125"/>
      <c r="H17" s="125"/>
      <c r="I17" s="125"/>
      <c r="J17" s="398"/>
      <c r="K17" s="112"/>
      <c r="L17" s="112"/>
      <c r="M17" s="112"/>
      <c r="N17" s="112"/>
      <c r="O17" s="112"/>
      <c r="P17" s="112"/>
      <c r="Q17" s="112"/>
      <c r="R17" s="112"/>
      <c r="S17" s="112"/>
      <c r="T17" s="113"/>
      <c r="U17" s="113"/>
      <c r="V17" s="113"/>
      <c r="W17" s="113"/>
      <c r="X17" s="113"/>
    </row>
    <row r="18" spans="1:24" ht="15.75" hidden="1" customHeight="1" outlineLevel="1">
      <c r="A18" s="122"/>
      <c r="B18" s="396"/>
      <c r="C18" s="112"/>
      <c r="D18" s="112"/>
      <c r="E18" s="112"/>
      <c r="F18" s="112"/>
      <c r="G18" s="112"/>
      <c r="H18" s="112"/>
      <c r="I18" s="112"/>
      <c r="J18" s="397"/>
      <c r="K18" s="112"/>
      <c r="L18" s="112"/>
      <c r="M18" s="112"/>
      <c r="N18" s="112"/>
      <c r="O18" s="112"/>
      <c r="P18" s="112"/>
      <c r="Q18" s="112"/>
      <c r="R18" s="112"/>
      <c r="S18" s="112"/>
      <c r="T18" s="113"/>
      <c r="U18" s="113"/>
      <c r="V18" s="113"/>
      <c r="W18" s="113"/>
      <c r="X18" s="113"/>
    </row>
    <row r="19" spans="1:24" ht="15.75" hidden="1" customHeight="1" outlineLevel="1">
      <c r="A19" s="122"/>
      <c r="B19" s="396"/>
      <c r="C19" s="112"/>
      <c r="D19" s="126"/>
      <c r="E19" s="112"/>
      <c r="F19" s="112"/>
      <c r="G19" s="112"/>
      <c r="H19" s="112"/>
      <c r="I19" s="112"/>
      <c r="J19" s="397"/>
      <c r="K19" s="112"/>
      <c r="L19" s="112"/>
      <c r="M19" s="112"/>
      <c r="N19" s="112"/>
      <c r="O19" s="112"/>
      <c r="P19" s="112"/>
      <c r="Q19" s="112"/>
      <c r="R19" s="112"/>
      <c r="S19" s="112"/>
      <c r="T19" s="113"/>
      <c r="U19" s="113"/>
      <c r="V19" s="113"/>
      <c r="W19" s="113"/>
      <c r="X19" s="113"/>
    </row>
    <row r="20" spans="1:24" ht="15.75" hidden="1" customHeight="1" outlineLevel="1">
      <c r="A20" s="122"/>
      <c r="B20" s="396"/>
      <c r="C20" s="112"/>
      <c r="D20" s="112"/>
      <c r="E20" s="112"/>
      <c r="F20" s="112"/>
      <c r="G20" s="112"/>
      <c r="H20" s="112"/>
      <c r="I20" s="112"/>
      <c r="J20" s="397"/>
      <c r="K20" s="112"/>
      <c r="L20" s="112"/>
      <c r="M20" s="112"/>
      <c r="N20" s="112"/>
      <c r="O20" s="112"/>
      <c r="P20" s="112"/>
      <c r="Q20" s="112"/>
      <c r="R20" s="112"/>
      <c r="S20" s="112"/>
      <c r="T20" s="113"/>
      <c r="U20" s="113"/>
      <c r="V20" s="113"/>
      <c r="W20" s="113"/>
      <c r="X20" s="113"/>
    </row>
    <row r="21" spans="1:24" ht="15.75" hidden="1" customHeight="1" outlineLevel="1">
      <c r="A21" s="112"/>
      <c r="B21" s="399"/>
      <c r="C21" s="112"/>
      <c r="D21" s="112"/>
      <c r="E21" s="112"/>
      <c r="F21" s="112"/>
      <c r="G21" s="112"/>
      <c r="H21" s="112"/>
      <c r="I21" s="112"/>
      <c r="J21" s="397"/>
      <c r="K21" s="112"/>
      <c r="L21" s="112"/>
      <c r="M21" s="112"/>
      <c r="N21" s="112"/>
      <c r="O21" s="112"/>
      <c r="P21" s="112"/>
      <c r="Q21" s="112"/>
      <c r="R21" s="112"/>
      <c r="S21" s="112"/>
      <c r="T21" s="113"/>
      <c r="U21" s="113"/>
      <c r="V21" s="113"/>
      <c r="W21" s="113"/>
      <c r="X21" s="113"/>
    </row>
    <row r="22" spans="1:24" ht="15.75" hidden="1" customHeight="1" outlineLevel="1">
      <c r="A22" s="112"/>
      <c r="B22" s="399"/>
      <c r="C22" s="112"/>
      <c r="D22" s="112"/>
      <c r="E22" s="112"/>
      <c r="F22" s="112"/>
      <c r="G22" s="112"/>
      <c r="H22" s="112"/>
      <c r="I22" s="112"/>
      <c r="J22" s="397"/>
      <c r="K22" s="112"/>
      <c r="L22" s="112"/>
      <c r="M22" s="112"/>
      <c r="N22" s="112"/>
      <c r="O22" s="112"/>
      <c r="P22" s="112"/>
      <c r="Q22" s="112"/>
      <c r="R22" s="112"/>
      <c r="S22" s="112"/>
      <c r="T22" s="113"/>
      <c r="U22" s="113"/>
      <c r="V22" s="113"/>
      <c r="W22" s="113"/>
      <c r="X22" s="113"/>
    </row>
    <row r="23" spans="1:24" ht="15.75" hidden="1" customHeight="1" outlineLevel="1">
      <c r="A23" s="112"/>
      <c r="B23" s="399"/>
      <c r="C23" s="112"/>
      <c r="D23" s="112"/>
      <c r="E23" s="112"/>
      <c r="F23" s="112"/>
      <c r="G23" s="112"/>
      <c r="H23" s="112"/>
      <c r="I23" s="112"/>
      <c r="J23" s="397"/>
      <c r="K23" s="112"/>
      <c r="L23" s="112"/>
      <c r="M23" s="112"/>
      <c r="N23" s="112"/>
      <c r="O23" s="112"/>
      <c r="P23" s="112"/>
      <c r="Q23" s="112"/>
      <c r="R23" s="112"/>
      <c r="S23" s="112"/>
      <c r="T23" s="113"/>
      <c r="U23" s="113"/>
      <c r="V23" s="113"/>
      <c r="W23" s="113"/>
      <c r="X23" s="113"/>
    </row>
    <row r="24" spans="1:24" ht="15.75" hidden="1" customHeight="1" outlineLevel="1">
      <c r="A24" s="112"/>
      <c r="B24" s="399"/>
      <c r="C24" s="112"/>
      <c r="D24" s="112"/>
      <c r="E24" s="112"/>
      <c r="F24" s="112"/>
      <c r="G24" s="112"/>
      <c r="H24" s="112"/>
      <c r="I24" s="112"/>
      <c r="J24" s="397"/>
      <c r="K24" s="112"/>
      <c r="L24" s="112"/>
      <c r="M24" s="112"/>
      <c r="N24" s="112"/>
      <c r="O24" s="112"/>
      <c r="P24" s="112"/>
      <c r="Q24" s="112"/>
      <c r="R24" s="112"/>
      <c r="S24" s="112"/>
      <c r="T24" s="113"/>
      <c r="U24" s="113"/>
      <c r="V24" s="113"/>
      <c r="W24" s="113"/>
      <c r="X24" s="113"/>
    </row>
    <row r="25" spans="1:24" ht="15.75" hidden="1" customHeight="1" outlineLevel="1">
      <c r="A25" s="112"/>
      <c r="B25" s="399"/>
      <c r="C25" s="112"/>
      <c r="D25" s="112"/>
      <c r="E25" s="112"/>
      <c r="F25" s="112"/>
      <c r="G25" s="112"/>
      <c r="H25" s="112"/>
      <c r="I25" s="112"/>
      <c r="J25" s="397"/>
      <c r="K25" s="112"/>
      <c r="L25" s="112"/>
      <c r="M25" s="112"/>
      <c r="N25" s="112"/>
      <c r="O25" s="112"/>
      <c r="P25" s="112"/>
      <c r="Q25" s="112"/>
      <c r="R25" s="112"/>
      <c r="S25" s="112"/>
      <c r="T25" s="113"/>
      <c r="U25" s="113"/>
      <c r="V25" s="113"/>
      <c r="W25" s="113"/>
      <c r="X25" s="113"/>
    </row>
    <row r="26" spans="1:24" ht="15.75" hidden="1" customHeight="1" outlineLevel="1">
      <c r="A26" s="112"/>
      <c r="B26" s="399"/>
      <c r="C26" s="112"/>
      <c r="D26" s="112"/>
      <c r="E26" s="112"/>
      <c r="F26" s="112"/>
      <c r="G26" s="112"/>
      <c r="H26" s="112"/>
      <c r="I26" s="112"/>
      <c r="J26" s="397"/>
      <c r="K26" s="112"/>
      <c r="L26" s="112"/>
      <c r="M26" s="112"/>
      <c r="N26" s="112"/>
      <c r="O26" s="112"/>
      <c r="P26" s="112"/>
      <c r="Q26" s="112"/>
      <c r="R26" s="112"/>
      <c r="S26" s="112"/>
      <c r="T26" s="113"/>
      <c r="U26" s="113"/>
      <c r="V26" s="113"/>
      <c r="W26" s="113"/>
      <c r="X26" s="113"/>
    </row>
    <row r="27" spans="1:24" ht="15.75" hidden="1" customHeight="1" outlineLevel="1">
      <c r="B27" s="399"/>
      <c r="C27" s="112"/>
      <c r="D27" s="112"/>
      <c r="E27" s="112"/>
      <c r="F27" s="112"/>
      <c r="G27" s="112"/>
      <c r="H27" s="112"/>
      <c r="I27" s="112"/>
      <c r="J27" s="397"/>
      <c r="T27" s="113"/>
      <c r="U27" s="113"/>
      <c r="V27" s="113"/>
      <c r="W27" s="113"/>
      <c r="X27" s="113"/>
    </row>
    <row r="28" spans="1:24" ht="15.75" hidden="1" customHeight="1" outlineLevel="1">
      <c r="B28" s="399"/>
      <c r="C28" s="112"/>
      <c r="D28" s="112"/>
      <c r="E28" s="112"/>
      <c r="F28" s="112"/>
      <c r="G28" s="112"/>
      <c r="H28" s="112"/>
      <c r="I28" s="112"/>
      <c r="J28" s="397"/>
      <c r="T28" s="113"/>
      <c r="U28" s="113"/>
      <c r="V28" s="113"/>
      <c r="W28" s="113"/>
      <c r="X28" s="113"/>
    </row>
    <row r="29" spans="1:24" ht="15.75" hidden="1" customHeight="1" outlineLevel="1">
      <c r="B29" s="399"/>
      <c r="C29" s="112"/>
      <c r="D29" s="112"/>
      <c r="E29" s="112"/>
      <c r="F29" s="112"/>
      <c r="G29" s="112"/>
      <c r="H29" s="112"/>
      <c r="I29" s="112"/>
      <c r="J29" s="397"/>
      <c r="T29" s="113"/>
      <c r="U29" s="113"/>
      <c r="V29" s="113"/>
      <c r="W29" s="113"/>
      <c r="X29" s="113"/>
    </row>
    <row r="30" spans="1:24" ht="15.75" hidden="1" customHeight="1" outlineLevel="1">
      <c r="B30" s="399"/>
      <c r="C30" s="112"/>
      <c r="D30" s="112"/>
      <c r="E30" s="112"/>
      <c r="F30" s="112"/>
      <c r="G30" s="112"/>
      <c r="H30" s="112"/>
      <c r="I30" s="112"/>
      <c r="J30" s="397"/>
      <c r="T30" s="113"/>
      <c r="U30" s="113"/>
      <c r="V30" s="113"/>
      <c r="W30" s="113"/>
      <c r="X30" s="113"/>
    </row>
    <row r="31" spans="1:24" ht="15.75" hidden="1" customHeight="1" outlineLevel="1">
      <c r="B31" s="399"/>
      <c r="C31" s="112"/>
      <c r="D31" s="112"/>
      <c r="E31" s="112"/>
      <c r="F31" s="112"/>
      <c r="G31" s="112"/>
      <c r="H31" s="112"/>
      <c r="I31" s="112"/>
      <c r="J31" s="397"/>
      <c r="T31" s="113"/>
      <c r="U31" s="113"/>
      <c r="V31" s="113"/>
      <c r="W31" s="113"/>
      <c r="X31" s="113"/>
    </row>
    <row r="32" spans="1:24" ht="15.75" hidden="1" customHeight="1" outlineLevel="1">
      <c r="B32" s="399"/>
      <c r="C32" s="112"/>
      <c r="D32" s="112"/>
      <c r="E32" s="112"/>
      <c r="F32" s="112"/>
      <c r="G32" s="112"/>
      <c r="H32" s="112"/>
      <c r="I32" s="112"/>
      <c r="J32" s="397"/>
      <c r="T32" s="113"/>
      <c r="U32" s="113"/>
      <c r="V32" s="113"/>
      <c r="W32" s="113"/>
      <c r="X32" s="113"/>
    </row>
    <row r="33" spans="2:24" ht="15.75" hidden="1" customHeight="1" outlineLevel="1">
      <c r="B33" s="400"/>
      <c r="C33" s="112"/>
      <c r="D33" s="112"/>
      <c r="E33" s="112"/>
      <c r="F33" s="112"/>
      <c r="G33" s="112"/>
      <c r="H33" s="112"/>
      <c r="I33" s="112"/>
      <c r="J33" s="397"/>
      <c r="T33" s="113"/>
      <c r="U33" s="113"/>
      <c r="V33" s="113"/>
      <c r="W33" s="113"/>
      <c r="X33" s="113"/>
    </row>
    <row r="34" spans="2:24" ht="15.75" hidden="1" customHeight="1" outlineLevel="1">
      <c r="B34" s="400"/>
      <c r="C34" s="112"/>
      <c r="D34" s="112"/>
      <c r="E34" s="112"/>
      <c r="F34" s="112"/>
      <c r="G34" s="112"/>
      <c r="H34" s="112"/>
      <c r="I34" s="112"/>
      <c r="J34" s="397"/>
      <c r="T34" s="113"/>
      <c r="U34" s="113"/>
      <c r="V34" s="113"/>
      <c r="W34" s="113"/>
      <c r="X34" s="113"/>
    </row>
    <row r="35" spans="2:24" ht="15.75" hidden="1" customHeight="1" outlineLevel="1">
      <c r="B35" s="400"/>
      <c r="C35" s="112"/>
      <c r="D35" s="112"/>
      <c r="E35" s="112"/>
      <c r="F35" s="112"/>
      <c r="G35" s="112"/>
      <c r="H35" s="112"/>
      <c r="I35" s="112"/>
      <c r="J35" s="397"/>
      <c r="T35" s="113"/>
      <c r="U35" s="113"/>
      <c r="V35" s="113"/>
      <c r="W35" s="113"/>
      <c r="X35" s="113"/>
    </row>
    <row r="36" spans="2:24" ht="15.75" hidden="1" customHeight="1" outlineLevel="1">
      <c r="B36" s="400"/>
      <c r="C36" s="112"/>
      <c r="D36" s="112"/>
      <c r="E36" s="112"/>
      <c r="F36" s="112"/>
      <c r="G36" s="112"/>
      <c r="H36" s="112"/>
      <c r="I36" s="112"/>
      <c r="J36" s="397"/>
      <c r="T36" s="113"/>
      <c r="U36" s="113"/>
      <c r="V36" s="113"/>
      <c r="W36" s="113"/>
      <c r="X36" s="113"/>
    </row>
    <row r="37" spans="2:24" ht="15.75" hidden="1" customHeight="1" outlineLevel="1">
      <c r="B37" s="400"/>
      <c r="C37" s="112"/>
      <c r="D37" s="112"/>
      <c r="E37" s="112"/>
      <c r="F37" s="112"/>
      <c r="G37" s="112"/>
      <c r="H37" s="112"/>
      <c r="I37" s="112"/>
      <c r="J37" s="397"/>
      <c r="T37" s="113"/>
      <c r="U37" s="113"/>
      <c r="V37" s="113"/>
      <c r="W37" s="113"/>
      <c r="X37" s="113"/>
    </row>
    <row r="38" spans="2:24" ht="15.75" hidden="1" customHeight="1" outlineLevel="1">
      <c r="B38" s="400"/>
      <c r="C38" s="112"/>
      <c r="D38" s="112"/>
      <c r="E38" s="112"/>
      <c r="F38" s="112"/>
      <c r="G38" s="112"/>
      <c r="H38" s="112"/>
      <c r="I38" s="112"/>
      <c r="J38" s="397"/>
      <c r="T38" s="113"/>
      <c r="U38" s="113"/>
      <c r="V38" s="113"/>
      <c r="W38" s="113"/>
      <c r="X38" s="113"/>
    </row>
    <row r="39" spans="2:24" ht="15.75" hidden="1" customHeight="1" outlineLevel="1">
      <c r="B39" s="400"/>
      <c r="C39" s="112"/>
      <c r="D39" s="112"/>
      <c r="E39" s="112"/>
      <c r="F39" s="112"/>
      <c r="G39" s="112"/>
      <c r="H39" s="112"/>
      <c r="I39" s="112"/>
      <c r="J39" s="397"/>
      <c r="T39" s="113"/>
      <c r="U39" s="113"/>
      <c r="V39" s="113"/>
      <c r="W39" s="113"/>
      <c r="X39" s="113"/>
    </row>
    <row r="40" spans="2:24" ht="15.75" hidden="1" customHeight="1" outlineLevel="1">
      <c r="B40" s="400"/>
      <c r="C40" s="112"/>
      <c r="D40" s="112"/>
      <c r="E40" s="112"/>
      <c r="F40" s="112"/>
      <c r="G40" s="112"/>
      <c r="H40" s="112"/>
      <c r="I40" s="112"/>
      <c r="J40" s="397"/>
      <c r="T40" s="113"/>
      <c r="U40" s="113"/>
      <c r="V40" s="113"/>
      <c r="W40" s="113"/>
      <c r="X40" s="113"/>
    </row>
    <row r="41" spans="2:24" ht="15.75" hidden="1" customHeight="1" outlineLevel="1">
      <c r="B41" s="400"/>
      <c r="C41" s="112"/>
      <c r="D41" s="112"/>
      <c r="E41" s="112"/>
      <c r="F41" s="112"/>
      <c r="G41" s="112"/>
      <c r="H41" s="112"/>
      <c r="I41" s="112"/>
      <c r="J41" s="397"/>
      <c r="T41" s="113"/>
      <c r="U41" s="113"/>
      <c r="V41" s="113"/>
      <c r="W41" s="113"/>
      <c r="X41" s="113"/>
    </row>
    <row r="42" spans="2:24" ht="15.75" hidden="1" customHeight="1" outlineLevel="1">
      <c r="B42" s="400"/>
      <c r="C42" s="112"/>
      <c r="D42" s="112"/>
      <c r="E42" s="112"/>
      <c r="F42" s="112"/>
      <c r="G42" s="112"/>
      <c r="H42" s="112"/>
      <c r="I42" s="112"/>
      <c r="J42" s="397"/>
      <c r="T42" s="113"/>
      <c r="U42" s="113"/>
      <c r="V42" s="113"/>
      <c r="W42" s="113"/>
      <c r="X42" s="113"/>
    </row>
    <row r="43" spans="2:24" ht="15.75" hidden="1" customHeight="1" outlineLevel="1">
      <c r="B43" s="400"/>
      <c r="C43" s="112"/>
      <c r="D43" s="112"/>
      <c r="E43" s="112"/>
      <c r="F43" s="112"/>
      <c r="G43" s="112"/>
      <c r="H43" s="112"/>
      <c r="I43" s="112"/>
      <c r="J43" s="397"/>
      <c r="T43" s="113"/>
      <c r="U43" s="113"/>
      <c r="V43" s="113"/>
      <c r="W43" s="113"/>
      <c r="X43" s="113"/>
    </row>
    <row r="44" spans="2:24" ht="15.75" hidden="1" customHeight="1" outlineLevel="1">
      <c r="B44" s="400"/>
      <c r="C44" s="112"/>
      <c r="D44" s="112"/>
      <c r="E44" s="112"/>
      <c r="F44" s="112"/>
      <c r="G44" s="112"/>
      <c r="H44" s="112"/>
      <c r="I44" s="112"/>
      <c r="J44" s="397"/>
      <c r="T44" s="113"/>
      <c r="U44" s="113"/>
      <c r="V44" s="113"/>
      <c r="W44" s="113"/>
      <c r="X44" s="113"/>
    </row>
    <row r="45" spans="2:24" ht="15.75" hidden="1" customHeight="1" outlineLevel="1">
      <c r="B45" s="400"/>
      <c r="C45" s="112"/>
      <c r="D45" s="112"/>
      <c r="E45" s="112"/>
      <c r="F45" s="112"/>
      <c r="G45" s="112"/>
      <c r="H45" s="112"/>
      <c r="I45" s="112"/>
      <c r="J45" s="397"/>
      <c r="T45" s="113"/>
      <c r="U45" s="113"/>
      <c r="V45" s="113"/>
      <c r="W45" s="113"/>
      <c r="X45" s="113"/>
    </row>
    <row r="46" spans="2:24" ht="15.75" hidden="1" customHeight="1" outlineLevel="1">
      <c r="B46" s="400"/>
      <c r="C46" s="112"/>
      <c r="D46" s="112"/>
      <c r="E46" s="112"/>
      <c r="F46" s="112"/>
      <c r="G46" s="112"/>
      <c r="H46" s="112"/>
      <c r="I46" s="112"/>
      <c r="J46" s="397"/>
      <c r="T46" s="113"/>
      <c r="U46" s="113"/>
      <c r="V46" s="113"/>
      <c r="W46" s="113"/>
      <c r="X46" s="113"/>
    </row>
    <row r="47" spans="2:24" ht="15.75" hidden="1" customHeight="1" outlineLevel="1">
      <c r="B47" s="400"/>
      <c r="C47" s="112"/>
      <c r="D47" s="112"/>
      <c r="E47" s="112"/>
      <c r="F47" s="112"/>
      <c r="G47" s="112"/>
      <c r="H47" s="112"/>
      <c r="I47" s="112"/>
      <c r="J47" s="397"/>
      <c r="T47" s="113"/>
      <c r="U47" s="113"/>
      <c r="V47" s="113"/>
      <c r="W47" s="113"/>
      <c r="X47" s="113"/>
    </row>
    <row r="48" spans="2:24" ht="15.75" hidden="1" customHeight="1" outlineLevel="1">
      <c r="B48" s="400"/>
      <c r="C48" s="112"/>
      <c r="D48" s="112"/>
      <c r="E48" s="112"/>
      <c r="F48" s="112"/>
      <c r="G48" s="112"/>
      <c r="H48" s="112"/>
      <c r="I48" s="112"/>
      <c r="J48" s="397"/>
      <c r="T48" s="113"/>
      <c r="U48" s="113"/>
      <c r="V48" s="113"/>
      <c r="W48" s="113"/>
      <c r="X48" s="113"/>
    </row>
    <row r="49" spans="2:24" ht="15.75" hidden="1" customHeight="1" outlineLevel="1">
      <c r="B49" s="400"/>
      <c r="C49" s="112"/>
      <c r="D49" s="112"/>
      <c r="E49" s="112"/>
      <c r="F49" s="112"/>
      <c r="G49" s="112"/>
      <c r="H49" s="112"/>
      <c r="I49" s="112"/>
      <c r="J49" s="397"/>
      <c r="T49" s="113"/>
      <c r="U49" s="113"/>
      <c r="V49" s="113"/>
      <c r="W49" s="113"/>
      <c r="X49" s="113"/>
    </row>
    <row r="50" spans="2:24" ht="15.75" hidden="1" customHeight="1" outlineLevel="1">
      <c r="B50" s="400"/>
      <c r="C50" s="112"/>
      <c r="D50" s="112"/>
      <c r="E50" s="112"/>
      <c r="F50" s="112"/>
      <c r="G50" s="112"/>
      <c r="H50" s="112"/>
      <c r="I50" s="112"/>
      <c r="J50" s="397"/>
      <c r="T50" s="113"/>
      <c r="U50" s="113"/>
      <c r="V50" s="113"/>
      <c r="W50" s="113"/>
      <c r="X50" s="113"/>
    </row>
    <row r="51" spans="2:24" ht="15.75" hidden="1" customHeight="1" outlineLevel="1">
      <c r="B51" s="400"/>
      <c r="C51" s="112"/>
      <c r="D51" s="112"/>
      <c r="E51" s="112"/>
      <c r="F51" s="112"/>
      <c r="G51" s="112"/>
      <c r="H51" s="112"/>
      <c r="I51" s="112"/>
      <c r="J51" s="397"/>
      <c r="T51" s="113"/>
      <c r="U51" s="113"/>
      <c r="V51" s="113"/>
      <c r="W51" s="113"/>
      <c r="X51" s="113"/>
    </row>
    <row r="52" spans="2:24" ht="15.75" hidden="1" customHeight="1" outlineLevel="1">
      <c r="B52" s="400"/>
      <c r="C52" s="112"/>
      <c r="D52" s="112"/>
      <c r="E52" s="112"/>
      <c r="F52" s="112"/>
      <c r="G52" s="112"/>
      <c r="H52" s="112"/>
      <c r="I52" s="112"/>
      <c r="J52" s="397"/>
      <c r="T52" s="113"/>
      <c r="U52" s="113"/>
      <c r="V52" s="113"/>
      <c r="W52" s="113"/>
      <c r="X52" s="113"/>
    </row>
    <row r="53" spans="2:24" ht="15.75" hidden="1" customHeight="1" outlineLevel="1">
      <c r="B53" s="400"/>
      <c r="C53" s="112"/>
      <c r="D53" s="112"/>
      <c r="E53" s="112"/>
      <c r="F53" s="112"/>
      <c r="G53" s="112"/>
      <c r="H53" s="112"/>
      <c r="I53" s="112"/>
      <c r="J53" s="397"/>
      <c r="T53" s="113"/>
      <c r="U53" s="113"/>
      <c r="V53" s="113"/>
      <c r="W53" s="113"/>
      <c r="X53" s="113"/>
    </row>
    <row r="54" spans="2:24" ht="15.75" hidden="1" customHeight="1" outlineLevel="1">
      <c r="B54" s="400"/>
      <c r="C54" s="112"/>
      <c r="D54" s="112"/>
      <c r="E54" s="112"/>
      <c r="F54" s="112"/>
      <c r="G54" s="112"/>
      <c r="H54" s="112"/>
      <c r="I54" s="112"/>
      <c r="J54" s="397"/>
      <c r="T54" s="113"/>
      <c r="U54" s="113"/>
      <c r="V54" s="113"/>
      <c r="W54" s="113"/>
      <c r="X54" s="113"/>
    </row>
    <row r="55" spans="2:24" ht="15.75" hidden="1" customHeight="1" outlineLevel="1">
      <c r="B55" s="400"/>
      <c r="C55" s="112"/>
      <c r="D55" s="112"/>
      <c r="E55" s="112"/>
      <c r="F55" s="112"/>
      <c r="G55" s="112"/>
      <c r="H55" s="112"/>
      <c r="I55" s="112"/>
      <c r="J55" s="397"/>
      <c r="T55" s="113"/>
      <c r="U55" s="113"/>
      <c r="V55" s="113"/>
      <c r="W55" s="113"/>
      <c r="X55" s="113"/>
    </row>
    <row r="56" spans="2:24" ht="15.75" hidden="1" customHeight="1" outlineLevel="1">
      <c r="B56" s="400"/>
      <c r="C56" s="112"/>
      <c r="D56" s="112"/>
      <c r="E56" s="112"/>
      <c r="F56" s="112"/>
      <c r="G56" s="112"/>
      <c r="H56" s="112"/>
      <c r="I56" s="112"/>
      <c r="J56" s="397"/>
      <c r="T56" s="113"/>
      <c r="U56" s="113"/>
      <c r="V56" s="113"/>
      <c r="W56" s="113"/>
      <c r="X56" s="113"/>
    </row>
    <row r="57" spans="2:24" ht="15.75" hidden="1" customHeight="1" outlineLevel="1">
      <c r="B57" s="400"/>
      <c r="C57" s="112"/>
      <c r="D57" s="112"/>
      <c r="E57" s="112"/>
      <c r="F57" s="112"/>
      <c r="G57" s="112"/>
      <c r="H57" s="112"/>
      <c r="I57" s="112"/>
      <c r="J57" s="397"/>
      <c r="T57" s="113"/>
      <c r="U57" s="113"/>
      <c r="V57" s="113"/>
      <c r="W57" s="113"/>
      <c r="X57" s="113"/>
    </row>
    <row r="58" spans="2:24" ht="15.75" hidden="1" customHeight="1" outlineLevel="1">
      <c r="B58" s="400"/>
      <c r="C58" s="112"/>
      <c r="D58" s="112"/>
      <c r="E58" s="112"/>
      <c r="F58" s="112"/>
      <c r="G58" s="112"/>
      <c r="H58" s="112"/>
      <c r="I58" s="112"/>
      <c r="J58" s="397"/>
      <c r="T58" s="113"/>
      <c r="U58" s="113"/>
      <c r="V58" s="113"/>
      <c r="W58" s="113"/>
      <c r="X58" s="113"/>
    </row>
    <row r="59" spans="2:24" ht="15.75" hidden="1" customHeight="1" outlineLevel="1">
      <c r="B59" s="400"/>
      <c r="C59" s="112"/>
      <c r="D59" s="112"/>
      <c r="E59" s="112"/>
      <c r="F59" s="112"/>
      <c r="G59" s="112"/>
      <c r="H59" s="112"/>
      <c r="I59" s="112"/>
      <c r="J59" s="397"/>
      <c r="T59" s="113"/>
      <c r="U59" s="113"/>
      <c r="V59" s="113"/>
      <c r="W59" s="113"/>
      <c r="X59" s="113"/>
    </row>
    <row r="60" spans="2:24" ht="15.75" hidden="1" customHeight="1" outlineLevel="1">
      <c r="B60" s="400"/>
      <c r="C60" s="112"/>
      <c r="D60" s="112"/>
      <c r="E60" s="112"/>
      <c r="F60" s="112"/>
      <c r="G60" s="112"/>
      <c r="H60" s="112"/>
      <c r="I60" s="112"/>
      <c r="J60" s="397"/>
      <c r="T60" s="113"/>
      <c r="U60" s="113"/>
      <c r="V60" s="113"/>
      <c r="W60" s="113"/>
      <c r="X60" s="113"/>
    </row>
    <row r="61" spans="2:24" ht="15.75" hidden="1" customHeight="1" outlineLevel="1">
      <c r="B61" s="400"/>
      <c r="C61" s="112"/>
      <c r="D61" s="112"/>
      <c r="E61" s="112"/>
      <c r="F61" s="112"/>
      <c r="G61" s="112"/>
      <c r="H61" s="112"/>
      <c r="I61" s="112"/>
      <c r="J61" s="397"/>
      <c r="T61" s="113"/>
      <c r="U61" s="113"/>
      <c r="V61" s="113"/>
      <c r="W61" s="113"/>
      <c r="X61" s="113"/>
    </row>
    <row r="62" spans="2:24" ht="15.75" hidden="1" customHeight="1" outlineLevel="1">
      <c r="B62" s="400"/>
      <c r="C62" s="112"/>
      <c r="D62" s="112"/>
      <c r="E62" s="112"/>
      <c r="F62" s="112"/>
      <c r="G62" s="112"/>
      <c r="H62" s="112"/>
      <c r="I62" s="112"/>
      <c r="J62" s="397"/>
      <c r="T62" s="113"/>
      <c r="U62" s="113"/>
      <c r="V62" s="113"/>
      <c r="W62" s="113"/>
      <c r="X62" s="113"/>
    </row>
    <row r="63" spans="2:24" ht="15.75" hidden="1" customHeight="1" outlineLevel="1">
      <c r="B63" s="400"/>
      <c r="C63" s="112"/>
      <c r="D63" s="112"/>
      <c r="E63" s="112"/>
      <c r="F63" s="112"/>
      <c r="G63" s="112"/>
      <c r="H63" s="112"/>
      <c r="I63" s="112"/>
      <c r="J63" s="397"/>
      <c r="T63" s="113"/>
      <c r="U63" s="113"/>
      <c r="V63" s="113"/>
      <c r="W63" s="113"/>
      <c r="X63" s="113"/>
    </row>
    <row r="64" spans="2:24" ht="15.75" hidden="1" customHeight="1" outlineLevel="1">
      <c r="B64" s="400"/>
      <c r="C64" s="112"/>
      <c r="D64" s="112"/>
      <c r="E64" s="112"/>
      <c r="F64" s="112"/>
      <c r="G64" s="112"/>
      <c r="H64" s="112"/>
      <c r="I64" s="112"/>
      <c r="J64" s="397"/>
      <c r="T64" s="113"/>
      <c r="U64" s="113"/>
      <c r="V64" s="113"/>
      <c r="W64" s="113"/>
      <c r="X64" s="113"/>
    </row>
    <row r="65" spans="2:24" ht="15.75" hidden="1" customHeight="1" outlineLevel="1">
      <c r="B65" s="400"/>
      <c r="C65" s="112"/>
      <c r="D65" s="112"/>
      <c r="E65" s="112"/>
      <c r="F65" s="112"/>
      <c r="G65" s="112"/>
      <c r="H65" s="112"/>
      <c r="I65" s="112"/>
      <c r="J65" s="397"/>
      <c r="T65" s="113"/>
      <c r="U65" s="113"/>
      <c r="V65" s="113"/>
      <c r="W65" s="113"/>
      <c r="X65" s="113"/>
    </row>
    <row r="66" spans="2:24" ht="15.75" hidden="1" customHeight="1" outlineLevel="1">
      <c r="B66" s="400"/>
      <c r="C66" s="112"/>
      <c r="D66" s="112"/>
      <c r="E66" s="112"/>
      <c r="F66" s="112"/>
      <c r="G66" s="112"/>
      <c r="H66" s="112"/>
      <c r="I66" s="112"/>
      <c r="J66" s="397"/>
      <c r="T66" s="113"/>
      <c r="U66" s="113"/>
      <c r="V66" s="113"/>
      <c r="W66" s="113"/>
      <c r="X66" s="113"/>
    </row>
    <row r="67" spans="2:24" ht="15.75" hidden="1" customHeight="1" outlineLevel="1">
      <c r="B67" s="400"/>
      <c r="C67" s="112"/>
      <c r="D67" s="112"/>
      <c r="E67" s="112"/>
      <c r="F67" s="112"/>
      <c r="G67" s="112"/>
      <c r="H67" s="112"/>
      <c r="I67" s="112"/>
      <c r="J67" s="397"/>
      <c r="T67" s="113"/>
      <c r="U67" s="113"/>
      <c r="V67" s="113"/>
      <c r="W67" s="113"/>
      <c r="X67" s="113"/>
    </row>
    <row r="68" spans="2:24" ht="15.75" hidden="1" customHeight="1" outlineLevel="1">
      <c r="B68" s="400"/>
      <c r="C68" s="112"/>
      <c r="D68" s="112"/>
      <c r="E68" s="112"/>
      <c r="F68" s="112"/>
      <c r="G68" s="112"/>
      <c r="H68" s="112"/>
      <c r="I68" s="112"/>
      <c r="J68" s="397"/>
      <c r="T68" s="113"/>
      <c r="U68" s="113"/>
      <c r="V68" s="113"/>
      <c r="W68" s="113"/>
      <c r="X68" s="113"/>
    </row>
    <row r="69" spans="2:24" ht="15.75" hidden="1" customHeight="1" outlineLevel="1">
      <c r="B69" s="400"/>
      <c r="C69" s="112"/>
      <c r="D69" s="112"/>
      <c r="E69" s="112"/>
      <c r="F69" s="112"/>
      <c r="G69" s="112"/>
      <c r="H69" s="112"/>
      <c r="I69" s="112"/>
      <c r="J69" s="397"/>
      <c r="T69" s="113"/>
      <c r="U69" s="113"/>
      <c r="V69" s="113"/>
      <c r="W69" s="113"/>
      <c r="X69" s="113"/>
    </row>
    <row r="70" spans="2:24" ht="15.75" hidden="1" customHeight="1" outlineLevel="1">
      <c r="B70" s="400"/>
      <c r="C70" s="112"/>
      <c r="D70" s="112"/>
      <c r="E70" s="112"/>
      <c r="F70" s="112"/>
      <c r="G70" s="112"/>
      <c r="H70" s="112"/>
      <c r="I70" s="112"/>
      <c r="J70" s="397"/>
      <c r="T70" s="113"/>
      <c r="U70" s="113"/>
      <c r="V70" s="113"/>
      <c r="W70" s="113"/>
      <c r="X70" s="113"/>
    </row>
    <row r="71" spans="2:24" ht="15.75" hidden="1" customHeight="1" outlineLevel="1">
      <c r="B71" s="400"/>
      <c r="C71" s="112"/>
      <c r="D71" s="112"/>
      <c r="E71" s="112"/>
      <c r="F71" s="112"/>
      <c r="G71" s="112"/>
      <c r="H71" s="112"/>
      <c r="I71" s="112"/>
      <c r="J71" s="397"/>
      <c r="T71" s="113"/>
      <c r="U71" s="113"/>
      <c r="V71" s="113"/>
      <c r="W71" s="113"/>
      <c r="X71" s="113"/>
    </row>
    <row r="72" spans="2:24" ht="15.75" hidden="1" customHeight="1" outlineLevel="1">
      <c r="B72" s="400"/>
      <c r="C72" s="112"/>
      <c r="D72" s="112"/>
      <c r="E72" s="112"/>
      <c r="F72" s="112"/>
      <c r="G72" s="112"/>
      <c r="H72" s="112"/>
      <c r="I72" s="112"/>
      <c r="J72" s="397"/>
      <c r="T72" s="113"/>
      <c r="U72" s="113"/>
      <c r="V72" s="113"/>
      <c r="W72" s="113"/>
      <c r="X72" s="113"/>
    </row>
    <row r="73" spans="2:24" ht="15.75" hidden="1" customHeight="1" outlineLevel="1">
      <c r="B73" s="400"/>
      <c r="C73" s="112"/>
      <c r="D73" s="112"/>
      <c r="E73" s="112"/>
      <c r="F73" s="112"/>
      <c r="G73" s="112"/>
      <c r="H73" s="112"/>
      <c r="I73" s="112"/>
      <c r="J73" s="397"/>
      <c r="T73" s="113"/>
      <c r="U73" s="113"/>
      <c r="V73" s="113"/>
      <c r="W73" s="113"/>
      <c r="X73" s="113"/>
    </row>
    <row r="74" spans="2:24" ht="15.75" hidden="1" customHeight="1" outlineLevel="1">
      <c r="B74" s="400"/>
      <c r="C74" s="112"/>
      <c r="D74" s="112"/>
      <c r="E74" s="112"/>
      <c r="F74" s="112"/>
      <c r="G74" s="112"/>
      <c r="H74" s="112"/>
      <c r="I74" s="112"/>
      <c r="J74" s="397"/>
      <c r="T74" s="113"/>
      <c r="U74" s="113"/>
      <c r="V74" s="113"/>
      <c r="W74" s="113"/>
      <c r="X74" s="113"/>
    </row>
    <row r="75" spans="2:24" ht="15.75" hidden="1" customHeight="1" outlineLevel="1">
      <c r="B75" s="400"/>
      <c r="C75" s="112"/>
      <c r="D75" s="112"/>
      <c r="E75" s="112"/>
      <c r="F75" s="112"/>
      <c r="G75" s="112"/>
      <c r="H75" s="112"/>
      <c r="I75" s="112"/>
      <c r="J75" s="397"/>
      <c r="T75" s="113"/>
      <c r="U75" s="113"/>
      <c r="V75" s="113"/>
      <c r="W75" s="113"/>
      <c r="X75" s="113"/>
    </row>
    <row r="76" spans="2:24" ht="15.75" hidden="1" customHeight="1" outlineLevel="1">
      <c r="B76" s="400"/>
      <c r="C76" s="112"/>
      <c r="D76" s="112"/>
      <c r="E76" s="112"/>
      <c r="F76" s="112"/>
      <c r="G76" s="112"/>
      <c r="H76" s="112"/>
      <c r="I76" s="112"/>
      <c r="J76" s="397"/>
      <c r="T76" s="113"/>
      <c r="U76" s="113"/>
      <c r="V76" s="113"/>
      <c r="W76" s="113"/>
      <c r="X76" s="113"/>
    </row>
    <row r="77" spans="2:24" ht="15.75" hidden="1" customHeight="1" outlineLevel="1">
      <c r="B77" s="400"/>
      <c r="C77" s="112"/>
      <c r="D77" s="112"/>
      <c r="E77" s="112"/>
      <c r="F77" s="112"/>
      <c r="G77" s="112"/>
      <c r="H77" s="112"/>
      <c r="I77" s="112"/>
      <c r="J77" s="397"/>
      <c r="T77" s="113"/>
      <c r="U77" s="113"/>
      <c r="V77" s="113"/>
      <c r="W77" s="113"/>
      <c r="X77" s="113"/>
    </row>
    <row r="78" spans="2:24" ht="15.75" hidden="1" customHeight="1" outlineLevel="1">
      <c r="B78" s="400"/>
      <c r="C78" s="112"/>
      <c r="D78" s="112"/>
      <c r="E78" s="112"/>
      <c r="F78" s="112"/>
      <c r="G78" s="112"/>
      <c r="H78" s="112"/>
      <c r="I78" s="112"/>
      <c r="J78" s="397"/>
      <c r="T78" s="113"/>
      <c r="U78" s="113"/>
      <c r="V78" s="113"/>
      <c r="W78" s="113"/>
      <c r="X78" s="113"/>
    </row>
    <row r="79" spans="2:24" ht="15.75" hidden="1" customHeight="1" outlineLevel="1">
      <c r="B79" s="400"/>
      <c r="C79" s="112"/>
      <c r="D79" s="112"/>
      <c r="E79" s="112"/>
      <c r="F79" s="112"/>
      <c r="G79" s="112"/>
      <c r="H79" s="112"/>
      <c r="I79" s="112"/>
      <c r="J79" s="397"/>
      <c r="T79" s="113"/>
      <c r="U79" s="113"/>
      <c r="V79" s="113"/>
      <c r="W79" s="113"/>
      <c r="X79" s="113"/>
    </row>
    <row r="80" spans="2:24" ht="15.75" hidden="1" customHeight="1" outlineLevel="1">
      <c r="B80" s="400"/>
      <c r="C80" s="112"/>
      <c r="D80" s="112"/>
      <c r="E80" s="112"/>
      <c r="F80" s="112"/>
      <c r="G80" s="112"/>
      <c r="H80" s="112"/>
      <c r="I80" s="112"/>
      <c r="J80" s="397"/>
      <c r="T80" s="113"/>
      <c r="U80" s="113"/>
      <c r="V80" s="113"/>
      <c r="W80" s="113"/>
      <c r="X80" s="113"/>
    </row>
    <row r="81" spans="2:24" ht="15.75" hidden="1" customHeight="1" outlineLevel="1">
      <c r="B81" s="399"/>
      <c r="C81" s="112"/>
      <c r="D81" s="112"/>
      <c r="E81" s="112"/>
      <c r="F81" s="112"/>
      <c r="G81" s="112"/>
      <c r="H81" s="112"/>
      <c r="I81" s="112"/>
      <c r="J81" s="397"/>
      <c r="T81" s="113"/>
      <c r="U81" s="113"/>
      <c r="V81" s="113"/>
      <c r="W81" s="113"/>
      <c r="X81" s="113"/>
    </row>
    <row r="82" spans="2:24" ht="15.75" hidden="1" customHeight="1" outlineLevel="1">
      <c r="B82" s="399"/>
      <c r="C82" s="112"/>
      <c r="D82" s="112"/>
      <c r="E82" s="112"/>
      <c r="F82" s="112"/>
      <c r="G82" s="112"/>
      <c r="H82" s="112"/>
      <c r="I82" s="112"/>
      <c r="J82" s="397"/>
      <c r="T82" s="113"/>
      <c r="U82" s="113"/>
      <c r="V82" s="113"/>
      <c r="W82" s="113"/>
      <c r="X82" s="113"/>
    </row>
    <row r="83" spans="2:24" ht="15.75" hidden="1" customHeight="1" outlineLevel="1">
      <c r="B83" s="399"/>
      <c r="C83" s="112"/>
      <c r="D83" s="112"/>
      <c r="E83" s="112"/>
      <c r="F83" s="112"/>
      <c r="G83" s="112"/>
      <c r="H83" s="112"/>
      <c r="I83" s="112"/>
      <c r="J83" s="397"/>
      <c r="T83" s="113"/>
      <c r="U83" s="113"/>
      <c r="V83" s="113"/>
      <c r="W83" s="113"/>
      <c r="X83" s="113"/>
    </row>
    <row r="84" spans="2:24" ht="15.75" hidden="1" customHeight="1" outlineLevel="1">
      <c r="B84" s="399"/>
      <c r="C84" s="112"/>
      <c r="D84" s="112"/>
      <c r="E84" s="112"/>
      <c r="F84" s="112"/>
      <c r="G84" s="112"/>
      <c r="H84" s="112"/>
      <c r="I84" s="112"/>
      <c r="J84" s="397"/>
      <c r="T84" s="113"/>
      <c r="U84" s="113"/>
      <c r="V84" s="113"/>
      <c r="W84" s="113"/>
      <c r="X84" s="113"/>
    </row>
    <row r="85" spans="2:24" ht="15.75" hidden="1" customHeight="1" outlineLevel="1">
      <c r="B85" s="399"/>
      <c r="C85" s="112"/>
      <c r="D85" s="112"/>
      <c r="E85" s="112"/>
      <c r="F85" s="112"/>
      <c r="G85" s="112"/>
      <c r="H85" s="112"/>
      <c r="I85" s="112"/>
      <c r="J85" s="397"/>
      <c r="T85" s="113"/>
      <c r="U85" s="113"/>
      <c r="V85" s="113"/>
      <c r="W85" s="113"/>
      <c r="X85" s="113"/>
    </row>
    <row r="86" spans="2:24" ht="15.75" hidden="1" customHeight="1" outlineLevel="1">
      <c r="B86" s="399"/>
      <c r="C86" s="112"/>
      <c r="D86" s="112"/>
      <c r="E86" s="112"/>
      <c r="F86" s="112"/>
      <c r="G86" s="112"/>
      <c r="H86" s="112"/>
      <c r="I86" s="112"/>
      <c r="J86" s="397"/>
      <c r="T86" s="113"/>
      <c r="U86" s="113"/>
      <c r="V86" s="113"/>
      <c r="W86" s="113"/>
      <c r="X86" s="113"/>
    </row>
    <row r="87" spans="2:24" ht="15.75" hidden="1" customHeight="1" outlineLevel="1">
      <c r="B87" s="399"/>
      <c r="C87" s="112"/>
      <c r="D87" s="112"/>
      <c r="E87" s="112"/>
      <c r="F87" s="112"/>
      <c r="G87" s="112"/>
      <c r="H87" s="112"/>
      <c r="I87" s="112"/>
      <c r="J87" s="397"/>
      <c r="T87" s="113"/>
      <c r="U87" s="113"/>
      <c r="V87" s="113"/>
      <c r="W87" s="113"/>
      <c r="X87" s="113"/>
    </row>
    <row r="88" spans="2:24" ht="15.75" hidden="1" customHeight="1" outlineLevel="1">
      <c r="B88" s="399"/>
      <c r="C88" s="112"/>
      <c r="D88" s="112"/>
      <c r="E88" s="112"/>
      <c r="F88" s="112"/>
      <c r="G88" s="112"/>
      <c r="H88" s="112"/>
      <c r="I88" s="112"/>
      <c r="J88" s="397"/>
      <c r="T88" s="113"/>
      <c r="U88" s="113"/>
      <c r="V88" s="113"/>
      <c r="W88" s="113"/>
      <c r="X88" s="113"/>
    </row>
    <row r="89" spans="2:24" ht="15.75" hidden="1" customHeight="1" outlineLevel="1">
      <c r="B89" s="399"/>
      <c r="C89" s="112"/>
      <c r="D89" s="112"/>
      <c r="E89" s="112"/>
      <c r="F89" s="112"/>
      <c r="G89" s="112"/>
      <c r="H89" s="112"/>
      <c r="I89" s="112"/>
      <c r="J89" s="397"/>
      <c r="T89" s="113"/>
      <c r="U89" s="113"/>
      <c r="V89" s="113"/>
      <c r="W89" s="113"/>
      <c r="X89" s="113"/>
    </row>
    <row r="90" spans="2:24" collapsed="1">
      <c r="B90" s="563" t="s">
        <v>76</v>
      </c>
      <c r="C90" s="564"/>
      <c r="D90" s="564"/>
      <c r="E90" s="565"/>
      <c r="F90" s="565"/>
      <c r="G90" s="566"/>
      <c r="H90" s="567"/>
      <c r="I90" s="564"/>
      <c r="J90" s="564"/>
      <c r="T90" s="113"/>
      <c r="U90" s="113"/>
      <c r="V90" s="113"/>
      <c r="W90" s="113"/>
      <c r="X90" s="113"/>
    </row>
    <row r="91" spans="2:24">
      <c r="B91" s="568" t="s">
        <v>323</v>
      </c>
      <c r="C91" s="569">
        <v>107.81</v>
      </c>
      <c r="D91" s="569">
        <v>108.06</v>
      </c>
      <c r="E91" s="570">
        <v>105.41</v>
      </c>
      <c r="F91" s="570">
        <v>104.54</v>
      </c>
      <c r="G91" s="571">
        <v>104.28</v>
      </c>
      <c r="H91" s="572"/>
      <c r="I91" s="569"/>
      <c r="J91" s="569"/>
      <c r="T91" s="113"/>
      <c r="U91" s="113"/>
      <c r="V91" s="113"/>
      <c r="W91" s="113"/>
      <c r="X91" s="113"/>
    </row>
    <row r="92" spans="2:24">
      <c r="B92" s="573" t="s">
        <v>77</v>
      </c>
      <c r="C92" s="574">
        <v>107.87</v>
      </c>
      <c r="D92" s="574">
        <v>107.87</v>
      </c>
      <c r="E92" s="574">
        <v>105.42</v>
      </c>
      <c r="F92" s="574">
        <v>104.44</v>
      </c>
      <c r="G92" s="575">
        <v>104.28</v>
      </c>
      <c r="H92" s="576">
        <f>G92</f>
        <v>104.28</v>
      </c>
      <c r="I92" s="577">
        <f>H92</f>
        <v>104.28</v>
      </c>
      <c r="J92" s="577">
        <f>I92</f>
        <v>104.28</v>
      </c>
      <c r="T92" s="113"/>
      <c r="U92" s="113"/>
      <c r="V92" s="113"/>
      <c r="W92" s="113"/>
      <c r="X92" s="113"/>
    </row>
    <row r="93" spans="2:24" ht="19.5" hidden="1" customHeight="1">
      <c r="B93" s="563" t="s">
        <v>307</v>
      </c>
      <c r="C93" s="564"/>
      <c r="D93" s="564"/>
      <c r="E93" s="564"/>
      <c r="F93" s="564"/>
      <c r="G93" s="578"/>
      <c r="H93" s="567"/>
      <c r="I93" s="564"/>
      <c r="J93" s="579"/>
      <c r="T93" s="113"/>
      <c r="U93" s="113"/>
      <c r="V93" s="113"/>
      <c r="W93" s="113"/>
      <c r="X93" s="113"/>
    </row>
    <row r="94" spans="2:24" ht="16.5" hidden="1" customHeight="1">
      <c r="B94" s="568" t="s">
        <v>308</v>
      </c>
      <c r="C94" s="570">
        <v>115.36594166382986</v>
      </c>
      <c r="D94" s="570">
        <v>104.54114793286647</v>
      </c>
      <c r="E94" s="570">
        <v>107.96520019883977</v>
      </c>
      <c r="F94" s="570">
        <v>104.18078119897186</v>
      </c>
      <c r="G94" s="580">
        <v>104.12625381321557</v>
      </c>
      <c r="H94" s="581"/>
      <c r="I94" s="570"/>
      <c r="J94" s="580"/>
      <c r="T94" s="113"/>
      <c r="U94" s="113"/>
      <c r="V94" s="113"/>
      <c r="W94" s="113"/>
      <c r="X94" s="113"/>
    </row>
    <row r="95" spans="2:24" ht="16.5" hidden="1" customHeight="1">
      <c r="B95" s="573" t="s">
        <v>309</v>
      </c>
      <c r="C95" s="574">
        <v>115.07488312725178</v>
      </c>
      <c r="D95" s="574">
        <v>104.23280646705398</v>
      </c>
      <c r="E95" s="574">
        <v>107.71943069234713</v>
      </c>
      <c r="F95" s="574">
        <v>103.91187043539315</v>
      </c>
      <c r="G95" s="582">
        <v>103.91377229244958</v>
      </c>
      <c r="H95" s="583"/>
      <c r="I95" s="574"/>
      <c r="J95" s="582"/>
      <c r="T95" s="113"/>
      <c r="U95" s="113"/>
      <c r="V95" s="113"/>
      <c r="W95" s="113"/>
      <c r="X95" s="113"/>
    </row>
    <row r="96" spans="2:24" ht="16.5" hidden="1" customHeight="1">
      <c r="B96" s="568" t="s">
        <v>310</v>
      </c>
      <c r="C96" s="570">
        <v>108.20854738222756</v>
      </c>
      <c r="D96" s="570">
        <v>111.02015960903</v>
      </c>
      <c r="E96" s="570">
        <v>105.71132028494048</v>
      </c>
      <c r="F96" s="570">
        <v>104.93717342324236</v>
      </c>
      <c r="G96" s="580">
        <v>104.55684275836509</v>
      </c>
      <c r="H96" s="581"/>
      <c r="I96" s="570"/>
      <c r="J96" s="580"/>
      <c r="T96" s="113"/>
      <c r="U96" s="113"/>
      <c r="V96" s="113"/>
      <c r="W96" s="113"/>
      <c r="X96" s="113"/>
    </row>
    <row r="97" spans="2:24" ht="17.25" hidden="1" customHeight="1" thickBot="1">
      <c r="B97" s="416" t="s">
        <v>311</v>
      </c>
      <c r="C97" s="417">
        <v>110.06035241241143</v>
      </c>
      <c r="D97" s="417">
        <v>110.30341096791267</v>
      </c>
      <c r="E97" s="417">
        <v>105.6999998250503</v>
      </c>
      <c r="F97" s="417">
        <v>104.84617425872787</v>
      </c>
      <c r="G97" s="418">
        <v>104.26780048616257</v>
      </c>
      <c r="H97" s="419"/>
      <c r="I97" s="417"/>
      <c r="J97" s="418"/>
      <c r="T97" s="113"/>
      <c r="U97" s="113"/>
      <c r="V97" s="113"/>
      <c r="W97" s="113"/>
      <c r="X97" s="113"/>
    </row>
    <row r="98" spans="2:24" ht="15.75" hidden="1" customHeight="1">
      <c r="B98" s="420" t="s">
        <v>312</v>
      </c>
      <c r="C98" s="381"/>
      <c r="D98" s="381"/>
      <c r="E98" s="381"/>
      <c r="F98" s="381"/>
      <c r="G98" s="381"/>
      <c r="H98" s="421"/>
      <c r="I98" s="422"/>
      <c r="J98" s="422"/>
      <c r="T98" s="113"/>
      <c r="U98" s="113"/>
      <c r="V98" s="113"/>
      <c r="W98" s="113"/>
      <c r="X98" s="113"/>
    </row>
    <row r="99" spans="2:24" ht="15.75" hidden="1" customHeight="1">
      <c r="B99" s="420" t="s">
        <v>313</v>
      </c>
      <c r="C99" s="423"/>
      <c r="D99" s="423"/>
      <c r="E99" s="423"/>
      <c r="F99" s="423"/>
      <c r="G99" s="423"/>
      <c r="H99" s="424"/>
      <c r="I99" s="422"/>
      <c r="J99" s="422"/>
      <c r="T99" s="113"/>
      <c r="U99" s="113"/>
      <c r="V99" s="113"/>
      <c r="W99" s="113"/>
      <c r="X99" s="113"/>
    </row>
    <row r="100" spans="2:24" ht="15.75" hidden="1" customHeight="1">
      <c r="B100" s="907" t="s">
        <v>314</v>
      </c>
      <c r="C100" s="908"/>
      <c r="D100" s="908"/>
      <c r="E100" s="908"/>
      <c r="F100" s="908"/>
      <c r="G100" s="908"/>
      <c r="H100" s="425"/>
      <c r="I100" s="422"/>
      <c r="J100" s="422"/>
      <c r="T100" s="113"/>
      <c r="U100" s="113"/>
      <c r="V100" s="113"/>
      <c r="W100" s="113"/>
      <c r="X100" s="113"/>
    </row>
    <row r="101" spans="2:24" ht="15.75" hidden="1" customHeight="1">
      <c r="B101" s="426" t="s">
        <v>315</v>
      </c>
      <c r="C101" s="552"/>
      <c r="D101" s="552"/>
      <c r="E101" s="552"/>
      <c r="F101" s="552"/>
      <c r="G101" s="552"/>
      <c r="H101" s="421"/>
      <c r="I101" s="121"/>
      <c r="J101" s="121"/>
      <c r="T101" s="113"/>
      <c r="U101" s="113"/>
      <c r="V101" s="113"/>
      <c r="W101" s="113"/>
      <c r="X101" s="113"/>
    </row>
    <row r="102" spans="2:24" ht="15.75" hidden="1" customHeight="1">
      <c r="B102" s="426" t="s">
        <v>316</v>
      </c>
      <c r="C102" s="552"/>
      <c r="D102" s="552"/>
      <c r="E102" s="552"/>
      <c r="F102" s="552"/>
      <c r="G102" s="552"/>
      <c r="H102" s="121"/>
      <c r="I102" s="121"/>
      <c r="J102" s="121"/>
      <c r="T102" s="113"/>
      <c r="U102" s="113"/>
      <c r="V102" s="113"/>
      <c r="W102" s="113"/>
      <c r="X102" s="113"/>
    </row>
    <row r="103" spans="2:24" ht="15.75" hidden="1" customHeight="1">
      <c r="B103" s="426" t="s">
        <v>317</v>
      </c>
      <c r="C103" s="427"/>
      <c r="D103" s="427"/>
      <c r="E103" s="427"/>
      <c r="F103" s="427"/>
      <c r="G103" s="427"/>
      <c r="H103" s="112"/>
      <c r="I103" s="112"/>
      <c r="J103" s="112"/>
      <c r="T103" s="113"/>
      <c r="U103" s="113"/>
      <c r="V103" s="113"/>
      <c r="W103" s="113"/>
      <c r="X103" s="113"/>
    </row>
    <row r="104" spans="2:24" ht="15.75" hidden="1" customHeight="1">
      <c r="B104" s="426" t="s">
        <v>318</v>
      </c>
      <c r="C104" s="423"/>
      <c r="D104" s="423"/>
      <c r="E104" s="423"/>
      <c r="F104" s="423"/>
      <c r="G104" s="423"/>
      <c r="H104" s="112"/>
      <c r="I104" s="121"/>
      <c r="J104" s="121"/>
      <c r="T104" s="113"/>
      <c r="U104" s="113"/>
      <c r="V104" s="113"/>
      <c r="W104" s="113"/>
      <c r="X104" s="113"/>
    </row>
    <row r="105" spans="2:24">
      <c r="B105" s="426"/>
      <c r="C105" s="423"/>
      <c r="D105" s="423"/>
      <c r="E105" s="423"/>
      <c r="F105" s="423"/>
      <c r="G105" s="423"/>
      <c r="H105" s="112"/>
      <c r="I105" s="121"/>
      <c r="J105" s="121"/>
      <c r="T105" s="113"/>
      <c r="U105" s="113"/>
      <c r="V105" s="113"/>
      <c r="W105" s="113"/>
      <c r="X105" s="113"/>
    </row>
    <row r="106" spans="2:24">
      <c r="B106" s="584" t="s">
        <v>76</v>
      </c>
      <c r="C106" s="584">
        <f>C12</f>
        <v>2024</v>
      </c>
      <c r="D106" s="584">
        <f t="shared" ref="D106:J106" si="1">D12</f>
        <v>2025</v>
      </c>
      <c r="E106" s="584">
        <f t="shared" si="1"/>
        <v>2026</v>
      </c>
      <c r="F106" s="584">
        <f t="shared" si="1"/>
        <v>2027</v>
      </c>
      <c r="G106" s="584">
        <f t="shared" si="1"/>
        <v>2028</v>
      </c>
      <c r="H106" s="584">
        <f t="shared" si="1"/>
        <v>2029</v>
      </c>
      <c r="I106" s="584">
        <f t="shared" si="1"/>
        <v>2030</v>
      </c>
      <c r="J106" s="584">
        <f t="shared" si="1"/>
        <v>2031</v>
      </c>
      <c r="T106" s="113"/>
      <c r="U106" s="113"/>
      <c r="V106" s="113"/>
      <c r="W106" s="113"/>
      <c r="X106" s="113"/>
    </row>
    <row r="107" spans="2:24" ht="18.75">
      <c r="B107" s="585" t="s">
        <v>77</v>
      </c>
      <c r="C107" s="586">
        <f>ROUND(C92,1)/100</f>
        <v>1.079</v>
      </c>
      <c r="D107" s="586">
        <f t="shared" ref="D107:J107" si="2">ROUND(D92,1)/100</f>
        <v>1.079</v>
      </c>
      <c r="E107" s="586">
        <f t="shared" si="2"/>
        <v>1.054</v>
      </c>
      <c r="F107" s="586">
        <f t="shared" si="2"/>
        <v>1.044</v>
      </c>
      <c r="G107" s="586">
        <f t="shared" si="2"/>
        <v>1.0429999999999999</v>
      </c>
      <c r="H107" s="586">
        <f t="shared" si="2"/>
        <v>1.0429999999999999</v>
      </c>
      <c r="I107" s="586">
        <f t="shared" si="2"/>
        <v>1.0429999999999999</v>
      </c>
      <c r="J107" s="586">
        <f t="shared" si="2"/>
        <v>1.0429999999999999</v>
      </c>
    </row>
  </sheetData>
  <mergeCells count="8">
    <mergeCell ref="A3:A4"/>
    <mergeCell ref="B3:B4"/>
    <mergeCell ref="C3:C4"/>
    <mergeCell ref="D14:J14"/>
    <mergeCell ref="B100:G100"/>
    <mergeCell ref="B10:J10"/>
    <mergeCell ref="E13:G13"/>
    <mergeCell ref="H13:J13"/>
  </mergeCells>
  <pageMargins left="0.7" right="0.7" top="0.75" bottom="0.75" header="0.3" footer="0.3"/>
  <pageSetup paperSize="9" orientation="portrait" horizont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C36" sqref="C36"/>
    </sheetView>
  </sheetViews>
  <sheetFormatPr defaultRowHeight="15"/>
  <cols>
    <col min="2" max="2" width="10.140625" bestFit="1" customWidth="1"/>
  </cols>
  <sheetData>
    <row r="1" spans="1:13" s="443" customFormat="1" ht="28.5" customHeight="1">
      <c r="A1" s="443" t="s">
        <v>340</v>
      </c>
    </row>
    <row r="2" spans="1:13" s="443" customFormat="1" thickBot="1"/>
    <row r="3" spans="1:13" s="443" customFormat="1">
      <c r="B3" s="444">
        <v>1</v>
      </c>
      <c r="C3" s="915" t="s">
        <v>330</v>
      </c>
      <c r="D3" s="916"/>
      <c r="E3" s="916"/>
      <c r="F3" s="917"/>
      <c r="G3" s="445"/>
      <c r="H3" s="445"/>
      <c r="I3" s="445"/>
      <c r="J3" s="445"/>
      <c r="K3" s="445"/>
      <c r="L3" s="445"/>
      <c r="M3" s="445"/>
    </row>
    <row r="4" spans="1:13" s="443" customFormat="1" ht="15.75" thickBot="1">
      <c r="B4" s="446">
        <v>11</v>
      </c>
      <c r="C4" s="918"/>
      <c r="D4" s="918"/>
      <c r="E4" s="918"/>
      <c r="F4" s="919"/>
      <c r="G4" s="445"/>
      <c r="H4" s="445"/>
      <c r="I4" s="445"/>
      <c r="J4" s="445"/>
      <c r="K4" s="445"/>
      <c r="L4" s="445"/>
      <c r="M4" s="445"/>
    </row>
    <row r="5" spans="1:13" s="443" customFormat="1">
      <c r="B5" s="447">
        <v>2</v>
      </c>
      <c r="C5" s="926" t="s">
        <v>331</v>
      </c>
      <c r="D5" s="927"/>
      <c r="E5" s="927"/>
      <c r="F5" s="928"/>
      <c r="G5" s="445"/>
      <c r="H5" s="445"/>
      <c r="I5" s="445"/>
      <c r="J5" s="445"/>
      <c r="K5" s="445"/>
      <c r="L5" s="445"/>
      <c r="M5" s="445"/>
    </row>
    <row r="6" spans="1:13" s="443" customFormat="1" ht="15.75" thickBot="1">
      <c r="B6" s="448">
        <v>22</v>
      </c>
      <c r="C6" s="929"/>
      <c r="D6" s="929"/>
      <c r="E6" s="929"/>
      <c r="F6" s="930"/>
      <c r="G6" s="445"/>
      <c r="H6" s="445"/>
      <c r="I6" s="445"/>
      <c r="J6" s="445"/>
      <c r="K6" s="445"/>
      <c r="L6" s="445"/>
      <c r="M6" s="445"/>
    </row>
    <row r="7" spans="1:13" s="443" customFormat="1">
      <c r="B7" s="444">
        <v>3</v>
      </c>
      <c r="C7" s="915" t="s">
        <v>332</v>
      </c>
      <c r="D7" s="916"/>
      <c r="E7" s="916"/>
      <c r="F7" s="917"/>
      <c r="G7" s="445"/>
      <c r="H7" s="445"/>
      <c r="I7" s="445"/>
      <c r="J7" s="445"/>
      <c r="K7" s="445"/>
      <c r="L7" s="445"/>
      <c r="M7" s="445"/>
    </row>
    <row r="8" spans="1:13" s="443" customFormat="1" ht="15.75" thickBot="1">
      <c r="B8" s="446">
        <v>33</v>
      </c>
      <c r="C8" s="918"/>
      <c r="D8" s="918"/>
      <c r="E8" s="918"/>
      <c r="F8" s="919"/>
      <c r="G8" s="445"/>
      <c r="H8" s="445"/>
      <c r="I8" s="445"/>
      <c r="J8" s="445"/>
      <c r="K8" s="445"/>
      <c r="L8" s="445"/>
      <c r="M8" s="445"/>
    </row>
    <row r="9" spans="1:13" s="443" customFormat="1">
      <c r="B9" s="447">
        <v>4</v>
      </c>
      <c r="C9" s="926" t="s">
        <v>333</v>
      </c>
      <c r="D9" s="927"/>
      <c r="E9" s="927"/>
      <c r="F9" s="928"/>
      <c r="G9" s="445"/>
      <c r="H9" s="445"/>
      <c r="I9" s="445"/>
      <c r="J9" s="445"/>
      <c r="K9" s="445"/>
      <c r="L9" s="445"/>
      <c r="M9" s="445"/>
    </row>
    <row r="10" spans="1:13" s="443" customFormat="1" ht="15.75" thickBot="1">
      <c r="B10" s="448">
        <v>44</v>
      </c>
      <c r="C10" s="929"/>
      <c r="D10" s="929"/>
      <c r="E10" s="929"/>
      <c r="F10" s="930"/>
      <c r="G10" s="445"/>
      <c r="H10" s="445"/>
      <c r="I10" s="445"/>
      <c r="J10" s="445"/>
      <c r="K10" s="445"/>
      <c r="L10" s="445"/>
      <c r="M10" s="445"/>
    </row>
    <row r="11" spans="1:13" s="443" customFormat="1">
      <c r="B11" s="444">
        <v>5</v>
      </c>
      <c r="C11" s="915" t="s">
        <v>341</v>
      </c>
      <c r="D11" s="916"/>
      <c r="E11" s="916"/>
      <c r="F11" s="917"/>
      <c r="G11" s="445"/>
      <c r="H11" s="449"/>
      <c r="I11" s="449"/>
      <c r="J11" s="449"/>
      <c r="K11" s="445"/>
      <c r="L11" s="445"/>
      <c r="M11" s="445"/>
    </row>
    <row r="12" spans="1:13" s="443" customFormat="1" ht="15.75" thickBot="1">
      <c r="B12" s="446">
        <v>55</v>
      </c>
      <c r="C12" s="918"/>
      <c r="D12" s="918"/>
      <c r="E12" s="918"/>
      <c r="F12" s="919"/>
      <c r="G12" s="445"/>
      <c r="H12" s="449"/>
      <c r="I12" s="449"/>
      <c r="J12" s="449"/>
      <c r="K12" s="445"/>
      <c r="L12" s="445"/>
      <c r="M12" s="445"/>
    </row>
    <row r="13" spans="1:13" s="443" customFormat="1">
      <c r="B13" s="447">
        <v>6</v>
      </c>
      <c r="C13" s="931" t="s">
        <v>334</v>
      </c>
      <c r="D13" s="932"/>
      <c r="E13" s="932"/>
      <c r="F13" s="933"/>
      <c r="G13" s="445"/>
      <c r="H13" s="445"/>
      <c r="I13" s="445"/>
      <c r="J13" s="445"/>
      <c r="K13" s="445"/>
      <c r="L13" s="445"/>
      <c r="M13" s="445"/>
    </row>
    <row r="14" spans="1:13" s="443" customFormat="1">
      <c r="B14" s="450">
        <v>66</v>
      </c>
      <c r="C14" s="923"/>
      <c r="D14" s="924"/>
      <c r="E14" s="924"/>
      <c r="F14" s="925"/>
      <c r="G14" s="445"/>
      <c r="H14" s="445"/>
      <c r="I14" s="445"/>
      <c r="J14" s="445"/>
      <c r="K14" s="445"/>
      <c r="L14" s="445"/>
      <c r="M14" s="445"/>
    </row>
    <row r="15" spans="1:13" s="443" customFormat="1">
      <c r="B15" s="450">
        <v>7</v>
      </c>
      <c r="C15" s="920" t="s">
        <v>335</v>
      </c>
      <c r="D15" s="921"/>
      <c r="E15" s="921"/>
      <c r="F15" s="922"/>
      <c r="G15" s="445"/>
      <c r="H15" s="445"/>
      <c r="I15" s="445"/>
      <c r="J15" s="445"/>
      <c r="K15" s="445"/>
      <c r="L15" s="445"/>
      <c r="M15" s="445"/>
    </row>
    <row r="16" spans="1:13" s="443" customFormat="1">
      <c r="B16" s="450">
        <v>77</v>
      </c>
      <c r="C16" s="923"/>
      <c r="D16" s="924"/>
      <c r="E16" s="924"/>
      <c r="F16" s="925"/>
      <c r="G16" s="445"/>
    </row>
    <row r="17" spans="2:13" s="443" customFormat="1">
      <c r="B17" s="450">
        <v>8</v>
      </c>
      <c r="C17" s="920" t="s">
        <v>336</v>
      </c>
      <c r="D17" s="921"/>
      <c r="E17" s="921"/>
      <c r="F17" s="922"/>
      <c r="G17" s="445"/>
      <c r="H17" s="445"/>
      <c r="I17" s="445"/>
      <c r="J17" s="445"/>
      <c r="K17" s="445"/>
      <c r="L17" s="445"/>
      <c r="M17" s="445"/>
    </row>
    <row r="18" spans="2:13" s="443" customFormat="1">
      <c r="B18" s="450">
        <v>88</v>
      </c>
      <c r="C18" s="923"/>
      <c r="D18" s="924"/>
      <c r="E18" s="924"/>
      <c r="F18" s="925"/>
      <c r="G18" s="445"/>
      <c r="H18" s="445"/>
      <c r="I18" s="445"/>
      <c r="J18" s="445"/>
      <c r="K18" s="445"/>
      <c r="L18" s="445"/>
      <c r="M18" s="445"/>
    </row>
    <row r="19" spans="2:13" s="443" customFormat="1">
      <c r="B19" s="450">
        <v>9</v>
      </c>
      <c r="C19" s="920" t="s">
        <v>337</v>
      </c>
      <c r="D19" s="921"/>
      <c r="E19" s="921"/>
      <c r="F19" s="922"/>
      <c r="G19" s="445"/>
      <c r="H19" s="445"/>
      <c r="I19" s="445"/>
      <c r="J19" s="445"/>
      <c r="K19" s="445"/>
      <c r="L19" s="445"/>
      <c r="M19" s="445"/>
    </row>
    <row r="20" spans="2:13" s="443" customFormat="1" ht="15.75" thickBot="1">
      <c r="B20" s="448">
        <v>99</v>
      </c>
      <c r="C20" s="923"/>
      <c r="D20" s="924"/>
      <c r="E20" s="924"/>
      <c r="F20" s="925"/>
      <c r="G20" s="445"/>
      <c r="H20" s="445"/>
      <c r="I20" s="445"/>
      <c r="J20" s="445"/>
      <c r="K20" s="445"/>
      <c r="L20" s="445"/>
      <c r="M20" s="445"/>
    </row>
    <row r="21" spans="2:13" s="443" customFormat="1">
      <c r="B21" s="444">
        <v>10</v>
      </c>
      <c r="C21" s="915" t="s">
        <v>338</v>
      </c>
      <c r="D21" s="916"/>
      <c r="E21" s="916"/>
      <c r="F21" s="917"/>
      <c r="G21" s="445"/>
      <c r="H21" s="445"/>
      <c r="I21" s="445"/>
      <c r="J21" s="445"/>
      <c r="K21" s="445"/>
      <c r="L21" s="445"/>
      <c r="M21" s="445"/>
    </row>
    <row r="22" spans="2:13" s="443" customFormat="1" ht="15.75" thickBot="1">
      <c r="B22" s="446">
        <v>1010</v>
      </c>
      <c r="C22" s="918"/>
      <c r="D22" s="918"/>
      <c r="E22" s="918"/>
      <c r="F22" s="919"/>
      <c r="G22" s="445"/>
      <c r="H22" s="445"/>
      <c r="I22" s="445"/>
      <c r="J22" s="445"/>
      <c r="K22" s="445"/>
      <c r="L22" s="445"/>
      <c r="M22" s="445"/>
    </row>
  </sheetData>
  <mergeCells count="10">
    <mergeCell ref="C3:F4"/>
    <mergeCell ref="C15:F16"/>
    <mergeCell ref="C17:F18"/>
    <mergeCell ref="C19:F20"/>
    <mergeCell ref="C21:F22"/>
    <mergeCell ref="C5:F6"/>
    <mergeCell ref="C7:F8"/>
    <mergeCell ref="C9:F10"/>
    <mergeCell ref="C11:F12"/>
    <mergeCell ref="C13:F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view="pageBreakPreview" zoomScale="60" zoomScaleNormal="60" workbookViewId="0">
      <selection activeCell="L49" sqref="L49"/>
    </sheetView>
  </sheetViews>
  <sheetFormatPr defaultRowHeight="15"/>
  <cols>
    <col min="1" max="1" width="8.7109375" customWidth="1"/>
    <col min="2" max="2" width="47.7109375" customWidth="1"/>
    <col min="3" max="3" width="15.28515625" customWidth="1"/>
    <col min="4" max="4" width="15.42578125" customWidth="1"/>
    <col min="5" max="5" width="13.28515625" customWidth="1"/>
    <col min="6" max="6" width="14" customWidth="1"/>
    <col min="7" max="7" width="14.28515625" customWidth="1"/>
    <col min="8" max="8" width="13.5703125" customWidth="1"/>
    <col min="9" max="9" width="15" customWidth="1"/>
    <col min="10" max="10" width="13" customWidth="1"/>
    <col min="11" max="11" width="18.140625" customWidth="1"/>
    <col min="12" max="12" width="19.42578125" customWidth="1"/>
  </cols>
  <sheetData>
    <row r="1" spans="1:12" ht="61.5" customHeight="1">
      <c r="A1" s="935" t="s">
        <v>251</v>
      </c>
      <c r="B1" s="934"/>
      <c r="C1" s="934"/>
      <c r="D1" s="934"/>
      <c r="E1" s="934"/>
      <c r="F1" s="934"/>
      <c r="G1" s="934"/>
      <c r="H1" s="934"/>
      <c r="I1" s="934"/>
      <c r="J1" s="934"/>
      <c r="K1" s="934"/>
      <c r="L1" s="934"/>
    </row>
    <row r="2" spans="1:12">
      <c r="A2" s="936"/>
      <c r="B2" s="936"/>
      <c r="C2" s="936"/>
      <c r="D2" s="936"/>
      <c r="E2" s="936"/>
      <c r="F2" s="936"/>
      <c r="G2" s="936"/>
      <c r="H2" s="936"/>
      <c r="I2" s="936"/>
      <c r="J2" s="936"/>
      <c r="K2" s="936"/>
      <c r="L2" s="936"/>
    </row>
    <row r="3" spans="1:12" s="349" customFormat="1" ht="30.75" customHeight="1">
      <c r="A3" s="347"/>
      <c r="B3" s="348"/>
      <c r="C3" s="348"/>
      <c r="D3" s="348"/>
      <c r="E3" s="348"/>
      <c r="F3" s="348"/>
      <c r="G3" s="348"/>
      <c r="H3" s="348"/>
      <c r="I3" s="348"/>
      <c r="J3" s="937" t="s">
        <v>252</v>
      </c>
      <c r="K3" s="937"/>
      <c r="L3" s="937"/>
    </row>
    <row r="4" spans="1:12" s="349" customFormat="1" ht="32.25" customHeight="1">
      <c r="A4" s="347"/>
      <c r="B4" s="348"/>
      <c r="C4" s="348"/>
      <c r="D4" s="348"/>
      <c r="E4" s="348"/>
      <c r="F4" s="348"/>
      <c r="G4" s="348"/>
      <c r="H4" s="348"/>
      <c r="I4" s="348"/>
      <c r="J4" s="937" t="s">
        <v>253</v>
      </c>
      <c r="K4" s="937"/>
      <c r="L4" s="937"/>
    </row>
    <row r="5" spans="1:12" s="349" customFormat="1" ht="35.25" customHeight="1">
      <c r="A5" s="347"/>
      <c r="B5" s="348"/>
      <c r="C5" s="348"/>
      <c r="D5" s="348"/>
      <c r="E5" s="348"/>
      <c r="F5" s="348"/>
      <c r="G5" s="348"/>
      <c r="H5" s="348"/>
      <c r="I5" s="348"/>
      <c r="J5" s="937" t="s">
        <v>254</v>
      </c>
      <c r="K5" s="937"/>
      <c r="L5" s="937"/>
    </row>
    <row r="6" spans="1:12" s="349" customFormat="1" ht="10.5" customHeight="1">
      <c r="A6" s="934"/>
      <c r="B6" s="934"/>
      <c r="C6" s="934"/>
      <c r="D6" s="934"/>
      <c r="E6" s="934"/>
      <c r="F6" s="934"/>
      <c r="G6" s="934"/>
      <c r="H6" s="934"/>
      <c r="I6" s="934"/>
      <c r="J6" s="934"/>
      <c r="K6" s="934"/>
      <c r="L6" s="934"/>
    </row>
    <row r="7" spans="1:12" s="349" customFormat="1" ht="48" customHeight="1">
      <c r="A7" s="938" t="s">
        <v>255</v>
      </c>
      <c r="B7" s="938"/>
      <c r="C7" s="938"/>
      <c r="D7" s="938"/>
      <c r="E7" s="938"/>
      <c r="F7" s="938"/>
      <c r="G7" s="938"/>
      <c r="H7" s="938"/>
      <c r="I7" s="938"/>
      <c r="J7" s="938"/>
      <c r="K7" s="938"/>
      <c r="L7" s="938"/>
    </row>
    <row r="8" spans="1:12" s="349" customFormat="1" ht="81" customHeight="1">
      <c r="A8" s="939" t="s">
        <v>256</v>
      </c>
      <c r="B8" s="939"/>
      <c r="C8" s="939"/>
      <c r="D8" s="939"/>
      <c r="E8" s="939"/>
      <c r="F8" s="939"/>
      <c r="G8" s="939"/>
      <c r="H8" s="939"/>
      <c r="I8" s="939"/>
      <c r="J8" s="939"/>
      <c r="K8" s="939"/>
      <c r="L8" s="939"/>
    </row>
    <row r="9" spans="1:12" s="349" customFormat="1" ht="45" customHeight="1">
      <c r="A9" s="940" t="s">
        <v>257</v>
      </c>
      <c r="B9" s="941"/>
      <c r="C9" s="944" t="s">
        <v>185</v>
      </c>
      <c r="D9" s="944" t="s">
        <v>186</v>
      </c>
      <c r="E9" s="944" t="s">
        <v>50</v>
      </c>
      <c r="F9" s="944" t="s">
        <v>8</v>
      </c>
      <c r="G9" s="944" t="s">
        <v>26</v>
      </c>
      <c r="H9" s="944" t="s">
        <v>258</v>
      </c>
      <c r="I9" s="944"/>
      <c r="J9" s="944"/>
      <c r="K9" s="944"/>
      <c r="L9" s="350" t="s">
        <v>259</v>
      </c>
    </row>
    <row r="10" spans="1:12" s="349" customFormat="1" ht="55.5" customHeight="1">
      <c r="A10" s="942"/>
      <c r="B10" s="943"/>
      <c r="C10" s="944"/>
      <c r="D10" s="944"/>
      <c r="E10" s="944"/>
      <c r="F10" s="944"/>
      <c r="G10" s="944"/>
      <c r="H10" s="351" t="s">
        <v>260</v>
      </c>
      <c r="I10" s="351" t="s">
        <v>34</v>
      </c>
      <c r="J10" s="352" t="s">
        <v>261</v>
      </c>
      <c r="K10" s="351" t="s">
        <v>262</v>
      </c>
      <c r="L10" s="350" t="s">
        <v>263</v>
      </c>
    </row>
    <row r="11" spans="1:12" s="349" customFormat="1" ht="40.5" customHeight="1">
      <c r="A11" s="948" t="s">
        <v>264</v>
      </c>
      <c r="B11" s="949"/>
      <c r="C11" s="353">
        <f>'Данные '!E15</f>
        <v>2026</v>
      </c>
      <c r="D11" s="353"/>
      <c r="E11" s="353"/>
      <c r="F11" s="353"/>
      <c r="G11" s="353"/>
      <c r="H11" s="353"/>
      <c r="I11" s="353"/>
      <c r="J11" s="353"/>
      <c r="K11" s="353"/>
      <c r="L11" s="353"/>
    </row>
    <row r="12" spans="1:12" s="349" customFormat="1" ht="57" customHeight="1">
      <c r="A12" s="948" t="s">
        <v>265</v>
      </c>
      <c r="B12" s="949"/>
      <c r="C12" s="354">
        <f>'Прогнозная стоимость РСС ИП '!J18/'Прогнозная стоимость РСС ИП '!C18</f>
        <v>1103.5350000000003</v>
      </c>
      <c r="D12" s="353"/>
      <c r="E12" s="353"/>
      <c r="F12" s="353"/>
      <c r="G12" s="353"/>
      <c r="H12" s="353"/>
      <c r="I12" s="353"/>
      <c r="J12" s="353"/>
      <c r="K12" s="353"/>
      <c r="L12" s="353"/>
    </row>
    <row r="13" spans="1:12" s="356" customFormat="1" ht="63" hidden="1" customHeight="1">
      <c r="A13" s="950" t="s">
        <v>266</v>
      </c>
      <c r="B13" s="951"/>
      <c r="C13" s="355">
        <v>0.7</v>
      </c>
      <c r="D13" s="355"/>
      <c r="E13" s="355"/>
      <c r="F13" s="355"/>
      <c r="G13" s="355"/>
      <c r="H13" s="355"/>
      <c r="I13" s="355"/>
      <c r="J13" s="355"/>
      <c r="K13" s="355"/>
      <c r="L13" s="355"/>
    </row>
    <row r="14" spans="1:12" s="349" customFormat="1" ht="81" customHeight="1">
      <c r="A14" s="952" t="s">
        <v>267</v>
      </c>
      <c r="B14" s="952"/>
      <c r="C14" s="354">
        <f>'Прогнозная стоимость РСС ИП '!J11*1.2</f>
        <v>13858.4573784</v>
      </c>
      <c r="D14" s="354">
        <f>'Прогнозная стоимость РСС ИП '!J12*1.2</f>
        <v>0</v>
      </c>
      <c r="E14" s="354">
        <f>'Прогнозная стоимость РСС ИП '!J13*1.2</f>
        <v>320.99626079999996</v>
      </c>
      <c r="F14" s="354">
        <f>'Прогнозная стоимость РСС ИП '!J10*1.2</f>
        <v>1055.6761878576001</v>
      </c>
      <c r="G14" s="354">
        <f>H14+I14+J14+K14</f>
        <v>1386.2165256000003</v>
      </c>
      <c r="H14" s="354">
        <f>('Прогнозная стоимость РСС ИП '!J14+'Прогнозная стоимость РСС ИП '!J15)*1.2</f>
        <v>902.33849880000014</v>
      </c>
      <c r="I14" s="354">
        <f>'Прогнозная стоимость РСС ИП '!J16*1.2</f>
        <v>483.87802680000004</v>
      </c>
      <c r="J14" s="354">
        <v>0</v>
      </c>
      <c r="K14" s="354">
        <f>'Прогнозная стоимость РСС ИП '!J17*1.2</f>
        <v>0</v>
      </c>
      <c r="L14" s="354">
        <f>C14+D14+E14+F14+G14</f>
        <v>16621.346352657602</v>
      </c>
    </row>
    <row r="15" spans="1:12" s="349" customFormat="1" ht="20.25" customHeight="1">
      <c r="A15" s="357"/>
      <c r="B15" s="357"/>
      <c r="C15" s="358"/>
      <c r="D15" s="358"/>
      <c r="E15" s="358"/>
      <c r="F15" s="358"/>
      <c r="G15" s="358"/>
      <c r="H15" s="358"/>
      <c r="I15" s="358"/>
      <c r="J15" s="358"/>
      <c r="K15" s="358"/>
      <c r="L15" s="358"/>
    </row>
    <row r="16" spans="1:12" s="349" customFormat="1" ht="12" customHeight="1">
      <c r="A16" s="357"/>
      <c r="B16" s="357"/>
      <c r="C16" s="358"/>
      <c r="D16" s="358"/>
      <c r="E16" s="358"/>
      <c r="F16" s="358"/>
      <c r="G16" s="358"/>
      <c r="H16" s="358"/>
      <c r="I16" s="358"/>
      <c r="J16" s="358"/>
      <c r="K16" s="358"/>
      <c r="L16" s="358"/>
    </row>
    <row r="17" spans="1:12" s="349" customFormat="1" ht="51" customHeight="1">
      <c r="A17" s="953" t="s">
        <v>268</v>
      </c>
      <c r="B17" s="953"/>
      <c r="C17" s="359" t="s">
        <v>269</v>
      </c>
      <c r="D17" s="954" t="s">
        <v>270</v>
      </c>
      <c r="F17" s="955"/>
      <c r="G17" s="955"/>
      <c r="H17" s="357"/>
      <c r="I17" s="357"/>
      <c r="J17" s="952" t="s">
        <v>271</v>
      </c>
      <c r="K17" s="952"/>
      <c r="L17" s="360" t="s">
        <v>11</v>
      </c>
    </row>
    <row r="18" spans="1:12" s="349" customFormat="1" ht="55.5" customHeight="1">
      <c r="A18" s="953" t="s">
        <v>272</v>
      </c>
      <c r="B18" s="953"/>
      <c r="C18" s="359" t="s">
        <v>273</v>
      </c>
      <c r="D18" s="954"/>
      <c r="F18" s="955"/>
      <c r="G18" s="955"/>
      <c r="H18" s="357"/>
      <c r="I18" s="357"/>
      <c r="J18" s="956"/>
      <c r="K18" s="956"/>
      <c r="L18" s="361"/>
    </row>
    <row r="19" spans="1:12" s="349" customFormat="1" ht="43.5" customHeight="1">
      <c r="A19" s="945" t="s">
        <v>274</v>
      </c>
      <c r="B19" s="946"/>
      <c r="C19" s="362" t="s">
        <v>275</v>
      </c>
      <c r="D19" s="363"/>
      <c r="F19" s="357"/>
      <c r="G19" s="357"/>
      <c r="H19" s="357"/>
      <c r="I19" s="357"/>
      <c r="J19" s="947"/>
      <c r="K19" s="947"/>
      <c r="L19" s="364"/>
    </row>
    <row r="20" spans="1:12" s="349" customFormat="1" ht="37.5">
      <c r="A20" s="944" t="s">
        <v>276</v>
      </c>
      <c r="B20" s="944" t="s">
        <v>56</v>
      </c>
      <c r="C20" s="944" t="s">
        <v>185</v>
      </c>
      <c r="D20" s="944" t="s">
        <v>186</v>
      </c>
      <c r="E20" s="944" t="s">
        <v>50</v>
      </c>
      <c r="F20" s="944" t="s">
        <v>8</v>
      </c>
      <c r="G20" s="944" t="s">
        <v>26</v>
      </c>
      <c r="H20" s="944" t="s">
        <v>277</v>
      </c>
      <c r="I20" s="944"/>
      <c r="J20" s="944"/>
      <c r="K20" s="944"/>
      <c r="L20" s="350" t="s">
        <v>259</v>
      </c>
    </row>
    <row r="21" spans="1:12" s="349" customFormat="1" ht="63.75">
      <c r="A21" s="944"/>
      <c r="B21" s="944"/>
      <c r="C21" s="944"/>
      <c r="D21" s="944"/>
      <c r="E21" s="944"/>
      <c r="F21" s="944"/>
      <c r="G21" s="944"/>
      <c r="H21" s="351" t="s">
        <v>260</v>
      </c>
      <c r="I21" s="351" t="s">
        <v>34</v>
      </c>
      <c r="J21" s="352" t="s">
        <v>261</v>
      </c>
      <c r="K21" s="351" t="s">
        <v>262</v>
      </c>
      <c r="L21" s="350" t="s">
        <v>263</v>
      </c>
    </row>
    <row r="22" spans="1:12" s="349" customFormat="1" ht="75" customHeight="1">
      <c r="A22" s="365">
        <v>1</v>
      </c>
      <c r="B22" s="366" t="s">
        <v>278</v>
      </c>
      <c r="C22" s="367">
        <f>'Прогнозная стоимость РСС ИП '!C11*1.2</f>
        <v>12.55824</v>
      </c>
      <c r="D22" s="367">
        <f>'Прогнозная стоимость РСС ИП '!C12*1.2</f>
        <v>0</v>
      </c>
      <c r="E22" s="367">
        <f>'Прогнозная стоимость РСС ИП '!C13*1.2</f>
        <v>0.29087999999999997</v>
      </c>
      <c r="F22" s="367">
        <f>'Прогнозная стоимость РСС ИП '!C10*1.2</f>
        <v>0.95663136000000004</v>
      </c>
      <c r="G22" s="368">
        <f>SUM(H22:K22)</f>
        <v>1.2561599999999999</v>
      </c>
      <c r="H22" s="367">
        <f>('Прогнозная стоимость РСС ИП '!C14+'Прогнозная стоимость РСС ИП '!C15)*1.2</f>
        <v>0.81767999999999996</v>
      </c>
      <c r="I22" s="367">
        <f>'Прогнозная стоимость РСС ИП '!C16*1.2</f>
        <v>0.43847999999999998</v>
      </c>
      <c r="J22" s="367">
        <v>0</v>
      </c>
      <c r="K22" s="367">
        <f>'Прогнозная стоимость РСС ИП '!C17*1.2</f>
        <v>0</v>
      </c>
      <c r="L22" s="369">
        <f>C22+D22+E22+F22+G22</f>
        <v>15.061911359999998</v>
      </c>
    </row>
    <row r="23" spans="1:12" s="356" customFormat="1" ht="75" hidden="1">
      <c r="A23" s="355">
        <v>2</v>
      </c>
      <c r="B23" s="370" t="s">
        <v>279</v>
      </c>
      <c r="C23" s="371" t="e">
        <v>#REF!</v>
      </c>
      <c r="D23" s="371" t="e">
        <v>#REF!</v>
      </c>
      <c r="E23" s="371" t="e">
        <v>#REF!</v>
      </c>
      <c r="F23" s="371" t="e">
        <v>#REF!</v>
      </c>
      <c r="G23" s="371" t="e">
        <v>#REF!</v>
      </c>
      <c r="H23" s="371"/>
      <c r="I23" s="371"/>
      <c r="J23" s="371"/>
      <c r="K23" s="371"/>
      <c r="L23" s="372"/>
    </row>
    <row r="24" spans="1:12" s="356" customFormat="1" ht="56.25" hidden="1">
      <c r="A24" s="355">
        <v>3</v>
      </c>
      <c r="B24" s="373" t="s">
        <v>280</v>
      </c>
      <c r="C24" s="374" t="e">
        <f>C22*C23</f>
        <v>#REF!</v>
      </c>
      <c r="D24" s="374" t="e">
        <f t="shared" ref="D24:F24" si="0">D22*D23</f>
        <v>#REF!</v>
      </c>
      <c r="E24" s="374" t="e">
        <f t="shared" si="0"/>
        <v>#REF!</v>
      </c>
      <c r="F24" s="374" t="e">
        <f t="shared" si="0"/>
        <v>#REF!</v>
      </c>
      <c r="G24" s="374" t="e">
        <f>SUM(H24:K24)</f>
        <v>#REF!</v>
      </c>
      <c r="H24" s="374" t="e">
        <f>H22*G23</f>
        <v>#REF!</v>
      </c>
      <c r="I24" s="374" t="e">
        <f>I22*G23</f>
        <v>#REF!</v>
      </c>
      <c r="J24" s="374" t="e">
        <f>J22*G23</f>
        <v>#REF!</v>
      </c>
      <c r="K24" s="374" t="e">
        <f>K22*G23</f>
        <v>#REF!</v>
      </c>
      <c r="L24" s="375" t="e">
        <f>C24+D24+E24+F24+G24</f>
        <v>#REF!</v>
      </c>
    </row>
    <row r="25" spans="1:12" s="349" customFormat="1" ht="56.25">
      <c r="A25" s="957">
        <v>2</v>
      </c>
      <c r="B25" s="376" t="s">
        <v>281</v>
      </c>
      <c r="C25" s="354"/>
      <c r="D25" s="354"/>
      <c r="E25" s="354"/>
      <c r="F25" s="354"/>
      <c r="G25" s="354"/>
      <c r="H25" s="354"/>
      <c r="I25" s="354"/>
      <c r="J25" s="354"/>
      <c r="K25" s="354"/>
      <c r="L25" s="354"/>
    </row>
    <row r="26" spans="1:12" s="349" customFormat="1" ht="18.75">
      <c r="A26" s="958"/>
      <c r="B26" s="376" t="s">
        <v>282</v>
      </c>
      <c r="C26" s="377">
        <f>Дефляторы!J3/100</f>
        <v>1.0493540000000001</v>
      </c>
      <c r="D26" s="377">
        <f t="shared" ref="D26:L31" si="1">C26</f>
        <v>1.0493540000000001</v>
      </c>
      <c r="E26" s="377">
        <f t="shared" si="1"/>
        <v>1.0493540000000001</v>
      </c>
      <c r="F26" s="377">
        <f t="shared" si="1"/>
        <v>1.0493540000000001</v>
      </c>
      <c r="G26" s="377">
        <f t="shared" si="1"/>
        <v>1.0493540000000001</v>
      </c>
      <c r="H26" s="377">
        <f t="shared" si="1"/>
        <v>1.0493540000000001</v>
      </c>
      <c r="I26" s="377">
        <f t="shared" si="1"/>
        <v>1.0493540000000001</v>
      </c>
      <c r="J26" s="377">
        <f t="shared" si="1"/>
        <v>1.0493540000000001</v>
      </c>
      <c r="K26" s="377">
        <f t="shared" si="1"/>
        <v>1.0493540000000001</v>
      </c>
      <c r="L26" s="377">
        <f t="shared" si="1"/>
        <v>1.0493540000000001</v>
      </c>
    </row>
    <row r="27" spans="1:12" s="349" customFormat="1" ht="18.75">
      <c r="A27" s="958"/>
      <c r="B27" s="376" t="s">
        <v>283</v>
      </c>
      <c r="C27" s="377">
        <f>Дефляторы!K3/100</f>
        <v>1.1463142733059362</v>
      </c>
      <c r="D27" s="377">
        <f t="shared" si="1"/>
        <v>1.1463142733059362</v>
      </c>
      <c r="E27" s="377">
        <f t="shared" si="1"/>
        <v>1.1463142733059362</v>
      </c>
      <c r="F27" s="377">
        <f t="shared" si="1"/>
        <v>1.1463142733059362</v>
      </c>
      <c r="G27" s="377">
        <f t="shared" si="1"/>
        <v>1.1463142733059362</v>
      </c>
      <c r="H27" s="377">
        <f t="shared" si="1"/>
        <v>1.1463142733059362</v>
      </c>
      <c r="I27" s="377">
        <f t="shared" si="1"/>
        <v>1.1463142733059362</v>
      </c>
      <c r="J27" s="377">
        <f t="shared" si="1"/>
        <v>1.1463142733059362</v>
      </c>
      <c r="K27" s="377">
        <f t="shared" si="1"/>
        <v>1.1463142733059362</v>
      </c>
      <c r="L27" s="377">
        <f t="shared" si="1"/>
        <v>1.1463142733059362</v>
      </c>
    </row>
    <row r="28" spans="1:12" s="349" customFormat="1" ht="18.75">
      <c r="A28" s="958"/>
      <c r="B28" s="376" t="s">
        <v>284</v>
      </c>
      <c r="C28" s="377">
        <f>Дефляторы!L3/100</f>
        <v>1.0909646626082732</v>
      </c>
      <c r="D28" s="377">
        <f t="shared" si="1"/>
        <v>1.0909646626082732</v>
      </c>
      <c r="E28" s="377">
        <f t="shared" si="1"/>
        <v>1.0909646626082732</v>
      </c>
      <c r="F28" s="377">
        <f t="shared" si="1"/>
        <v>1.0909646626082732</v>
      </c>
      <c r="G28" s="377">
        <f t="shared" si="1"/>
        <v>1.0909646626082732</v>
      </c>
      <c r="H28" s="377">
        <f t="shared" si="1"/>
        <v>1.0909646626082732</v>
      </c>
      <c r="I28" s="377">
        <f t="shared" si="1"/>
        <v>1.0909646626082732</v>
      </c>
      <c r="J28" s="377">
        <f t="shared" si="1"/>
        <v>1.0909646626082732</v>
      </c>
      <c r="K28" s="377">
        <f t="shared" si="1"/>
        <v>1.0909646626082732</v>
      </c>
      <c r="L28" s="377">
        <f t="shared" si="1"/>
        <v>1.0909646626082732</v>
      </c>
    </row>
    <row r="29" spans="1:12" s="349" customFormat="1" ht="18.75">
      <c r="A29" s="958"/>
      <c r="B29" s="376" t="s">
        <v>285</v>
      </c>
      <c r="C29" s="377">
        <f>Дефляторы!M3/100</f>
        <v>1.0813999999999999</v>
      </c>
      <c r="D29" s="377">
        <f t="shared" si="1"/>
        <v>1.0813999999999999</v>
      </c>
      <c r="E29" s="377">
        <f t="shared" si="1"/>
        <v>1.0813999999999999</v>
      </c>
      <c r="F29" s="377">
        <f t="shared" si="1"/>
        <v>1.0813999999999999</v>
      </c>
      <c r="G29" s="377">
        <f t="shared" si="1"/>
        <v>1.0813999999999999</v>
      </c>
      <c r="H29" s="377">
        <f t="shared" si="1"/>
        <v>1.0813999999999999</v>
      </c>
      <c r="I29" s="377">
        <f t="shared" si="1"/>
        <v>1.0813999999999999</v>
      </c>
      <c r="J29" s="377">
        <f t="shared" si="1"/>
        <v>1.0813999999999999</v>
      </c>
      <c r="K29" s="377">
        <f t="shared" si="1"/>
        <v>1.0813999999999999</v>
      </c>
      <c r="L29" s="377">
        <f t="shared" si="1"/>
        <v>1.0813999999999999</v>
      </c>
    </row>
    <row r="30" spans="1:12" s="349" customFormat="1" ht="18.75">
      <c r="A30" s="958"/>
      <c r="B30" s="376" t="s">
        <v>286</v>
      </c>
      <c r="C30" s="377">
        <f>Дефляторы!N3/100</f>
        <v>1.0740000000000001</v>
      </c>
      <c r="D30" s="377">
        <f t="shared" si="1"/>
        <v>1.0740000000000001</v>
      </c>
      <c r="E30" s="377">
        <f t="shared" si="1"/>
        <v>1.0740000000000001</v>
      </c>
      <c r="F30" s="377">
        <f t="shared" si="1"/>
        <v>1.0740000000000001</v>
      </c>
      <c r="G30" s="377">
        <f t="shared" si="1"/>
        <v>1.0740000000000001</v>
      </c>
      <c r="H30" s="377">
        <f t="shared" si="1"/>
        <v>1.0740000000000001</v>
      </c>
      <c r="I30" s="377">
        <f t="shared" si="1"/>
        <v>1.0740000000000001</v>
      </c>
      <c r="J30" s="377">
        <f t="shared" si="1"/>
        <v>1.0740000000000001</v>
      </c>
      <c r="K30" s="377">
        <f t="shared" si="1"/>
        <v>1.0740000000000001</v>
      </c>
      <c r="L30" s="377">
        <f t="shared" si="1"/>
        <v>1.0740000000000001</v>
      </c>
    </row>
    <row r="31" spans="1:12" s="349" customFormat="1" ht="18.75">
      <c r="A31" s="959"/>
      <c r="B31" s="376" t="s">
        <v>287</v>
      </c>
      <c r="C31" s="377">
        <f>Дефляторы!O3/100</f>
        <v>1.0549999999999999</v>
      </c>
      <c r="D31" s="377">
        <f>C31</f>
        <v>1.0549999999999999</v>
      </c>
      <c r="E31" s="377">
        <f t="shared" si="1"/>
        <v>1.0549999999999999</v>
      </c>
      <c r="F31" s="377">
        <f t="shared" si="1"/>
        <v>1.0549999999999999</v>
      </c>
      <c r="G31" s="377">
        <f t="shared" si="1"/>
        <v>1.0549999999999999</v>
      </c>
      <c r="H31" s="377">
        <f t="shared" si="1"/>
        <v>1.0549999999999999</v>
      </c>
      <c r="I31" s="377">
        <f t="shared" si="1"/>
        <v>1.0549999999999999</v>
      </c>
      <c r="J31" s="377">
        <f t="shared" si="1"/>
        <v>1.0549999999999999</v>
      </c>
      <c r="K31" s="377">
        <f t="shared" si="1"/>
        <v>1.0549999999999999</v>
      </c>
      <c r="L31" s="377">
        <f t="shared" si="1"/>
        <v>1.0549999999999999</v>
      </c>
    </row>
    <row r="32" spans="1:12" s="349" customFormat="1" ht="18.75">
      <c r="A32" s="959"/>
      <c r="B32" s="376" t="s">
        <v>288</v>
      </c>
      <c r="C32" s="377">
        <f>Дефляторы!P3/100</f>
        <v>1.0409999999999999</v>
      </c>
      <c r="D32" s="377">
        <f t="shared" ref="D32:L35" si="2">C32</f>
        <v>1.0409999999999999</v>
      </c>
      <c r="E32" s="377">
        <f t="shared" si="2"/>
        <v>1.0409999999999999</v>
      </c>
      <c r="F32" s="377">
        <f t="shared" si="2"/>
        <v>1.0409999999999999</v>
      </c>
      <c r="G32" s="377">
        <f t="shared" si="2"/>
        <v>1.0409999999999999</v>
      </c>
      <c r="H32" s="377">
        <f t="shared" si="2"/>
        <v>1.0409999999999999</v>
      </c>
      <c r="I32" s="377">
        <f t="shared" si="2"/>
        <v>1.0409999999999999</v>
      </c>
      <c r="J32" s="377">
        <f t="shared" si="2"/>
        <v>1.0409999999999999</v>
      </c>
      <c r="K32" s="377">
        <f t="shared" si="2"/>
        <v>1.0409999999999999</v>
      </c>
      <c r="L32" s="377">
        <f t="shared" si="2"/>
        <v>1.0409999999999999</v>
      </c>
    </row>
    <row r="33" spans="1:12" s="349" customFormat="1" ht="18.75">
      <c r="A33" s="959"/>
      <c r="B33" s="376" t="s">
        <v>289</v>
      </c>
      <c r="C33" s="377">
        <f>Дефляторы!Q3/100</f>
        <v>1.0409999999999999</v>
      </c>
      <c r="D33" s="377">
        <f t="shared" si="2"/>
        <v>1.0409999999999999</v>
      </c>
      <c r="E33" s="377">
        <f t="shared" si="2"/>
        <v>1.0409999999999999</v>
      </c>
      <c r="F33" s="377">
        <f t="shared" si="2"/>
        <v>1.0409999999999999</v>
      </c>
      <c r="G33" s="377">
        <f t="shared" si="2"/>
        <v>1.0409999999999999</v>
      </c>
      <c r="H33" s="377">
        <f t="shared" si="2"/>
        <v>1.0409999999999999</v>
      </c>
      <c r="I33" s="377">
        <f t="shared" si="2"/>
        <v>1.0409999999999999</v>
      </c>
      <c r="J33" s="377">
        <f t="shared" si="2"/>
        <v>1.0409999999999999</v>
      </c>
      <c r="K33" s="377">
        <f t="shared" si="2"/>
        <v>1.0409999999999999</v>
      </c>
      <c r="L33" s="377">
        <f t="shared" si="2"/>
        <v>1.0409999999999999</v>
      </c>
    </row>
    <row r="34" spans="1:12" s="349" customFormat="1" ht="18.75">
      <c r="A34" s="959"/>
      <c r="B34" s="376" t="s">
        <v>290</v>
      </c>
      <c r="C34" s="377">
        <f>Дефляторы!R3/100</f>
        <v>1.0409999999999999</v>
      </c>
      <c r="D34" s="377">
        <f t="shared" si="2"/>
        <v>1.0409999999999999</v>
      </c>
      <c r="E34" s="377">
        <f t="shared" si="2"/>
        <v>1.0409999999999999</v>
      </c>
      <c r="F34" s="377">
        <f t="shared" si="2"/>
        <v>1.0409999999999999</v>
      </c>
      <c r="G34" s="377">
        <f t="shared" si="2"/>
        <v>1.0409999999999999</v>
      </c>
      <c r="H34" s="377">
        <f t="shared" si="2"/>
        <v>1.0409999999999999</v>
      </c>
      <c r="I34" s="377">
        <f t="shared" si="2"/>
        <v>1.0409999999999999</v>
      </c>
      <c r="J34" s="377">
        <f t="shared" si="2"/>
        <v>1.0409999999999999</v>
      </c>
      <c r="K34" s="377">
        <f t="shared" si="2"/>
        <v>1.0409999999999999</v>
      </c>
      <c r="L34" s="377">
        <f t="shared" si="2"/>
        <v>1.0409999999999999</v>
      </c>
    </row>
    <row r="35" spans="1:12" s="349" customFormat="1" ht="18.75">
      <c r="A35" s="715"/>
      <c r="B35" s="376" t="s">
        <v>291</v>
      </c>
      <c r="C35" s="377">
        <f>Дефляторы!S3/100</f>
        <v>1.0409999999999999</v>
      </c>
      <c r="D35" s="377">
        <f t="shared" si="2"/>
        <v>1.0409999999999999</v>
      </c>
      <c r="E35" s="377">
        <f t="shared" si="2"/>
        <v>1.0409999999999999</v>
      </c>
      <c r="F35" s="377">
        <f t="shared" si="2"/>
        <v>1.0409999999999999</v>
      </c>
      <c r="G35" s="377">
        <f t="shared" si="2"/>
        <v>1.0409999999999999</v>
      </c>
      <c r="H35" s="377">
        <f t="shared" si="2"/>
        <v>1.0409999999999999</v>
      </c>
      <c r="I35" s="377">
        <f t="shared" si="2"/>
        <v>1.0409999999999999</v>
      </c>
      <c r="J35" s="377">
        <f t="shared" si="2"/>
        <v>1.0409999999999999</v>
      </c>
      <c r="K35" s="377">
        <f t="shared" si="2"/>
        <v>1.0409999999999999</v>
      </c>
      <c r="L35" s="377">
        <f t="shared" si="2"/>
        <v>1.0409999999999999</v>
      </c>
    </row>
    <row r="36" spans="1:12" s="349" customFormat="1" ht="75">
      <c r="A36" s="957">
        <v>3</v>
      </c>
      <c r="B36" s="378" t="s">
        <v>292</v>
      </c>
      <c r="C36" s="367">
        <f t="shared" ref="C36:K36" si="3">SUM(C37:C46)</f>
        <v>15.793238671347542</v>
      </c>
      <c r="D36" s="367">
        <f t="shared" si="3"/>
        <v>0</v>
      </c>
      <c r="E36" s="367">
        <f t="shared" si="3"/>
        <v>0.36581059644676112</v>
      </c>
      <c r="F36" s="367">
        <f t="shared" si="3"/>
        <v>1.0772833658983867</v>
      </c>
      <c r="G36" s="367">
        <f t="shared" si="3"/>
        <v>1.5797464206289997</v>
      </c>
      <c r="H36" s="367">
        <f t="shared" si="3"/>
        <v>1.0283141106387088</v>
      </c>
      <c r="I36" s="367">
        <f t="shared" si="3"/>
        <v>0.55143230999029091</v>
      </c>
      <c r="J36" s="367">
        <f t="shared" si="3"/>
        <v>0</v>
      </c>
      <c r="K36" s="367">
        <f t="shared" si="3"/>
        <v>0</v>
      </c>
      <c r="L36" s="369">
        <f>C36+D36+E36+F36+G36</f>
        <v>18.81607905432169</v>
      </c>
    </row>
    <row r="37" spans="1:12" s="349" customFormat="1" ht="18.75">
      <c r="A37" s="958"/>
      <c r="B37" s="376" t="s">
        <v>293</v>
      </c>
      <c r="C37" s="354">
        <f>IF($C$18=$B$37,C$22*((C26*100+100)/200),0)</f>
        <v>0</v>
      </c>
      <c r="D37" s="354">
        <f>IF($C$18=$B$37,D$22*((D26*100+100)/200),0)</f>
        <v>0</v>
      </c>
      <c r="E37" s="354">
        <f>IF($C$18=$B$37,E$22*((E26*100+100)/200),0)</f>
        <v>0</v>
      </c>
      <c r="F37" s="354">
        <f>IF($C$17=$B$37,F$22*((F26*100+100)/200),0)</f>
        <v>0</v>
      </c>
      <c r="G37" s="354">
        <f>IF($C$18=$B$37,G$22*((G26*100+100)/200),0)</f>
        <v>0</v>
      </c>
      <c r="H37" s="354">
        <f>IF($C$18=$B$37,H$22*((H26*100+100)/200),0)</f>
        <v>0</v>
      </c>
      <c r="I37" s="354">
        <f>IF($C$18=$B$37,I$22*((I26*100+100)/200),0)</f>
        <v>0</v>
      </c>
      <c r="J37" s="354">
        <f>IF($C$18=$B$37,J$22*((J26*100+100)/200),0)</f>
        <v>0</v>
      </c>
      <c r="K37" s="354">
        <f>IF($C$18=$B$37,K$22*((K26*100+100)/200),0)</f>
        <v>0</v>
      </c>
      <c r="L37" s="369">
        <f t="shared" ref="L37:L59" si="4">C37+D37+E37+F37+G37</f>
        <v>0</v>
      </c>
    </row>
    <row r="38" spans="1:12" s="349" customFormat="1" ht="18.75">
      <c r="A38" s="958"/>
      <c r="B38" s="376" t="s">
        <v>269</v>
      </c>
      <c r="C38" s="354">
        <f>IF($C$18=$B$38,C$22*((C27*100+100)/200)*C26,0)</f>
        <v>0</v>
      </c>
      <c r="D38" s="354">
        <f>IF($C$18=$B$38,D$22*((D27*100+100)/200)*D26,0)</f>
        <v>0</v>
      </c>
      <c r="E38" s="354">
        <f>IF($C$18=$B$38,E$22*((E27*100+100)/200)*E26,0)</f>
        <v>0</v>
      </c>
      <c r="F38" s="354">
        <f>IF($C$17=$B$38,F$22*((F27*100+100)/200)*F26,0)</f>
        <v>1.0772833658983867</v>
      </c>
      <c r="G38" s="354">
        <f>IF($C$18=$B$38,G$22*((G27*100+100)/200)*G26,0)</f>
        <v>0</v>
      </c>
      <c r="H38" s="354">
        <f>IF($C$18=$B$38,H$22*((H27*100+100)/200)*H26,0)</f>
        <v>0</v>
      </c>
      <c r="I38" s="354">
        <f>IF($C$18=$B$38,I$22*((I27*100+100)/200)*I26,0)</f>
        <v>0</v>
      </c>
      <c r="J38" s="354">
        <f>IF($C$18=$B$38,J$22*((J27*100+100)/200)*J26,0)</f>
        <v>0</v>
      </c>
      <c r="K38" s="354">
        <f>IF($C$18=$B$38,K$22*((K27*100+100)/200)*K26,0)</f>
        <v>0</v>
      </c>
      <c r="L38" s="369">
        <f t="shared" si="4"/>
        <v>1.0772833658983867</v>
      </c>
    </row>
    <row r="39" spans="1:12" s="349" customFormat="1" ht="18.75">
      <c r="A39" s="958"/>
      <c r="B39" s="376" t="s">
        <v>273</v>
      </c>
      <c r="C39" s="354">
        <f>IF($C$18=$B$39,C$22*((C28*100+100)/200)*C27*C26,0)</f>
        <v>15.793238671347542</v>
      </c>
      <c r="D39" s="354">
        <f>IF($C$18=$B$39,D$22*((D28*100+100)/200)*D27*D26,0)</f>
        <v>0</v>
      </c>
      <c r="E39" s="354">
        <f>IF($C$18=$B$39,E$22*((E28*100+100)/200)*E27*E26,0)</f>
        <v>0.36581059644676112</v>
      </c>
      <c r="F39" s="354">
        <f>IF($C$17=$B$39,F$22*((F28*100+100)/200)*F27*F26,0)</f>
        <v>0</v>
      </c>
      <c r="G39" s="354">
        <f>IF($C$18=$B$39,G$22*((G28*100+100)/200)*G27*G26,0)</f>
        <v>1.5797464206289997</v>
      </c>
      <c r="H39" s="354">
        <f>IF($C$18=$B$39,H$22*((H28*100+100)/200)*H27*H26,0)</f>
        <v>1.0283141106387088</v>
      </c>
      <c r="I39" s="354">
        <f>IF($C$18=$B$39,I$22*((I28*100+100)/200)*I27*I26,0)</f>
        <v>0.55143230999029091</v>
      </c>
      <c r="J39" s="354">
        <f>IF($C$18=$B$39,J$22*((J28*100+100)/200)*J27*J26,0)</f>
        <v>0</v>
      </c>
      <c r="K39" s="354">
        <f>IF($C$18=$B$39,K$22*((K28*100+100)/200)*K27*K26,0)</f>
        <v>0</v>
      </c>
      <c r="L39" s="369">
        <f t="shared" si="4"/>
        <v>17.738795688423302</v>
      </c>
    </row>
    <row r="40" spans="1:12" s="349" customFormat="1" ht="18.75">
      <c r="A40" s="958"/>
      <c r="B40" s="376" t="s">
        <v>294</v>
      </c>
      <c r="C40" s="354">
        <f>IF($C$18=$B$40,C$22*((C29*100+100)/200)*C28*C27*C26,0)</f>
        <v>0</v>
      </c>
      <c r="D40" s="354">
        <f>IF($C$18=$B$40,D$22*((D29*100+100)/200)*D28*D27*D26,0)</f>
        <v>0</v>
      </c>
      <c r="E40" s="354">
        <f>IF($C$18=$B$40,E$22*((E29*100+100)/200)*E28*E27*E26,0)</f>
        <v>0</v>
      </c>
      <c r="F40" s="354">
        <f>IF($C$17=$B$40,F$22*((F29*100+100)/200)*F28*F27*F26,0)</f>
        <v>0</v>
      </c>
      <c r="G40" s="354">
        <f>IF($C$18=$B$40,G$22*((G29*100+100)/200)*G28*G27*G26,0)</f>
        <v>0</v>
      </c>
      <c r="H40" s="354">
        <f>IF($C$18=$B$40,H$22*((H29*100+100)/200)*H28*H27*H26,0)</f>
        <v>0</v>
      </c>
      <c r="I40" s="354">
        <f>IF($C$18=$B$40,I$22*((I29*100+100)/200)*I28*I27*I26,0)</f>
        <v>0</v>
      </c>
      <c r="J40" s="354">
        <f>IF($C$18=$B$40,J$22*((J29*100+100)/200)*J28*J27*J26,0)</f>
        <v>0</v>
      </c>
      <c r="K40" s="354">
        <f>IF($C$18=$B$40,K$22*((K29*100+100)/200)*K28*K27*K26,0)</f>
        <v>0</v>
      </c>
      <c r="L40" s="369">
        <f t="shared" si="4"/>
        <v>0</v>
      </c>
    </row>
    <row r="41" spans="1:12" s="349" customFormat="1" ht="18.75">
      <c r="A41" s="958"/>
      <c r="B41" s="376" t="s">
        <v>295</v>
      </c>
      <c r="C41" s="354">
        <f>IF($C$18=$B$41,C$22*((C30*100+100)/200)*C29*C28*C27*C26,0)</f>
        <v>0</v>
      </c>
      <c r="D41" s="354">
        <f>IF($C$18=$B$41,D$22*((D30*100+100)/200)*D29*D28*D27*D26,0)</f>
        <v>0</v>
      </c>
      <c r="E41" s="354">
        <f>IF($C$18=$B$41,E$22*((E30*100+100)/200)*E29*E28*E27*E26,0)</f>
        <v>0</v>
      </c>
      <c r="F41" s="354">
        <f>IF($C$17=$B$41,F$22*((F30*100+100)/200)*F29*F28*F27*F26,0)</f>
        <v>0</v>
      </c>
      <c r="G41" s="354">
        <f>IF($C$18=$B$41,G$22*((G30*100+100)/200)*G29*G28*G27*G26,0)</f>
        <v>0</v>
      </c>
      <c r="H41" s="354">
        <f>IF($C$18=$B$41,H$22*((H30*100+100)/200)*H29*H28*H27*H26,0)</f>
        <v>0</v>
      </c>
      <c r="I41" s="354">
        <f>IF($C$18=$B$41,I$22*((I30*100+100)/200)*I29*I28*I27*I26,0)</f>
        <v>0</v>
      </c>
      <c r="J41" s="354">
        <f>IF($C$18=$B$41,J$22*((J30*100+100)/200)*J29*J28*J27*J26,0)</f>
        <v>0</v>
      </c>
      <c r="K41" s="354">
        <f>IF($C$18=$B$41,K$22*((K30*100+100)/200)*K29*K28*K27*K26,0)</f>
        <v>0</v>
      </c>
      <c r="L41" s="369">
        <f t="shared" si="4"/>
        <v>0</v>
      </c>
    </row>
    <row r="42" spans="1:12" s="349" customFormat="1" ht="18.75">
      <c r="A42" s="958"/>
      <c r="B42" s="376" t="s">
        <v>296</v>
      </c>
      <c r="C42" s="354">
        <f>IF($C$18=$B$42,C$22*((C31*100+100)/200)*C30*C29*C28*C27*C26,0)</f>
        <v>0</v>
      </c>
      <c r="D42" s="354">
        <f>IF($C$18=$B$42,D$22*((D31*100+100)/200)*D30*D29*D28*D27*D26,0)</f>
        <v>0</v>
      </c>
      <c r="E42" s="354">
        <f>IF($C$18=$B$42,E$22*((E31*100+100)/200)*E30*E29*E28*E27*E26,0)</f>
        <v>0</v>
      </c>
      <c r="F42" s="354">
        <f>IF($C$17=$B$42,F$22*((F31*100+100)/200)*F30*F29*F28*F27*F26,0)</f>
        <v>0</v>
      </c>
      <c r="G42" s="354">
        <f>IF($C$18=$B$42,G$22*((G31*100+100)/200)*G30*G29*G28*G27*G26,0)</f>
        <v>0</v>
      </c>
      <c r="H42" s="354">
        <f>IF($C$18=$B$42,H$22*((H31*100+100)/200)*H30*H29*H28*H27*H26,0)</f>
        <v>0</v>
      </c>
      <c r="I42" s="354">
        <f>IF($C$18=$B$42,I$22*((I31*100+100)/200)*I30*I29*I28*I27*I26,0)</f>
        <v>0</v>
      </c>
      <c r="J42" s="354">
        <f>IF($C$18=$B$42,J$22*((J31*100+100)/200)*J30*J29*J28*J27*J26,0)</f>
        <v>0</v>
      </c>
      <c r="K42" s="354">
        <f>IF($C$18=$B$42,K$22*((K31*100+100)/200)*K30*K29*K28*K27*K26,0)</f>
        <v>0</v>
      </c>
      <c r="L42" s="369">
        <f t="shared" si="4"/>
        <v>0</v>
      </c>
    </row>
    <row r="43" spans="1:12" s="349" customFormat="1" ht="18.75">
      <c r="A43" s="958"/>
      <c r="B43" s="376" t="s">
        <v>297</v>
      </c>
      <c r="C43" s="354">
        <f>IF($C$18=$B$43,C$22*((C32*100+100)/200)*C31*C30*C29*C28*C27*C26,0)</f>
        <v>0</v>
      </c>
      <c r="D43" s="354">
        <f>IF($C$18=$B$43,D$22*((D32*100+100)/200)*D31*D30*D29*D28*D27*D26,0)</f>
        <v>0</v>
      </c>
      <c r="E43" s="354">
        <f>IF($C$18=$B$43,E$22*((E32*100+100)/200)*E31*E30*E29*E28*E27*E26,0)</f>
        <v>0</v>
      </c>
      <c r="F43" s="354">
        <f>IF($C$17=$B$43,F$22*((F32*100+100)/200)*F31*F30*F29*F28*F27*F26,0)</f>
        <v>0</v>
      </c>
      <c r="G43" s="354">
        <f>IF($C$18=$B$43,G$22*((G32*100+100)/200)*G31*G30*G29*G28*G27*G26,0)</f>
        <v>0</v>
      </c>
      <c r="H43" s="354">
        <f>IF($C$18=$B$43,H$22*((H32*100+100)/200)*H31*H30*H29*H28*H27*H26,0)</f>
        <v>0</v>
      </c>
      <c r="I43" s="354">
        <f>IF($C$18=$B$43,I$22*((I32*100+100)/200)*I31*I30*I29*I28*I27*I26,0)</f>
        <v>0</v>
      </c>
      <c r="J43" s="354">
        <f>IF($C$18=$B$43,J$22*((J32*100+100)/200)*J31*J30*J29*J28*J27*J26,0)</f>
        <v>0</v>
      </c>
      <c r="K43" s="354">
        <f>IF($C$18=$B$43,K$22*((K32*100+100)/200)*K31*K30*K29*K28*K27*K26,0)</f>
        <v>0</v>
      </c>
      <c r="L43" s="369">
        <f t="shared" si="4"/>
        <v>0</v>
      </c>
    </row>
    <row r="44" spans="1:12" s="349" customFormat="1" ht="18.75">
      <c r="A44" s="960"/>
      <c r="B44" s="376" t="s">
        <v>298</v>
      </c>
      <c r="C44" s="354">
        <f>IF($C$18=$B$44,C$22*((C33*100+100)/200)*C32*C31*C30*C29*C28*C27*C26,0)</f>
        <v>0</v>
      </c>
      <c r="D44" s="354">
        <f>IF($C$18=$B$44,D$22*((D33*100+100)/200)*D32*D31*D30*D29*D28*D27*D26,0)</f>
        <v>0</v>
      </c>
      <c r="E44" s="354">
        <f>IF($C$18=$B$44,E$22*((E33*100+100)/200)*E32*E31*E30*E29*E28*E27*E26,0)</f>
        <v>0</v>
      </c>
      <c r="F44" s="354">
        <f>IF($C$17=$B$44,F$22*((F33*100+100)/200)*F32*F31*F30*F29*F28*F27*F26,0)</f>
        <v>0</v>
      </c>
      <c r="G44" s="354">
        <f>IF($C$18=$B$44,G$22*((G33*100+100)/200)*G32*G31*G30*G29*G28*G27*G26,0)</f>
        <v>0</v>
      </c>
      <c r="H44" s="354">
        <f>IF($C$18=$B$44,H$22*((H33*100+100)/200)*H32*H31*H30*H29*H28*H27*H26,0)</f>
        <v>0</v>
      </c>
      <c r="I44" s="354">
        <f>IF($C$18=$B$44,I$22*((I33*100+100)/200)*I32*I31*I30*I29*I28*I27*I26,0)</f>
        <v>0</v>
      </c>
      <c r="J44" s="354">
        <f>IF($C$18=$B$44,J$22*((J33*100+100)/200)*J32*J31*J30*J29*J28*J27*J26,0)</f>
        <v>0</v>
      </c>
      <c r="K44" s="354">
        <f>IF($C$18=$B$44,K$22*((K33*100+100)/200)*K32*K31*K30*K29*K28*K27*K26,0)</f>
        <v>0</v>
      </c>
      <c r="L44" s="369">
        <f t="shared" si="4"/>
        <v>0</v>
      </c>
    </row>
    <row r="45" spans="1:12" s="349" customFormat="1" ht="18.75">
      <c r="A45" s="960"/>
      <c r="B45" s="376" t="s">
        <v>299</v>
      </c>
      <c r="C45" s="354">
        <f>IF($C$18=$B$45,C$22*((C34*100+100)/200)*C33*C32*C31*C30*C29*C28*C27*C26,0)</f>
        <v>0</v>
      </c>
      <c r="D45" s="354">
        <f>IF($C$18=$B$45,D$22*((D34*100+100)/200)*D33*D32*D31*D30*D29*D28*D27*D26,0)</f>
        <v>0</v>
      </c>
      <c r="E45" s="354">
        <f>IF($C$18=$B$45,E$22*((E34*100+100)/200)*E33*E32*E31*E30*E29*E28*E27*E26,0)</f>
        <v>0</v>
      </c>
      <c r="F45" s="354">
        <f>IF($C$17=$B$45,F$22*((F34*100+100)/200)*F33*F32*F31*F30*F29*F28*F27*F26,0)</f>
        <v>0</v>
      </c>
      <c r="G45" s="354">
        <f>IF($C$18=$B$45,G$22*((G34*100+100)/200)*G33*G32*G31*G30*G29*G28*G27*G26,0)</f>
        <v>0</v>
      </c>
      <c r="H45" s="354">
        <f>IF($C$18=$B$45,H$22*((H34*100+100)/200)*H33*H32*H31*H30*H29*H28*H27*H26,0)</f>
        <v>0</v>
      </c>
      <c r="I45" s="354">
        <f>IF($C$18=$B$45,I$22*((I34*100+100)/200)*I33*I32*I31*I30*I29*I28*I27*I26,0)</f>
        <v>0</v>
      </c>
      <c r="J45" s="354">
        <f>IF($C$18=$B$45,J$22*((J34*100+100)/200)*J33*J32*J31*J30*J29*J28*J27*J26,0)</f>
        <v>0</v>
      </c>
      <c r="K45" s="354">
        <f>IF($C$18=$B$45,K$22*((K34*100+100)/200)*K33*K32*K31*K30*K29*K28*K27*K26,0)</f>
        <v>0</v>
      </c>
      <c r="L45" s="369">
        <f t="shared" si="4"/>
        <v>0</v>
      </c>
    </row>
    <row r="46" spans="1:12" s="349" customFormat="1" ht="18.75">
      <c r="A46" s="961"/>
      <c r="B46" s="376" t="s">
        <v>300</v>
      </c>
      <c r="C46" s="354">
        <f>IF($C$18=$B$46,C$22*((C35*100+100)/200)*C34*C33*C32*C31*C30*C29*C28*C27*C26,0)</f>
        <v>0</v>
      </c>
      <c r="D46" s="354">
        <f>IF($C$18=$B$46,D$22*((D35*100+100)/200)*D34*D33*D32*D31*D30*D29*D28*D27*D26,0)</f>
        <v>0</v>
      </c>
      <c r="E46" s="354">
        <f>IF($C$18=$B$46,E$22*((E35*100+100)/200)*E34*E33*E32*E31*E30*E29*E28*E27*E26,0)</f>
        <v>0</v>
      </c>
      <c r="F46" s="354">
        <f>IF($C$17=$B$46,F$22*((F35*100+100)/200)*F34*F33*F32*F31*F30*F29*F28*F27*F26,0)</f>
        <v>0</v>
      </c>
      <c r="G46" s="354">
        <f>IF($C$18=$B$46,G$22*((G35*100+100)/200)*G34*G33*G32*G31*G30*G29*G28*G27*G26,0)</f>
        <v>0</v>
      </c>
      <c r="H46" s="354">
        <f>IF($C$18=$B$46,H$22*((H35*100+100)/200)*H34*H33*H32*H31*H30*H29*H28*H27*H26,0)</f>
        <v>0</v>
      </c>
      <c r="I46" s="354">
        <f>IF($C$18=$B$46,I$22*((I35*100+100)/200)*I34*I33*I32*I31*I30*I29*I28*I27*I26,0)</f>
        <v>0</v>
      </c>
      <c r="J46" s="354">
        <f>IF($C$18=$B$46,J$22*((J35*100+100)/200)*J34*J33*J32*J31*J30*J29*J28*J27*J26,0)</f>
        <v>0</v>
      </c>
      <c r="K46" s="354">
        <f>IF($C$18=$B$46,K$22*((K35*100+100)/200)*K34*K33*K32*K31*K30*K29*K28*K27*K26,0)</f>
        <v>0</v>
      </c>
      <c r="L46" s="369">
        <f t="shared" si="4"/>
        <v>0</v>
      </c>
    </row>
    <row r="47" spans="1:12" s="349" customFormat="1" ht="75">
      <c r="A47" s="353">
        <v>4</v>
      </c>
      <c r="B47" s="376" t="s">
        <v>301</v>
      </c>
      <c r="C47" s="354"/>
      <c r="D47" s="354"/>
      <c r="E47" s="354"/>
      <c r="F47" s="354"/>
      <c r="G47" s="354">
        <f>SUM(H47:K47)</f>
        <v>0</v>
      </c>
      <c r="H47" s="354"/>
      <c r="I47" s="354"/>
      <c r="J47" s="354"/>
      <c r="K47" s="354"/>
      <c r="L47" s="369">
        <f t="shared" si="4"/>
        <v>0</v>
      </c>
    </row>
    <row r="48" spans="1:12" s="349" customFormat="1" ht="56.25">
      <c r="A48" s="353">
        <v>5</v>
      </c>
      <c r="B48" s="376" t="s">
        <v>302</v>
      </c>
      <c r="C48" s="354"/>
      <c r="D48" s="354"/>
      <c r="E48" s="354"/>
      <c r="F48" s="354"/>
      <c r="G48" s="354">
        <f>SUM(H48:K48)</f>
        <v>1.5797464206289997</v>
      </c>
      <c r="H48" s="354">
        <f>H36</f>
        <v>1.0283141106387088</v>
      </c>
      <c r="I48" s="354">
        <f>I36</f>
        <v>0.55143230999029091</v>
      </c>
      <c r="J48" s="354">
        <f>J36</f>
        <v>0</v>
      </c>
      <c r="K48" s="354">
        <v>0</v>
      </c>
      <c r="L48" s="369">
        <f t="shared" si="4"/>
        <v>1.5797464206289997</v>
      </c>
    </row>
    <row r="49" spans="1:12" s="349" customFormat="1" ht="86.25" customHeight="1">
      <c r="A49" s="353">
        <v>6</v>
      </c>
      <c r="B49" s="378" t="s">
        <v>303</v>
      </c>
      <c r="C49" s="367">
        <f t="shared" ref="C49:K49" si="5">SUM(C50:C59)</f>
        <v>15.793238671347542</v>
      </c>
      <c r="D49" s="367">
        <f t="shared" si="5"/>
        <v>0</v>
      </c>
      <c r="E49" s="367">
        <f t="shared" si="5"/>
        <v>0.36581059644676112</v>
      </c>
      <c r="F49" s="367">
        <f t="shared" si="5"/>
        <v>1.0772833658983867</v>
      </c>
      <c r="G49" s="367">
        <f t="shared" si="5"/>
        <v>0</v>
      </c>
      <c r="H49" s="367">
        <f t="shared" si="5"/>
        <v>0</v>
      </c>
      <c r="I49" s="367">
        <f t="shared" si="5"/>
        <v>0</v>
      </c>
      <c r="J49" s="367">
        <f t="shared" si="5"/>
        <v>0</v>
      </c>
      <c r="K49" s="367">
        <f t="shared" si="5"/>
        <v>0</v>
      </c>
      <c r="L49" s="369">
        <f t="shared" si="4"/>
        <v>17.23633263369269</v>
      </c>
    </row>
    <row r="50" spans="1:12" s="349" customFormat="1" ht="18.75">
      <c r="A50" s="353"/>
      <c r="B50" s="379" t="s">
        <v>293</v>
      </c>
      <c r="C50" s="367">
        <f t="shared" ref="C50:C59" si="6">IF(C37&gt;0,C37-C$47-C$48,0)</f>
        <v>0</v>
      </c>
      <c r="D50" s="367">
        <f t="shared" ref="D50:D59" si="7">IF(D37&gt;0,IF($D$47&gt;0,$D$47,D37),0)</f>
        <v>0</v>
      </c>
      <c r="E50" s="367">
        <f t="shared" ref="E50:E59" si="8">IF(E37&gt;0,E37-E$47-E$48,0)</f>
        <v>0</v>
      </c>
      <c r="F50" s="367">
        <f>IF(C19="Нет",IF(F37&gt;0,F37-F$47-F$48,0),0)</f>
        <v>0</v>
      </c>
      <c r="G50" s="367">
        <f t="shared" ref="G50:G59" si="9">SUM(H50:K50)</f>
        <v>0</v>
      </c>
      <c r="H50" s="367">
        <f t="shared" ref="H50:K59" si="10">IF(H37&gt;0,H37-H$47-H$48,0)</f>
        <v>0</v>
      </c>
      <c r="I50" s="367">
        <f t="shared" si="10"/>
        <v>0</v>
      </c>
      <c r="J50" s="367">
        <f t="shared" si="10"/>
        <v>0</v>
      </c>
      <c r="K50" s="367">
        <f t="shared" si="10"/>
        <v>0</v>
      </c>
      <c r="L50" s="369">
        <f t="shared" si="4"/>
        <v>0</v>
      </c>
    </row>
    <row r="51" spans="1:12" s="349" customFormat="1" ht="18.75">
      <c r="A51" s="353"/>
      <c r="B51" s="379" t="s">
        <v>269</v>
      </c>
      <c r="C51" s="367">
        <f t="shared" si="6"/>
        <v>0</v>
      </c>
      <c r="D51" s="367">
        <f t="shared" si="7"/>
        <v>0</v>
      </c>
      <c r="E51" s="367">
        <f t="shared" si="8"/>
        <v>0</v>
      </c>
      <c r="F51" s="367">
        <f>IF(C19="Нет",IF(F38&gt;0,F38-F$47-F$48,0),0)</f>
        <v>1.0772833658983867</v>
      </c>
      <c r="G51" s="367">
        <f t="shared" si="9"/>
        <v>0</v>
      </c>
      <c r="H51" s="367">
        <f t="shared" si="10"/>
        <v>0</v>
      </c>
      <c r="I51" s="367">
        <f t="shared" si="10"/>
        <v>0</v>
      </c>
      <c r="J51" s="367">
        <f t="shared" si="10"/>
        <v>0</v>
      </c>
      <c r="K51" s="367">
        <f t="shared" si="10"/>
        <v>0</v>
      </c>
      <c r="L51" s="369">
        <f t="shared" si="4"/>
        <v>1.0772833658983867</v>
      </c>
    </row>
    <row r="52" spans="1:12" s="349" customFormat="1" ht="18.75">
      <c r="A52" s="353"/>
      <c r="B52" s="379" t="s">
        <v>273</v>
      </c>
      <c r="C52" s="367">
        <f t="shared" si="6"/>
        <v>15.793238671347542</v>
      </c>
      <c r="D52" s="367">
        <f t="shared" si="7"/>
        <v>0</v>
      </c>
      <c r="E52" s="367">
        <f t="shared" si="8"/>
        <v>0.36581059644676112</v>
      </c>
      <c r="F52" s="367">
        <f>IF(C19="Нет",IF(F39&gt;0,F39-F$47-F$48,0),0)</f>
        <v>0</v>
      </c>
      <c r="G52" s="367">
        <f t="shared" si="9"/>
        <v>0</v>
      </c>
      <c r="H52" s="367">
        <f t="shared" si="10"/>
        <v>0</v>
      </c>
      <c r="I52" s="367">
        <f t="shared" si="10"/>
        <v>0</v>
      </c>
      <c r="J52" s="367">
        <f t="shared" si="10"/>
        <v>0</v>
      </c>
      <c r="K52" s="367">
        <f t="shared" si="10"/>
        <v>0</v>
      </c>
      <c r="L52" s="369">
        <f t="shared" si="4"/>
        <v>16.159049267794302</v>
      </c>
    </row>
    <row r="53" spans="1:12" s="349" customFormat="1" ht="18.75">
      <c r="A53" s="353"/>
      <c r="B53" s="379" t="s">
        <v>294</v>
      </c>
      <c r="C53" s="367">
        <f t="shared" si="6"/>
        <v>0</v>
      </c>
      <c r="D53" s="367">
        <f t="shared" si="7"/>
        <v>0</v>
      </c>
      <c r="E53" s="367">
        <f t="shared" si="8"/>
        <v>0</v>
      </c>
      <c r="F53" s="367">
        <f>IF(C19="Нет",IF(F40&gt;0,F40-F$47-F$48,0),0)</f>
        <v>0</v>
      </c>
      <c r="G53" s="367">
        <f t="shared" si="9"/>
        <v>0</v>
      </c>
      <c r="H53" s="367">
        <f t="shared" si="10"/>
        <v>0</v>
      </c>
      <c r="I53" s="367">
        <f t="shared" si="10"/>
        <v>0</v>
      </c>
      <c r="J53" s="367">
        <f t="shared" si="10"/>
        <v>0</v>
      </c>
      <c r="K53" s="367">
        <f t="shared" si="10"/>
        <v>0</v>
      </c>
      <c r="L53" s="369">
        <f t="shared" si="4"/>
        <v>0</v>
      </c>
    </row>
    <row r="54" spans="1:12" s="349" customFormat="1" ht="18.75">
      <c r="A54" s="353"/>
      <c r="B54" s="379" t="s">
        <v>295</v>
      </c>
      <c r="C54" s="367">
        <f t="shared" si="6"/>
        <v>0</v>
      </c>
      <c r="D54" s="367">
        <f t="shared" si="7"/>
        <v>0</v>
      </c>
      <c r="E54" s="367">
        <f t="shared" si="8"/>
        <v>0</v>
      </c>
      <c r="F54" s="367">
        <f>IF(C19="Нет",IF(F41&gt;0,F41-F$47-F$48,0),0)</f>
        <v>0</v>
      </c>
      <c r="G54" s="367">
        <f t="shared" si="9"/>
        <v>0</v>
      </c>
      <c r="H54" s="367">
        <f t="shared" si="10"/>
        <v>0</v>
      </c>
      <c r="I54" s="367">
        <f t="shared" si="10"/>
        <v>0</v>
      </c>
      <c r="J54" s="367">
        <f t="shared" si="10"/>
        <v>0</v>
      </c>
      <c r="K54" s="367">
        <f t="shared" si="10"/>
        <v>0</v>
      </c>
      <c r="L54" s="369">
        <f t="shared" si="4"/>
        <v>0</v>
      </c>
    </row>
    <row r="55" spans="1:12" s="349" customFormat="1" ht="18.75">
      <c r="A55" s="353"/>
      <c r="B55" s="379" t="s">
        <v>296</v>
      </c>
      <c r="C55" s="367">
        <f t="shared" si="6"/>
        <v>0</v>
      </c>
      <c r="D55" s="367">
        <f t="shared" si="7"/>
        <v>0</v>
      </c>
      <c r="E55" s="367">
        <f t="shared" si="8"/>
        <v>0</v>
      </c>
      <c r="F55" s="367">
        <f>IF(C19="Нет",IF(F42&gt;0,F42-F$47-F$48,0),0)</f>
        <v>0</v>
      </c>
      <c r="G55" s="367">
        <f t="shared" si="9"/>
        <v>0</v>
      </c>
      <c r="H55" s="367">
        <f t="shared" si="10"/>
        <v>0</v>
      </c>
      <c r="I55" s="367">
        <f t="shared" si="10"/>
        <v>0</v>
      </c>
      <c r="J55" s="367">
        <f t="shared" si="10"/>
        <v>0</v>
      </c>
      <c r="K55" s="367">
        <f t="shared" si="10"/>
        <v>0</v>
      </c>
      <c r="L55" s="369">
        <f t="shared" si="4"/>
        <v>0</v>
      </c>
    </row>
    <row r="56" spans="1:12" s="349" customFormat="1" ht="18.75">
      <c r="A56" s="353"/>
      <c r="B56" s="379" t="s">
        <v>297</v>
      </c>
      <c r="C56" s="367">
        <f t="shared" si="6"/>
        <v>0</v>
      </c>
      <c r="D56" s="367">
        <f t="shared" si="7"/>
        <v>0</v>
      </c>
      <c r="E56" s="367">
        <f t="shared" si="8"/>
        <v>0</v>
      </c>
      <c r="F56" s="367">
        <f>IF(C19="Нет",IF(F43&gt;0,F43-F$47-F$48,0),0)</f>
        <v>0</v>
      </c>
      <c r="G56" s="367">
        <f t="shared" si="9"/>
        <v>0</v>
      </c>
      <c r="H56" s="367">
        <f t="shared" si="10"/>
        <v>0</v>
      </c>
      <c r="I56" s="367">
        <f t="shared" si="10"/>
        <v>0</v>
      </c>
      <c r="J56" s="367">
        <f t="shared" si="10"/>
        <v>0</v>
      </c>
      <c r="K56" s="367">
        <f t="shared" si="10"/>
        <v>0</v>
      </c>
      <c r="L56" s="369">
        <f t="shared" si="4"/>
        <v>0</v>
      </c>
    </row>
    <row r="57" spans="1:12" s="349" customFormat="1" ht="18.75">
      <c r="A57" s="353"/>
      <c r="B57" s="379" t="s">
        <v>298</v>
      </c>
      <c r="C57" s="367">
        <f t="shared" si="6"/>
        <v>0</v>
      </c>
      <c r="D57" s="367">
        <f t="shared" si="7"/>
        <v>0</v>
      </c>
      <c r="E57" s="367">
        <f t="shared" si="8"/>
        <v>0</v>
      </c>
      <c r="F57" s="367">
        <f>IF(C19="Нет",IF(F44&gt;0,F44-F$47-F$48,0),0)</f>
        <v>0</v>
      </c>
      <c r="G57" s="367">
        <f t="shared" si="9"/>
        <v>0</v>
      </c>
      <c r="H57" s="367">
        <f t="shared" si="10"/>
        <v>0</v>
      </c>
      <c r="I57" s="367">
        <f t="shared" si="10"/>
        <v>0</v>
      </c>
      <c r="J57" s="367">
        <f t="shared" si="10"/>
        <v>0</v>
      </c>
      <c r="K57" s="367">
        <f t="shared" si="10"/>
        <v>0</v>
      </c>
      <c r="L57" s="369">
        <f t="shared" si="4"/>
        <v>0</v>
      </c>
    </row>
    <row r="58" spans="1:12" s="349" customFormat="1" ht="18.75">
      <c r="A58" s="353"/>
      <c r="B58" s="379" t="s">
        <v>299</v>
      </c>
      <c r="C58" s="367">
        <f t="shared" si="6"/>
        <v>0</v>
      </c>
      <c r="D58" s="367">
        <f t="shared" si="7"/>
        <v>0</v>
      </c>
      <c r="E58" s="367">
        <f t="shared" si="8"/>
        <v>0</v>
      </c>
      <c r="F58" s="367">
        <f>IF(C19="Нет",IF(F45&gt;0,F45-F$47-F$48,0),0)</f>
        <v>0</v>
      </c>
      <c r="G58" s="367">
        <f t="shared" si="9"/>
        <v>0</v>
      </c>
      <c r="H58" s="367">
        <f t="shared" si="10"/>
        <v>0</v>
      </c>
      <c r="I58" s="367">
        <f t="shared" si="10"/>
        <v>0</v>
      </c>
      <c r="J58" s="367">
        <f t="shared" si="10"/>
        <v>0</v>
      </c>
      <c r="K58" s="367">
        <f t="shared" si="10"/>
        <v>0</v>
      </c>
      <c r="L58" s="369">
        <f t="shared" si="4"/>
        <v>0</v>
      </c>
    </row>
    <row r="59" spans="1:12" s="349" customFormat="1" ht="18.75">
      <c r="A59" s="353"/>
      <c r="B59" s="379" t="s">
        <v>300</v>
      </c>
      <c r="C59" s="367">
        <f t="shared" si="6"/>
        <v>0</v>
      </c>
      <c r="D59" s="367">
        <f t="shared" si="7"/>
        <v>0</v>
      </c>
      <c r="E59" s="367">
        <f t="shared" si="8"/>
        <v>0</v>
      </c>
      <c r="F59" s="367">
        <f>IF(C19="Нет",IF(F46&gt;0,F46-F$47-F$48,0),0)</f>
        <v>0</v>
      </c>
      <c r="G59" s="367">
        <f t="shared" si="9"/>
        <v>0</v>
      </c>
      <c r="H59" s="367">
        <f t="shared" si="10"/>
        <v>0</v>
      </c>
      <c r="I59" s="367">
        <f t="shared" si="10"/>
        <v>0</v>
      </c>
      <c r="J59" s="367">
        <f t="shared" si="10"/>
        <v>0</v>
      </c>
      <c r="K59" s="367">
        <f t="shared" si="10"/>
        <v>0</v>
      </c>
      <c r="L59" s="369">
        <f t="shared" si="4"/>
        <v>0</v>
      </c>
    </row>
    <row r="60" spans="1:12" s="349" customFormat="1" ht="18.75">
      <c r="A60" s="380"/>
    </row>
    <row r="61" spans="1:12" s="349" customFormat="1" ht="60.75" customHeight="1">
      <c r="A61" s="939" t="s">
        <v>304</v>
      </c>
      <c r="B61" s="962"/>
      <c r="C61" s="962"/>
      <c r="D61" s="962"/>
      <c r="E61" s="962"/>
      <c r="F61" s="962"/>
      <c r="G61" s="962"/>
      <c r="H61" s="962"/>
      <c r="I61" s="962"/>
      <c r="J61" s="962"/>
      <c r="K61" s="962"/>
      <c r="L61" s="962"/>
    </row>
  </sheetData>
  <mergeCells count="39">
    <mergeCell ref="G20:G21"/>
    <mergeCell ref="H20:K20"/>
    <mergeCell ref="A25:A35"/>
    <mergeCell ref="A36:A46"/>
    <mergeCell ref="A61:L61"/>
    <mergeCell ref="A20:A21"/>
    <mergeCell ref="B20:B21"/>
    <mergeCell ref="C20:C21"/>
    <mergeCell ref="D20:D21"/>
    <mergeCell ref="E20:E21"/>
    <mergeCell ref="F20:F21"/>
    <mergeCell ref="A19:B19"/>
    <mergeCell ref="J19:K19"/>
    <mergeCell ref="A11:B11"/>
    <mergeCell ref="A12:B12"/>
    <mergeCell ref="A13:B13"/>
    <mergeCell ref="A14:B14"/>
    <mergeCell ref="A17:B17"/>
    <mergeCell ref="D17:D18"/>
    <mergeCell ref="F17:G17"/>
    <mergeCell ref="J17:K17"/>
    <mergeCell ref="A18:B18"/>
    <mergeCell ref="F18:G18"/>
    <mergeCell ref="J18:K18"/>
    <mergeCell ref="A7:L7"/>
    <mergeCell ref="A8:L8"/>
    <mergeCell ref="A9:B10"/>
    <mergeCell ref="C9:C10"/>
    <mergeCell ref="D9:D10"/>
    <mergeCell ref="E9:E10"/>
    <mergeCell ref="F9:F10"/>
    <mergeCell ref="G9:G10"/>
    <mergeCell ref="H9:K9"/>
    <mergeCell ref="A6:L6"/>
    <mergeCell ref="A1:L1"/>
    <mergeCell ref="A2:L2"/>
    <mergeCell ref="J3:L3"/>
    <mergeCell ref="J4:L4"/>
    <mergeCell ref="J5:L5"/>
  </mergeCells>
  <pageMargins left="0.7" right="0.7" top="0.75" bottom="0.75" header="0.3" footer="0.3"/>
  <pageSetup paperSize="9" scale="3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  <pageSetUpPr fitToPage="1"/>
  </sheetPr>
  <dimension ref="A1:AD1807"/>
  <sheetViews>
    <sheetView view="pageBreakPreview" topLeftCell="E4" zoomScale="40" zoomScaleNormal="50" zoomScaleSheetLayoutView="40" workbookViewId="0">
      <selection activeCell="E96" sqref="E96:M96"/>
    </sheetView>
  </sheetViews>
  <sheetFormatPr defaultRowHeight="15" outlineLevelCol="1"/>
  <cols>
    <col min="1" max="1" width="0" hidden="1" customWidth="1"/>
    <col min="2" max="2" width="0" style="505" hidden="1" customWidth="1"/>
    <col min="3" max="3" width="11.7109375" style="505" hidden="1" customWidth="1" outlineLevel="1"/>
    <col min="4" max="4" width="9.140625" style="505" hidden="1" customWidth="1" outlineLevel="1"/>
    <col min="5" max="5" width="106.28515625" style="505" customWidth="1" collapsed="1"/>
    <col min="6" max="6" width="44.5703125" customWidth="1"/>
    <col min="7" max="7" width="12.42578125" customWidth="1"/>
    <col min="8" max="8" width="21.7109375" customWidth="1"/>
    <col min="9" max="9" width="27.42578125" customWidth="1"/>
    <col min="10" max="11" width="21.42578125" customWidth="1"/>
    <col min="12" max="12" width="28.5703125" customWidth="1"/>
    <col min="13" max="13" width="32.140625" customWidth="1"/>
    <col min="14" max="16" width="21.42578125" style="505" customWidth="1" outlineLevel="1"/>
    <col min="17" max="20" width="21.42578125" customWidth="1"/>
    <col min="21" max="21" width="26.85546875" customWidth="1"/>
    <col min="22" max="22" width="31.5703125" customWidth="1"/>
    <col min="23" max="23" width="24.85546875" customWidth="1"/>
    <col min="24" max="24" width="31" customWidth="1"/>
    <col min="25" max="31" width="24.85546875" customWidth="1"/>
  </cols>
  <sheetData>
    <row r="1" spans="1:30" ht="38.25" customHeight="1">
      <c r="A1" s="18"/>
      <c r="B1" s="751" t="s">
        <v>368</v>
      </c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  <c r="N1" s="752"/>
      <c r="O1" s="752"/>
      <c r="P1" s="752"/>
      <c r="Q1" s="752"/>
      <c r="R1" s="752"/>
      <c r="S1" s="752"/>
      <c r="T1" s="752"/>
      <c r="U1" s="753" t="str">
        <f>'Данные '!D3</f>
        <v>ф25-001 от 01.01.2025</v>
      </c>
      <c r="V1" s="754"/>
      <c r="W1" s="748" t="e">
        <f>#REF!/#REF!</f>
        <v>#REF!</v>
      </c>
      <c r="X1" s="748"/>
      <c r="Y1" s="451" t="e">
        <f>#REF!</f>
        <v>#REF!</v>
      </c>
      <c r="Z1" s="454" t="e">
        <f>#REF!*1000</f>
        <v>#REF!</v>
      </c>
    </row>
    <row r="2" spans="1:30" ht="36" customHeight="1">
      <c r="B2" s="751" t="s">
        <v>351</v>
      </c>
      <c r="C2" s="752"/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  <c r="P2" s="752"/>
      <c r="Q2" s="752"/>
      <c r="R2" s="752"/>
      <c r="S2" s="752"/>
      <c r="T2" s="752"/>
      <c r="U2" s="753"/>
      <c r="V2" s="754"/>
      <c r="Y2" s="455" t="e">
        <f>#REF!*1000</f>
        <v>#REF!</v>
      </c>
    </row>
    <row r="3" spans="1:30" ht="48" customHeight="1">
      <c r="A3" s="19"/>
      <c r="B3" s="749" t="s">
        <v>373</v>
      </c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49"/>
      <c r="T3" s="749"/>
      <c r="U3" s="749"/>
      <c r="V3" s="749"/>
    </row>
    <row r="4" spans="1:30" s="588" customFormat="1" ht="48" customHeight="1">
      <c r="A4" s="19"/>
      <c r="B4" s="587"/>
      <c r="C4" s="587"/>
      <c r="D4" s="587"/>
      <c r="E4" s="749" t="str">
        <f>'Данные '!I5</f>
        <v>Заявитель: Чупахина Алла Анатольевна, Объект: Жилой дом. Адрес: Российская Федерация, Московская область, муниципальный округ Серебряные Пруды, село Узуново, территория садоводческого некоммерческого товарищество "Узуново-2", дом 112, кадастровый номер жилого дома: 50:39:0020204:310; кадастровый номер земельного участка: 50:39:0020204:195.</v>
      </c>
      <c r="F4" s="772"/>
      <c r="G4" s="772"/>
      <c r="H4" s="772"/>
      <c r="I4" s="772"/>
      <c r="J4" s="772"/>
      <c r="K4" s="772"/>
      <c r="L4" s="772"/>
      <c r="M4" s="772"/>
      <c r="N4" s="772"/>
      <c r="O4" s="772"/>
      <c r="P4" s="772"/>
      <c r="Q4" s="772"/>
      <c r="R4" s="772"/>
      <c r="S4" s="772"/>
      <c r="T4" s="772"/>
      <c r="U4" s="772"/>
      <c r="V4" s="772"/>
    </row>
    <row r="5" spans="1:30" ht="42" customHeight="1">
      <c r="A5" s="750" t="s">
        <v>12</v>
      </c>
      <c r="B5" s="750"/>
      <c r="C5" s="750"/>
      <c r="D5" s="750"/>
      <c r="E5" s="750"/>
      <c r="F5" s="751" t="str">
        <f>'Данные '!D7</f>
        <v>№ТУ И-26-00-285644/103/Ю8</v>
      </c>
      <c r="G5" s="751"/>
      <c r="H5" s="751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1"/>
    </row>
    <row r="6" spans="1:30" ht="42" customHeight="1" thickBot="1">
      <c r="A6" s="758" t="s">
        <v>5</v>
      </c>
      <c r="B6" s="758"/>
      <c r="C6" s="758"/>
      <c r="D6" s="758"/>
      <c r="E6" s="758"/>
      <c r="F6" s="22"/>
      <c r="G6" s="22"/>
      <c r="H6" s="22"/>
      <c r="I6" s="22"/>
      <c r="J6" s="22"/>
      <c r="K6" s="22"/>
      <c r="L6" s="22"/>
      <c r="M6" s="22"/>
      <c r="N6" s="529"/>
      <c r="O6" s="529"/>
      <c r="P6" s="529"/>
      <c r="Q6" s="22"/>
      <c r="R6" s="22"/>
      <c r="S6" s="759">
        <f>'Данные '!D9</f>
        <v>15</v>
      </c>
      <c r="T6" s="759"/>
      <c r="U6" s="23" t="s">
        <v>13</v>
      </c>
      <c r="V6" s="24"/>
    </row>
    <row r="7" spans="1:30" ht="3" customHeight="1">
      <c r="A7" s="25"/>
      <c r="B7" s="510"/>
      <c r="C7" s="525"/>
      <c r="D7" s="510"/>
      <c r="E7" s="510"/>
      <c r="F7" s="25"/>
      <c r="G7" s="25"/>
      <c r="H7" s="25"/>
      <c r="I7" s="25"/>
      <c r="J7" s="25"/>
      <c r="K7" s="25"/>
      <c r="L7" s="25"/>
      <c r="M7" s="25"/>
      <c r="N7" s="530"/>
      <c r="O7" s="530"/>
      <c r="P7" s="530"/>
      <c r="Q7" s="26"/>
      <c r="R7" s="26"/>
      <c r="S7" s="26"/>
      <c r="T7" s="27"/>
      <c r="U7" s="27"/>
      <c r="V7" s="28"/>
    </row>
    <row r="8" spans="1:30" ht="3" customHeight="1">
      <c r="A8" s="25"/>
      <c r="B8" s="510"/>
      <c r="C8" s="525"/>
      <c r="D8" s="510"/>
      <c r="E8" s="510"/>
      <c r="F8" s="25"/>
      <c r="G8" s="25"/>
      <c r="H8" s="25"/>
      <c r="I8" s="25"/>
      <c r="J8" s="25"/>
      <c r="K8" s="25"/>
      <c r="L8" s="25"/>
      <c r="M8" s="25"/>
      <c r="N8" s="530"/>
      <c r="O8" s="530"/>
      <c r="P8" s="530"/>
      <c r="Q8" s="26"/>
      <c r="R8" s="26"/>
      <c r="S8" s="26"/>
      <c r="T8" s="27"/>
      <c r="U8" s="27"/>
      <c r="V8" s="28"/>
    </row>
    <row r="9" spans="1:30" ht="3" customHeight="1" thickBot="1">
      <c r="A9" s="25"/>
      <c r="B9" s="510"/>
      <c r="C9" s="525"/>
      <c r="D9" s="510"/>
      <c r="E9" s="510"/>
      <c r="F9" s="25"/>
      <c r="G9" s="25"/>
      <c r="H9" s="25"/>
      <c r="I9" s="25"/>
      <c r="J9" s="25"/>
      <c r="K9" s="25"/>
      <c r="L9" s="25"/>
      <c r="M9" s="25"/>
      <c r="N9" s="530"/>
      <c r="O9" s="530"/>
      <c r="P9" s="530"/>
      <c r="Q9" s="26"/>
      <c r="R9" s="26"/>
      <c r="S9" s="26"/>
      <c r="T9" s="27"/>
      <c r="U9" s="27"/>
      <c r="V9" s="28"/>
    </row>
    <row r="10" spans="1:30" ht="56.25" customHeight="1" thickBot="1">
      <c r="A10" s="25"/>
      <c r="B10" s="760" t="s">
        <v>14</v>
      </c>
      <c r="C10" s="762" t="s">
        <v>15</v>
      </c>
      <c r="D10" s="526"/>
      <c r="E10" s="764" t="s">
        <v>16</v>
      </c>
      <c r="F10" s="765" t="s">
        <v>17</v>
      </c>
      <c r="G10" s="768" t="s">
        <v>18</v>
      </c>
      <c r="H10" s="767" t="s">
        <v>19</v>
      </c>
      <c r="I10" s="767" t="s">
        <v>354</v>
      </c>
      <c r="J10" s="767"/>
      <c r="K10" s="767"/>
      <c r="L10" s="767"/>
      <c r="M10" s="767"/>
      <c r="N10" s="770" t="s">
        <v>20</v>
      </c>
      <c r="O10" s="770" t="s">
        <v>21</v>
      </c>
      <c r="P10" s="770" t="s">
        <v>339</v>
      </c>
      <c r="Q10" s="767" t="s">
        <v>355</v>
      </c>
      <c r="R10" s="767"/>
      <c r="S10" s="767"/>
      <c r="T10" s="767"/>
      <c r="U10" s="767"/>
      <c r="V10" s="755" t="s">
        <v>22</v>
      </c>
      <c r="W10" s="29"/>
      <c r="X10" s="29"/>
      <c r="Y10" s="29"/>
      <c r="Z10" s="29"/>
      <c r="AA10" s="29"/>
      <c r="AB10" s="29"/>
      <c r="AC10" s="29"/>
      <c r="AD10" s="29"/>
    </row>
    <row r="11" spans="1:30" ht="49.5" customHeight="1" thickBot="1">
      <c r="A11" s="25"/>
      <c r="B11" s="761"/>
      <c r="C11" s="763"/>
      <c r="D11" s="527"/>
      <c r="E11" s="764"/>
      <c r="F11" s="766"/>
      <c r="G11" s="769"/>
      <c r="H11" s="767"/>
      <c r="I11" s="30" t="s">
        <v>23</v>
      </c>
      <c r="J11" s="30" t="s">
        <v>24</v>
      </c>
      <c r="K11" s="30" t="s">
        <v>25</v>
      </c>
      <c r="L11" s="30" t="s">
        <v>26</v>
      </c>
      <c r="M11" s="31" t="s">
        <v>27</v>
      </c>
      <c r="N11" s="771"/>
      <c r="O11" s="771"/>
      <c r="P11" s="771"/>
      <c r="Q11" s="30" t="s">
        <v>23</v>
      </c>
      <c r="R11" s="30" t="s">
        <v>28</v>
      </c>
      <c r="S11" s="30" t="s">
        <v>25</v>
      </c>
      <c r="T11" s="30" t="s">
        <v>26</v>
      </c>
      <c r="U11" s="31" t="s">
        <v>27</v>
      </c>
      <c r="V11" s="756"/>
      <c r="W11" s="29"/>
      <c r="X11" s="29"/>
      <c r="Y11" s="29"/>
      <c r="Z11" s="29"/>
      <c r="AA11" s="29"/>
      <c r="AB11" s="29"/>
      <c r="AC11" s="29"/>
      <c r="AD11" s="29"/>
    </row>
    <row r="12" spans="1:30" ht="16.5" customHeight="1" thickBot="1">
      <c r="A12" s="25"/>
      <c r="B12" s="528"/>
      <c r="C12" s="528"/>
      <c r="D12" s="528"/>
      <c r="E12" s="528"/>
      <c r="F12" s="32"/>
      <c r="G12" s="32"/>
      <c r="H12" s="32"/>
      <c r="I12" s="32"/>
      <c r="J12" s="32"/>
      <c r="K12" s="32"/>
      <c r="L12" s="32"/>
      <c r="M12" s="32"/>
      <c r="N12" s="528"/>
      <c r="O12" s="528"/>
      <c r="P12" s="528"/>
      <c r="Q12" s="32"/>
      <c r="R12" s="32"/>
      <c r="S12" s="32"/>
      <c r="T12" s="32"/>
      <c r="U12" s="32"/>
      <c r="V12" s="757"/>
      <c r="W12" s="29"/>
      <c r="X12" s="29"/>
      <c r="Y12" s="29"/>
      <c r="Z12" s="29"/>
      <c r="AA12" s="29"/>
      <c r="AB12" s="29"/>
      <c r="AC12" s="29"/>
      <c r="AD12" s="29"/>
    </row>
    <row r="13" spans="1:30" s="488" customFormat="1" ht="150" hidden="1" customHeight="1">
      <c r="A13" s="492"/>
      <c r="B13" s="642">
        <v>2</v>
      </c>
      <c r="C13" s="511">
        <v>3</v>
      </c>
      <c r="D13" s="512"/>
      <c r="E13" s="493" t="s">
        <v>374</v>
      </c>
      <c r="F13" s="487" t="s">
        <v>375</v>
      </c>
      <c r="G13" s="645" t="s">
        <v>357</v>
      </c>
      <c r="H13" s="712">
        <v>0</v>
      </c>
      <c r="I13" s="494">
        <v>0</v>
      </c>
      <c r="J13" s="494">
        <v>2892.48</v>
      </c>
      <c r="K13" s="494">
        <v>108.25</v>
      </c>
      <c r="L13" s="494">
        <f>SUM(L15:L21)</f>
        <v>383.71</v>
      </c>
      <c r="M13" s="33">
        <f>SUM(I13:L13)</f>
        <v>3384.44</v>
      </c>
      <c r="N13" s="501">
        <v>1</v>
      </c>
      <c r="O13" s="502">
        <v>1</v>
      </c>
      <c r="P13" s="37">
        <v>1</v>
      </c>
      <c r="Q13" s="34">
        <f>H13*I13*N13*O13*P13</f>
        <v>0</v>
      </c>
      <c r="R13" s="35">
        <f>H13*J13*N13*O13*P13</f>
        <v>0</v>
      </c>
      <c r="S13" s="36">
        <f>H13*K13*N13*O13*P13</f>
        <v>0</v>
      </c>
      <c r="T13" s="36">
        <f>H13*L13*N13*O13*P13</f>
        <v>0</v>
      </c>
      <c r="U13" s="37">
        <f>SUM(Q13:T13)</f>
        <v>0</v>
      </c>
      <c r="V13" s="38">
        <f>(Q13+R13+S13+T17+T18+T19+T21)*'Прогнозная стоимость РСС ИП '!$M$11+T16*'Прогнозная стоимость РСС ИП '!$M$10</f>
        <v>0</v>
      </c>
      <c r="W13" s="39">
        <f>T13</f>
        <v>0</v>
      </c>
      <c r="X13" s="39">
        <f>U13</f>
        <v>0</v>
      </c>
      <c r="Y13" s="39">
        <f>V13</f>
        <v>0</v>
      </c>
      <c r="Z13" s="29"/>
      <c r="AA13" s="29"/>
      <c r="AB13" s="29"/>
      <c r="AC13" s="29"/>
      <c r="AD13" s="29"/>
    </row>
    <row r="14" spans="1:30" s="488" customFormat="1" ht="41.25" hidden="1" customHeight="1">
      <c r="A14" s="492"/>
      <c r="B14" s="643"/>
      <c r="C14" s="513"/>
      <c r="D14" s="514"/>
      <c r="E14" s="495"/>
      <c r="F14" s="496"/>
      <c r="G14" s="646"/>
      <c r="H14" s="713"/>
      <c r="I14" s="649"/>
      <c r="J14" s="650"/>
      <c r="K14" s="650"/>
      <c r="L14" s="650"/>
      <c r="M14" s="651"/>
      <c r="N14" s="652"/>
      <c r="O14" s="653"/>
      <c r="P14" s="654"/>
      <c r="Q14" s="661"/>
      <c r="R14" s="662"/>
      <c r="S14" s="662"/>
      <c r="T14" s="662"/>
      <c r="U14" s="663"/>
      <c r="V14" s="40"/>
      <c r="W14" s="41"/>
      <c r="X14" s="41"/>
      <c r="Y14" s="41"/>
      <c r="Z14" s="29"/>
      <c r="AA14" s="29"/>
      <c r="AB14" s="29"/>
      <c r="AC14" s="29"/>
      <c r="AD14" s="29"/>
    </row>
    <row r="15" spans="1:30" s="488" customFormat="1" ht="41.25" hidden="1" customHeight="1">
      <c r="A15" s="492"/>
      <c r="B15" s="643"/>
      <c r="C15" s="513"/>
      <c r="D15" s="514"/>
      <c r="E15" s="664" t="s">
        <v>29</v>
      </c>
      <c r="F15" s="665"/>
      <c r="G15" s="665"/>
      <c r="H15" s="665"/>
      <c r="I15" s="665"/>
      <c r="J15" s="665"/>
      <c r="K15" s="665"/>
      <c r="L15" s="665"/>
      <c r="M15" s="666"/>
      <c r="N15" s="655"/>
      <c r="O15" s="656"/>
      <c r="P15" s="657"/>
      <c r="Q15" s="667"/>
      <c r="R15" s="689"/>
      <c r="S15" s="689"/>
      <c r="T15" s="689"/>
      <c r="U15" s="690"/>
      <c r="V15" s="42"/>
      <c r="W15" s="41"/>
      <c r="X15" s="41"/>
      <c r="Y15" s="41"/>
      <c r="Z15" s="29"/>
      <c r="AA15" s="29"/>
      <c r="AB15" s="29"/>
      <c r="AC15" s="29"/>
      <c r="AD15" s="29"/>
    </row>
    <row r="16" spans="1:30" s="488" customFormat="1" ht="41.25" hidden="1" customHeight="1">
      <c r="A16" s="492"/>
      <c r="B16" s="643"/>
      <c r="C16" s="513">
        <v>33</v>
      </c>
      <c r="D16" s="514"/>
      <c r="E16" s="670" t="s">
        <v>30</v>
      </c>
      <c r="F16" s="670"/>
      <c r="G16" s="670"/>
      <c r="H16" s="670"/>
      <c r="I16" s="670"/>
      <c r="J16" s="670"/>
      <c r="K16" s="670"/>
      <c r="L16" s="498">
        <v>99.09</v>
      </c>
      <c r="M16" s="459">
        <f>L16</f>
        <v>99.09</v>
      </c>
      <c r="N16" s="655"/>
      <c r="O16" s="656"/>
      <c r="P16" s="657"/>
      <c r="Q16" s="671"/>
      <c r="R16" s="672"/>
      <c r="S16" s="673"/>
      <c r="T16" s="457">
        <f>H13*M16*N13*O13*P13</f>
        <v>0</v>
      </c>
      <c r="U16" s="458">
        <f>T16</f>
        <v>0</v>
      </c>
      <c r="V16" s="42"/>
      <c r="W16" s="39"/>
      <c r="X16" s="41"/>
      <c r="Y16" s="41"/>
      <c r="Z16" s="43">
        <f>T16</f>
        <v>0</v>
      </c>
      <c r="AA16" s="29"/>
      <c r="AB16" s="29"/>
      <c r="AC16" s="29"/>
      <c r="AD16" s="29"/>
    </row>
    <row r="17" spans="1:30" s="488" customFormat="1" ht="41.25" hidden="1" customHeight="1">
      <c r="A17" s="492"/>
      <c r="B17" s="643"/>
      <c r="C17" s="513"/>
      <c r="D17" s="514"/>
      <c r="E17" s="670" t="s">
        <v>31</v>
      </c>
      <c r="F17" s="670"/>
      <c r="G17" s="670"/>
      <c r="H17" s="670"/>
      <c r="I17" s="670"/>
      <c r="J17" s="670"/>
      <c r="K17" s="670"/>
      <c r="L17" s="498">
        <f>ROUND((I13+J13+K13)*2.14%,2)</f>
        <v>64.22</v>
      </c>
      <c r="M17" s="459">
        <f>L17</f>
        <v>64.22</v>
      </c>
      <c r="N17" s="655"/>
      <c r="O17" s="656"/>
      <c r="P17" s="657"/>
      <c r="Q17" s="671"/>
      <c r="R17" s="672"/>
      <c r="S17" s="673"/>
      <c r="T17" s="457">
        <f>H13*M17*N13*O13*P13</f>
        <v>0</v>
      </c>
      <c r="U17" s="458">
        <f>T17</f>
        <v>0</v>
      </c>
      <c r="V17" s="42"/>
      <c r="W17" s="41"/>
      <c r="X17" s="39"/>
      <c r="Y17" s="41"/>
      <c r="Z17" s="29"/>
      <c r="AA17" s="43">
        <f>T17</f>
        <v>0</v>
      </c>
      <c r="AB17" s="29"/>
      <c r="AC17" s="29"/>
      <c r="AD17" s="29"/>
    </row>
    <row r="18" spans="1:30" s="488" customFormat="1" ht="41.25" hidden="1" customHeight="1">
      <c r="A18" s="492"/>
      <c r="B18" s="643"/>
      <c r="C18" s="515"/>
      <c r="D18" s="514"/>
      <c r="E18" s="670" t="s">
        <v>376</v>
      </c>
      <c r="F18" s="670"/>
      <c r="G18" s="670"/>
      <c r="H18" s="670"/>
      <c r="I18" s="670"/>
      <c r="J18" s="670"/>
      <c r="K18" s="670"/>
      <c r="L18" s="498">
        <f>ROUND((I13+J13+K13+L16+L17+L21)*3%,2)</f>
        <v>98.58</v>
      </c>
      <c r="M18" s="459">
        <f>L18</f>
        <v>98.58</v>
      </c>
      <c r="N18" s="655"/>
      <c r="O18" s="656"/>
      <c r="P18" s="657"/>
      <c r="Q18" s="671"/>
      <c r="R18" s="672"/>
      <c r="S18" s="673"/>
      <c r="T18" s="457">
        <f>H13*M18*N13*O13*P13</f>
        <v>0</v>
      </c>
      <c r="U18" s="458">
        <f>T18</f>
        <v>0</v>
      </c>
      <c r="V18" s="42"/>
      <c r="W18" s="41"/>
      <c r="X18" s="41"/>
      <c r="Y18" s="39"/>
      <c r="Z18" s="29"/>
      <c r="AA18" s="29"/>
      <c r="AB18" s="43">
        <f>T18</f>
        <v>0</v>
      </c>
      <c r="AC18" s="29"/>
      <c r="AD18" s="29"/>
    </row>
    <row r="19" spans="1:30" s="488" customFormat="1" ht="54.75" hidden="1" customHeight="1">
      <c r="A19" s="492"/>
      <c r="B19" s="643"/>
      <c r="C19" s="515"/>
      <c r="D19" s="514"/>
      <c r="E19" s="670" t="s">
        <v>377</v>
      </c>
      <c r="F19" s="670"/>
      <c r="G19" s="670"/>
      <c r="H19" s="670"/>
      <c r="I19" s="670"/>
      <c r="J19" s="670"/>
      <c r="K19" s="670"/>
      <c r="L19" s="498">
        <f>393.38-K13-L16-L17-L21</f>
        <v>0</v>
      </c>
      <c r="M19" s="459">
        <f>L19</f>
        <v>0</v>
      </c>
      <c r="N19" s="655"/>
      <c r="O19" s="656"/>
      <c r="P19" s="657"/>
      <c r="Q19" s="671"/>
      <c r="R19" s="672"/>
      <c r="S19" s="673"/>
      <c r="T19" s="457">
        <f>H13*M19*N13*O13*P13</f>
        <v>0</v>
      </c>
      <c r="U19" s="458">
        <f>T19</f>
        <v>0</v>
      </c>
      <c r="V19" s="42"/>
      <c r="W19" s="41"/>
      <c r="X19" s="41"/>
      <c r="Y19" s="41"/>
      <c r="Z19" s="44"/>
      <c r="AA19" s="29"/>
      <c r="AB19" s="29"/>
      <c r="AC19" s="44">
        <f>T19</f>
        <v>0</v>
      </c>
      <c r="AD19" s="29"/>
    </row>
    <row r="20" spans="1:30" s="488" customFormat="1" ht="45" hidden="1" customHeight="1">
      <c r="A20" s="492"/>
      <c r="B20" s="643"/>
      <c r="C20" s="515"/>
      <c r="D20" s="514"/>
      <c r="E20" s="674"/>
      <c r="F20" s="675"/>
      <c r="G20" s="675"/>
      <c r="H20" s="675"/>
      <c r="I20" s="675"/>
      <c r="J20" s="675"/>
      <c r="K20" s="675"/>
      <c r="L20" s="675"/>
      <c r="M20" s="676"/>
      <c r="N20" s="655"/>
      <c r="O20" s="656"/>
      <c r="P20" s="657"/>
      <c r="Q20" s="677"/>
      <c r="R20" s="678"/>
      <c r="S20" s="678"/>
      <c r="T20" s="678"/>
      <c r="U20" s="679"/>
      <c r="V20" s="45"/>
      <c r="W20" s="41"/>
      <c r="X20" s="41"/>
      <c r="Y20" s="41"/>
      <c r="Z20" s="29"/>
      <c r="AA20" s="44"/>
      <c r="AB20" s="29"/>
      <c r="AC20" s="29"/>
      <c r="AD20" s="29"/>
    </row>
    <row r="21" spans="1:30" s="488" customFormat="1" ht="45" hidden="1" customHeight="1" thickBot="1">
      <c r="A21" s="492"/>
      <c r="B21" s="644"/>
      <c r="C21" s="516"/>
      <c r="D21" s="517"/>
      <c r="E21" s="680" t="s">
        <v>369</v>
      </c>
      <c r="F21" s="680" t="s">
        <v>306</v>
      </c>
      <c r="G21" s="680"/>
      <c r="H21" s="680"/>
      <c r="I21" s="680"/>
      <c r="J21" s="680"/>
      <c r="K21" s="680"/>
      <c r="L21" s="499">
        <f>ROUND((I13+J13+K13+L16)*3.93%,2)</f>
        <v>121.82</v>
      </c>
      <c r="M21" s="46">
        <f>L21</f>
        <v>121.82</v>
      </c>
      <c r="N21" s="658"/>
      <c r="O21" s="659"/>
      <c r="P21" s="660"/>
      <c r="Q21" s="681"/>
      <c r="R21" s="682"/>
      <c r="S21" s="683"/>
      <c r="T21" s="500">
        <f>H13*M21*N13*O13*P13</f>
        <v>0</v>
      </c>
      <c r="U21" s="47">
        <f>T21</f>
        <v>0</v>
      </c>
      <c r="V21" s="48"/>
      <c r="W21" s="41"/>
      <c r="X21" s="41"/>
      <c r="Y21" s="41"/>
      <c r="Z21" s="29"/>
      <c r="AA21" s="29"/>
      <c r="AB21" s="44"/>
      <c r="AC21" s="29"/>
      <c r="AD21" s="44">
        <f>T21</f>
        <v>0</v>
      </c>
    </row>
    <row r="22" spans="1:30" s="488" customFormat="1" ht="150" hidden="1" customHeight="1">
      <c r="A22" s="492"/>
      <c r="B22" s="642">
        <v>2</v>
      </c>
      <c r="C22" s="511">
        <v>3</v>
      </c>
      <c r="D22" s="512"/>
      <c r="E22" s="493" t="s">
        <v>378</v>
      </c>
      <c r="F22" s="487" t="s">
        <v>379</v>
      </c>
      <c r="G22" s="645" t="s">
        <v>357</v>
      </c>
      <c r="H22" s="712">
        <v>0</v>
      </c>
      <c r="I22" s="494">
        <v>0</v>
      </c>
      <c r="J22" s="494">
        <v>2963.15</v>
      </c>
      <c r="K22" s="494">
        <v>108.25</v>
      </c>
      <c r="L22" s="494">
        <f>SUM(L24:L30)</f>
        <v>390.40000000000003</v>
      </c>
      <c r="M22" s="33">
        <f>SUM(I22:L22)</f>
        <v>3461.8</v>
      </c>
      <c r="N22" s="501">
        <v>1</v>
      </c>
      <c r="O22" s="502">
        <v>1</v>
      </c>
      <c r="P22" s="37">
        <v>1</v>
      </c>
      <c r="Q22" s="34">
        <f>H22*I22*N22*O22*P22</f>
        <v>0</v>
      </c>
      <c r="R22" s="35">
        <f>H22*J22*N22*O22*P22</f>
        <v>0</v>
      </c>
      <c r="S22" s="36">
        <f>H22*K22*N22*O22*P22</f>
        <v>0</v>
      </c>
      <c r="T22" s="36">
        <f>H22*L22*N22*O22*P22</f>
        <v>0</v>
      </c>
      <c r="U22" s="37">
        <f>SUM(Q22:T22)</f>
        <v>0</v>
      </c>
      <c r="V22" s="38">
        <f>(Q22+R22+S22+T26+T27+T28+T30)*'Прогнозная стоимость РСС ИП '!$M$11+T25*'Прогнозная стоимость РСС ИП '!$M$10</f>
        <v>0</v>
      </c>
      <c r="W22" s="39">
        <f>T22</f>
        <v>0</v>
      </c>
      <c r="X22" s="39">
        <f>U22</f>
        <v>0</v>
      </c>
      <c r="Y22" s="39">
        <f>V22</f>
        <v>0</v>
      </c>
      <c r="Z22" s="29"/>
      <c r="AA22" s="29"/>
      <c r="AB22" s="29"/>
      <c r="AC22" s="29"/>
      <c r="AD22" s="29"/>
    </row>
    <row r="23" spans="1:30" s="488" customFormat="1" ht="41.25" hidden="1" customHeight="1">
      <c r="A23" s="492"/>
      <c r="B23" s="643"/>
      <c r="C23" s="513"/>
      <c r="D23" s="514"/>
      <c r="E23" s="495"/>
      <c r="F23" s="496"/>
      <c r="G23" s="646"/>
      <c r="H23" s="713"/>
      <c r="I23" s="649"/>
      <c r="J23" s="650"/>
      <c r="K23" s="650"/>
      <c r="L23" s="650"/>
      <c r="M23" s="651"/>
      <c r="N23" s="652"/>
      <c r="O23" s="653"/>
      <c r="P23" s="654"/>
      <c r="Q23" s="661"/>
      <c r="R23" s="662"/>
      <c r="S23" s="662"/>
      <c r="T23" s="662"/>
      <c r="U23" s="663"/>
      <c r="V23" s="40"/>
      <c r="W23" s="41"/>
      <c r="X23" s="41"/>
      <c r="Y23" s="41"/>
      <c r="Z23" s="29"/>
      <c r="AA23" s="29"/>
      <c r="AB23" s="29"/>
      <c r="AC23" s="29"/>
      <c r="AD23" s="29"/>
    </row>
    <row r="24" spans="1:30" s="488" customFormat="1" ht="41.25" hidden="1" customHeight="1">
      <c r="A24" s="492"/>
      <c r="B24" s="643"/>
      <c r="C24" s="513"/>
      <c r="D24" s="514"/>
      <c r="E24" s="664" t="s">
        <v>29</v>
      </c>
      <c r="F24" s="665"/>
      <c r="G24" s="665"/>
      <c r="H24" s="665"/>
      <c r="I24" s="665"/>
      <c r="J24" s="665"/>
      <c r="K24" s="665"/>
      <c r="L24" s="665"/>
      <c r="M24" s="666"/>
      <c r="N24" s="655"/>
      <c r="O24" s="656"/>
      <c r="P24" s="657"/>
      <c r="Q24" s="667"/>
      <c r="R24" s="689"/>
      <c r="S24" s="689"/>
      <c r="T24" s="689"/>
      <c r="U24" s="690"/>
      <c r="V24" s="42"/>
      <c r="W24" s="41"/>
      <c r="X24" s="41"/>
      <c r="Y24" s="41"/>
      <c r="Z24" s="29"/>
      <c r="AA24" s="29"/>
      <c r="AB24" s="29"/>
      <c r="AC24" s="29"/>
      <c r="AD24" s="29"/>
    </row>
    <row r="25" spans="1:30" s="488" customFormat="1" ht="41.25" hidden="1" customHeight="1">
      <c r="A25" s="492"/>
      <c r="B25" s="643"/>
      <c r="C25" s="513">
        <v>33</v>
      </c>
      <c r="D25" s="514"/>
      <c r="E25" s="670" t="s">
        <v>30</v>
      </c>
      <c r="F25" s="670"/>
      <c r="G25" s="670"/>
      <c r="H25" s="670"/>
      <c r="I25" s="670"/>
      <c r="J25" s="670"/>
      <c r="K25" s="670"/>
      <c r="L25" s="498">
        <v>99.23</v>
      </c>
      <c r="M25" s="459">
        <f>L25</f>
        <v>99.23</v>
      </c>
      <c r="N25" s="655"/>
      <c r="O25" s="656"/>
      <c r="P25" s="657"/>
      <c r="Q25" s="671"/>
      <c r="R25" s="672"/>
      <c r="S25" s="673"/>
      <c r="T25" s="457">
        <f>H22*M25*N22*O22*P22</f>
        <v>0</v>
      </c>
      <c r="U25" s="458">
        <f>T25</f>
        <v>0</v>
      </c>
      <c r="V25" s="42"/>
      <c r="W25" s="39"/>
      <c r="X25" s="41"/>
      <c r="Y25" s="41"/>
      <c r="Z25" s="43">
        <f>T25</f>
        <v>0</v>
      </c>
      <c r="AA25" s="29"/>
      <c r="AB25" s="29"/>
      <c r="AC25" s="29"/>
      <c r="AD25" s="29"/>
    </row>
    <row r="26" spans="1:30" s="488" customFormat="1" ht="41.25" hidden="1" customHeight="1">
      <c r="A26" s="492"/>
      <c r="B26" s="643"/>
      <c r="C26" s="513"/>
      <c r="D26" s="514"/>
      <c r="E26" s="670" t="s">
        <v>31</v>
      </c>
      <c r="F26" s="670"/>
      <c r="G26" s="670"/>
      <c r="H26" s="670"/>
      <c r="I26" s="670"/>
      <c r="J26" s="670"/>
      <c r="K26" s="670"/>
      <c r="L26" s="498">
        <f>ROUND((I22+J22+K22)*2.14%,2)</f>
        <v>65.73</v>
      </c>
      <c r="M26" s="459">
        <f>L26</f>
        <v>65.73</v>
      </c>
      <c r="N26" s="655"/>
      <c r="O26" s="656"/>
      <c r="P26" s="657"/>
      <c r="Q26" s="671"/>
      <c r="R26" s="672"/>
      <c r="S26" s="673"/>
      <c r="T26" s="457">
        <f>H22*M26*N22*O22*P22</f>
        <v>0</v>
      </c>
      <c r="U26" s="458">
        <f>T26</f>
        <v>0</v>
      </c>
      <c r="V26" s="42"/>
      <c r="W26" s="41"/>
      <c r="X26" s="39"/>
      <c r="Y26" s="41"/>
      <c r="Z26" s="29"/>
      <c r="AA26" s="43">
        <f>T26</f>
        <v>0</v>
      </c>
      <c r="AB26" s="29"/>
      <c r="AC26" s="29"/>
      <c r="AD26" s="29"/>
    </row>
    <row r="27" spans="1:30" s="488" customFormat="1" ht="41.25" hidden="1" customHeight="1">
      <c r="A27" s="492"/>
      <c r="B27" s="643"/>
      <c r="C27" s="515"/>
      <c r="D27" s="514"/>
      <c r="E27" s="670" t="s">
        <v>376</v>
      </c>
      <c r="F27" s="670"/>
      <c r="G27" s="670"/>
      <c r="H27" s="670"/>
      <c r="I27" s="670"/>
      <c r="J27" s="670"/>
      <c r="K27" s="670"/>
      <c r="L27" s="498">
        <f>ROUND((I22+J22+K22+L25+L26+L30)*3%,2)</f>
        <v>100.83</v>
      </c>
      <c r="M27" s="459">
        <f>L27</f>
        <v>100.83</v>
      </c>
      <c r="N27" s="655"/>
      <c r="O27" s="656"/>
      <c r="P27" s="657"/>
      <c r="Q27" s="671"/>
      <c r="R27" s="672"/>
      <c r="S27" s="673"/>
      <c r="T27" s="457">
        <f>H22*M27*N22*O22*P22</f>
        <v>0</v>
      </c>
      <c r="U27" s="458">
        <f>T27</f>
        <v>0</v>
      </c>
      <c r="V27" s="42"/>
      <c r="W27" s="41"/>
      <c r="X27" s="41"/>
      <c r="Y27" s="39"/>
      <c r="Z27" s="29"/>
      <c r="AA27" s="29"/>
      <c r="AB27" s="43">
        <f>T27</f>
        <v>0</v>
      </c>
      <c r="AC27" s="29"/>
      <c r="AD27" s="29"/>
    </row>
    <row r="28" spans="1:30" s="488" customFormat="1" ht="54.75" hidden="1" customHeight="1">
      <c r="A28" s="492"/>
      <c r="B28" s="643"/>
      <c r="C28" s="515"/>
      <c r="D28" s="514"/>
      <c r="E28" s="670" t="s">
        <v>377</v>
      </c>
      <c r="F28" s="670"/>
      <c r="G28" s="670"/>
      <c r="H28" s="670"/>
      <c r="I28" s="670"/>
      <c r="J28" s="670"/>
      <c r="K28" s="670"/>
      <c r="L28" s="498">
        <f>397.82-K22-L25-L26-L30</f>
        <v>0</v>
      </c>
      <c r="M28" s="459">
        <f>L28</f>
        <v>0</v>
      </c>
      <c r="N28" s="655"/>
      <c r="O28" s="656"/>
      <c r="P28" s="657"/>
      <c r="Q28" s="671"/>
      <c r="R28" s="672"/>
      <c r="S28" s="673"/>
      <c r="T28" s="457">
        <f>H22*M28*N22*O22*P22</f>
        <v>0</v>
      </c>
      <c r="U28" s="458">
        <f>T28</f>
        <v>0</v>
      </c>
      <c r="V28" s="42"/>
      <c r="W28" s="41"/>
      <c r="X28" s="41"/>
      <c r="Y28" s="41"/>
      <c r="Z28" s="44"/>
      <c r="AA28" s="29"/>
      <c r="AB28" s="29"/>
      <c r="AC28" s="44">
        <f>T28</f>
        <v>0</v>
      </c>
      <c r="AD28" s="29"/>
    </row>
    <row r="29" spans="1:30" s="488" customFormat="1" ht="45" hidden="1" customHeight="1">
      <c r="A29" s="492"/>
      <c r="B29" s="643"/>
      <c r="C29" s="515"/>
      <c r="D29" s="514"/>
      <c r="E29" s="674"/>
      <c r="F29" s="675"/>
      <c r="G29" s="675"/>
      <c r="H29" s="675"/>
      <c r="I29" s="675"/>
      <c r="J29" s="675"/>
      <c r="K29" s="675"/>
      <c r="L29" s="675"/>
      <c r="M29" s="676"/>
      <c r="N29" s="655"/>
      <c r="O29" s="656"/>
      <c r="P29" s="657"/>
      <c r="Q29" s="677"/>
      <c r="R29" s="678"/>
      <c r="S29" s="678"/>
      <c r="T29" s="678"/>
      <c r="U29" s="679"/>
      <c r="V29" s="45"/>
      <c r="W29" s="41"/>
      <c r="X29" s="41"/>
      <c r="Y29" s="41"/>
      <c r="Z29" s="29"/>
      <c r="AA29" s="44"/>
      <c r="AB29" s="29"/>
      <c r="AC29" s="29"/>
      <c r="AD29" s="29"/>
    </row>
    <row r="30" spans="1:30" s="488" customFormat="1" ht="45" hidden="1" customHeight="1" thickBot="1">
      <c r="A30" s="492"/>
      <c r="B30" s="644"/>
      <c r="C30" s="516"/>
      <c r="D30" s="517"/>
      <c r="E30" s="680" t="s">
        <v>369</v>
      </c>
      <c r="F30" s="680" t="s">
        <v>306</v>
      </c>
      <c r="G30" s="680"/>
      <c r="H30" s="680"/>
      <c r="I30" s="680"/>
      <c r="J30" s="680"/>
      <c r="K30" s="680"/>
      <c r="L30" s="499">
        <f>ROUND((I22+J22+K22+L25)*3.93%,2)</f>
        <v>124.61</v>
      </c>
      <c r="M30" s="46">
        <f>L30</f>
        <v>124.61</v>
      </c>
      <c r="N30" s="658"/>
      <c r="O30" s="659"/>
      <c r="P30" s="660"/>
      <c r="Q30" s="681"/>
      <c r="R30" s="682"/>
      <c r="S30" s="683"/>
      <c r="T30" s="500">
        <f>H22*M30*N22*O22*P22</f>
        <v>0</v>
      </c>
      <c r="U30" s="47">
        <f>T30</f>
        <v>0</v>
      </c>
      <c r="V30" s="48"/>
      <c r="W30" s="41"/>
      <c r="X30" s="41"/>
      <c r="Y30" s="41"/>
      <c r="Z30" s="29"/>
      <c r="AA30" s="29"/>
      <c r="AB30" s="44"/>
      <c r="AC30" s="29"/>
      <c r="AD30" s="44">
        <f>T30</f>
        <v>0</v>
      </c>
    </row>
    <row r="31" spans="1:30" s="488" customFormat="1" ht="150" hidden="1" customHeight="1">
      <c r="A31" s="492"/>
      <c r="B31" s="642">
        <v>2</v>
      </c>
      <c r="C31" s="511">
        <v>3</v>
      </c>
      <c r="D31" s="512"/>
      <c r="E31" s="493" t="s">
        <v>380</v>
      </c>
      <c r="F31" s="487" t="s">
        <v>381</v>
      </c>
      <c r="G31" s="645" t="s">
        <v>357</v>
      </c>
      <c r="H31" s="712">
        <v>0</v>
      </c>
      <c r="I31" s="494">
        <v>0</v>
      </c>
      <c r="J31" s="494">
        <v>3041.17</v>
      </c>
      <c r="K31" s="494">
        <v>108.25</v>
      </c>
      <c r="L31" s="494">
        <f>SUM(L33:L39)</f>
        <v>397.79</v>
      </c>
      <c r="M31" s="33">
        <f>SUM(I31:L31)</f>
        <v>3547.21</v>
      </c>
      <c r="N31" s="501">
        <v>1</v>
      </c>
      <c r="O31" s="502">
        <v>1</v>
      </c>
      <c r="P31" s="37">
        <v>1</v>
      </c>
      <c r="Q31" s="34">
        <f>H31*I31*N31*O31*P31</f>
        <v>0</v>
      </c>
      <c r="R31" s="35">
        <f>H31*J31*N31*O31*P31</f>
        <v>0</v>
      </c>
      <c r="S31" s="36">
        <f>H31*K31*N31*O31*P31</f>
        <v>0</v>
      </c>
      <c r="T31" s="36">
        <f>H31*L31*N31*O31*P31</f>
        <v>0</v>
      </c>
      <c r="U31" s="37">
        <f>SUM(Q31:T31)</f>
        <v>0</v>
      </c>
      <c r="V31" s="38">
        <f>(Q31+R31+S31+T35+T36+T37+T39)*'Прогнозная стоимость РСС ИП '!$M$11+T34*'Прогнозная стоимость РСС ИП '!$M$10</f>
        <v>0</v>
      </c>
      <c r="W31" s="39">
        <f>T31</f>
        <v>0</v>
      </c>
      <c r="X31" s="39">
        <f>U31</f>
        <v>0</v>
      </c>
      <c r="Y31" s="39">
        <f>V31</f>
        <v>0</v>
      </c>
      <c r="Z31" s="29"/>
      <c r="AA31" s="29"/>
      <c r="AB31" s="29"/>
      <c r="AC31" s="29"/>
      <c r="AD31" s="29"/>
    </row>
    <row r="32" spans="1:30" s="488" customFormat="1" ht="41.25" hidden="1" customHeight="1">
      <c r="A32" s="492"/>
      <c r="B32" s="643"/>
      <c r="C32" s="513"/>
      <c r="D32" s="514"/>
      <c r="E32" s="495"/>
      <c r="F32" s="496"/>
      <c r="G32" s="646"/>
      <c r="H32" s="713"/>
      <c r="I32" s="649"/>
      <c r="J32" s="650"/>
      <c r="K32" s="650"/>
      <c r="L32" s="650"/>
      <c r="M32" s="651"/>
      <c r="N32" s="652"/>
      <c r="O32" s="653"/>
      <c r="P32" s="654"/>
      <c r="Q32" s="661"/>
      <c r="R32" s="662"/>
      <c r="S32" s="662"/>
      <c r="T32" s="662"/>
      <c r="U32" s="663"/>
      <c r="V32" s="40"/>
      <c r="W32" s="41"/>
      <c r="X32" s="41"/>
      <c r="Y32" s="41"/>
      <c r="Z32" s="29"/>
      <c r="AA32" s="29"/>
      <c r="AB32" s="29"/>
      <c r="AC32" s="29"/>
      <c r="AD32" s="29"/>
    </row>
    <row r="33" spans="1:30" s="488" customFormat="1" ht="41.25" hidden="1" customHeight="1">
      <c r="A33" s="492"/>
      <c r="B33" s="643"/>
      <c r="C33" s="513"/>
      <c r="D33" s="514"/>
      <c r="E33" s="664" t="s">
        <v>29</v>
      </c>
      <c r="F33" s="665"/>
      <c r="G33" s="665"/>
      <c r="H33" s="665"/>
      <c r="I33" s="665"/>
      <c r="J33" s="665"/>
      <c r="K33" s="665"/>
      <c r="L33" s="665"/>
      <c r="M33" s="666"/>
      <c r="N33" s="655"/>
      <c r="O33" s="656"/>
      <c r="P33" s="657"/>
      <c r="Q33" s="667"/>
      <c r="R33" s="689"/>
      <c r="S33" s="689"/>
      <c r="T33" s="689"/>
      <c r="U33" s="690"/>
      <c r="V33" s="42"/>
      <c r="W33" s="41"/>
      <c r="X33" s="41"/>
      <c r="Y33" s="41"/>
      <c r="Z33" s="29"/>
      <c r="AA33" s="29"/>
      <c r="AB33" s="29"/>
      <c r="AC33" s="29"/>
      <c r="AD33" s="29"/>
    </row>
    <row r="34" spans="1:30" s="488" customFormat="1" ht="41.25" hidden="1" customHeight="1">
      <c r="A34" s="492"/>
      <c r="B34" s="643"/>
      <c r="C34" s="513">
        <v>33</v>
      </c>
      <c r="D34" s="514"/>
      <c r="E34" s="670" t="s">
        <v>30</v>
      </c>
      <c r="F34" s="670"/>
      <c r="G34" s="670"/>
      <c r="H34" s="670"/>
      <c r="I34" s="670"/>
      <c r="J34" s="670"/>
      <c r="K34" s="670"/>
      <c r="L34" s="498">
        <v>99.39</v>
      </c>
      <c r="M34" s="459">
        <f>L34</f>
        <v>99.39</v>
      </c>
      <c r="N34" s="655"/>
      <c r="O34" s="656"/>
      <c r="P34" s="657"/>
      <c r="Q34" s="671"/>
      <c r="R34" s="672"/>
      <c r="S34" s="673"/>
      <c r="T34" s="457">
        <f>H31*M34*N31*O31*P31</f>
        <v>0</v>
      </c>
      <c r="U34" s="458">
        <f>T34</f>
        <v>0</v>
      </c>
      <c r="V34" s="42"/>
      <c r="W34" s="39"/>
      <c r="X34" s="41"/>
      <c r="Y34" s="41"/>
      <c r="Z34" s="43">
        <f>T34</f>
        <v>0</v>
      </c>
      <c r="AA34" s="29"/>
      <c r="AB34" s="29"/>
      <c r="AC34" s="29"/>
      <c r="AD34" s="29"/>
    </row>
    <row r="35" spans="1:30" s="488" customFormat="1" ht="41.25" hidden="1" customHeight="1">
      <c r="A35" s="492"/>
      <c r="B35" s="643"/>
      <c r="C35" s="513"/>
      <c r="D35" s="514"/>
      <c r="E35" s="670" t="s">
        <v>31</v>
      </c>
      <c r="F35" s="670"/>
      <c r="G35" s="670"/>
      <c r="H35" s="670"/>
      <c r="I35" s="670"/>
      <c r="J35" s="670"/>
      <c r="K35" s="670"/>
      <c r="L35" s="498">
        <f>ROUND((I31+J31+K31)*2.14%,2)</f>
        <v>67.400000000000006</v>
      </c>
      <c r="M35" s="459">
        <f>L35</f>
        <v>67.400000000000006</v>
      </c>
      <c r="N35" s="655"/>
      <c r="O35" s="656"/>
      <c r="P35" s="657"/>
      <c r="Q35" s="671"/>
      <c r="R35" s="672"/>
      <c r="S35" s="673"/>
      <c r="T35" s="457">
        <f>H31*M35*N31*O31*P31</f>
        <v>0</v>
      </c>
      <c r="U35" s="458">
        <f>T35</f>
        <v>0</v>
      </c>
      <c r="V35" s="42"/>
      <c r="W35" s="41"/>
      <c r="X35" s="39"/>
      <c r="Y35" s="41"/>
      <c r="Z35" s="29"/>
      <c r="AA35" s="43">
        <f>T35</f>
        <v>0</v>
      </c>
      <c r="AB35" s="29"/>
      <c r="AC35" s="29"/>
      <c r="AD35" s="29"/>
    </row>
    <row r="36" spans="1:30" s="488" customFormat="1" ht="41.25" hidden="1" customHeight="1">
      <c r="A36" s="492"/>
      <c r="B36" s="643"/>
      <c r="C36" s="515"/>
      <c r="D36" s="514"/>
      <c r="E36" s="670" t="s">
        <v>376</v>
      </c>
      <c r="F36" s="670"/>
      <c r="G36" s="670"/>
      <c r="H36" s="670"/>
      <c r="I36" s="670"/>
      <c r="J36" s="670"/>
      <c r="K36" s="670"/>
      <c r="L36" s="498">
        <f>ROUND((I31+J31+K31+L34+L35+L39)*3%,2)</f>
        <v>103.32</v>
      </c>
      <c r="M36" s="459">
        <f>L36</f>
        <v>103.32</v>
      </c>
      <c r="N36" s="655"/>
      <c r="O36" s="656"/>
      <c r="P36" s="657"/>
      <c r="Q36" s="671"/>
      <c r="R36" s="672"/>
      <c r="S36" s="673"/>
      <c r="T36" s="457">
        <f>H31*M36*N31*O31*P31</f>
        <v>0</v>
      </c>
      <c r="U36" s="458">
        <f>T36</f>
        <v>0</v>
      </c>
      <c r="V36" s="42"/>
      <c r="W36" s="41"/>
      <c r="X36" s="41"/>
      <c r="Y36" s="39"/>
      <c r="Z36" s="29"/>
      <c r="AA36" s="29"/>
      <c r="AB36" s="43">
        <f>T36</f>
        <v>0</v>
      </c>
      <c r="AC36" s="29"/>
      <c r="AD36" s="29"/>
    </row>
    <row r="37" spans="1:30" s="488" customFormat="1" ht="54.75" hidden="1" customHeight="1">
      <c r="A37" s="492"/>
      <c r="B37" s="643"/>
      <c r="C37" s="515"/>
      <c r="D37" s="514"/>
      <c r="E37" s="670" t="s">
        <v>377</v>
      </c>
      <c r="F37" s="670"/>
      <c r="G37" s="670"/>
      <c r="H37" s="670"/>
      <c r="I37" s="670"/>
      <c r="J37" s="670"/>
      <c r="K37" s="670"/>
      <c r="L37" s="498">
        <f>402.72-K31-L34-L35-L39</f>
        <v>0</v>
      </c>
      <c r="M37" s="459">
        <f>L37</f>
        <v>0</v>
      </c>
      <c r="N37" s="655"/>
      <c r="O37" s="656"/>
      <c r="P37" s="657"/>
      <c r="Q37" s="671"/>
      <c r="R37" s="672"/>
      <c r="S37" s="673"/>
      <c r="T37" s="457">
        <f>H31*M37*N31*O31*P31</f>
        <v>0</v>
      </c>
      <c r="U37" s="458">
        <f>T37</f>
        <v>0</v>
      </c>
      <c r="V37" s="42"/>
      <c r="W37" s="41"/>
      <c r="X37" s="41"/>
      <c r="Y37" s="41"/>
      <c r="Z37" s="44"/>
      <c r="AA37" s="29"/>
      <c r="AB37" s="29"/>
      <c r="AC37" s="44">
        <f>T37</f>
        <v>0</v>
      </c>
      <c r="AD37" s="29"/>
    </row>
    <row r="38" spans="1:30" s="488" customFormat="1" ht="45" hidden="1" customHeight="1">
      <c r="A38" s="492"/>
      <c r="B38" s="643"/>
      <c r="C38" s="515"/>
      <c r="D38" s="514"/>
      <c r="E38" s="674"/>
      <c r="F38" s="675"/>
      <c r="G38" s="675"/>
      <c r="H38" s="675"/>
      <c r="I38" s="675"/>
      <c r="J38" s="675"/>
      <c r="K38" s="675"/>
      <c r="L38" s="675"/>
      <c r="M38" s="676"/>
      <c r="N38" s="655"/>
      <c r="O38" s="656"/>
      <c r="P38" s="657"/>
      <c r="Q38" s="677"/>
      <c r="R38" s="678"/>
      <c r="S38" s="678"/>
      <c r="T38" s="678"/>
      <c r="U38" s="679"/>
      <c r="V38" s="45"/>
      <c r="W38" s="41"/>
      <c r="X38" s="41"/>
      <c r="Y38" s="41"/>
      <c r="Z38" s="29"/>
      <c r="AA38" s="44"/>
      <c r="AB38" s="29"/>
      <c r="AC38" s="29"/>
      <c r="AD38" s="29"/>
    </row>
    <row r="39" spans="1:30" s="488" customFormat="1" ht="45" hidden="1" customHeight="1" thickBot="1">
      <c r="A39" s="492"/>
      <c r="B39" s="644"/>
      <c r="C39" s="516"/>
      <c r="D39" s="517"/>
      <c r="E39" s="680" t="s">
        <v>369</v>
      </c>
      <c r="F39" s="680" t="s">
        <v>306</v>
      </c>
      <c r="G39" s="680"/>
      <c r="H39" s="680"/>
      <c r="I39" s="680"/>
      <c r="J39" s="680"/>
      <c r="K39" s="680"/>
      <c r="L39" s="499">
        <f>ROUND((I31+J31+K31+L34)*3.93%,2)</f>
        <v>127.68</v>
      </c>
      <c r="M39" s="46">
        <f>L39</f>
        <v>127.68</v>
      </c>
      <c r="N39" s="658"/>
      <c r="O39" s="659"/>
      <c r="P39" s="660"/>
      <c r="Q39" s="681"/>
      <c r="R39" s="682"/>
      <c r="S39" s="683"/>
      <c r="T39" s="500">
        <f>H31*M39*N31*O31*P31</f>
        <v>0</v>
      </c>
      <c r="U39" s="47">
        <f>T39</f>
        <v>0</v>
      </c>
      <c r="V39" s="48"/>
      <c r="W39" s="41"/>
      <c r="X39" s="41"/>
      <c r="Y39" s="41"/>
      <c r="Z39" s="29"/>
      <c r="AA39" s="29"/>
      <c r="AB39" s="44"/>
      <c r="AC39" s="29"/>
      <c r="AD39" s="44">
        <f>T39</f>
        <v>0</v>
      </c>
    </row>
    <row r="40" spans="1:30" s="488" customFormat="1" ht="150" hidden="1" customHeight="1">
      <c r="A40" s="492"/>
      <c r="B40" s="642">
        <v>2</v>
      </c>
      <c r="C40" s="511">
        <v>3</v>
      </c>
      <c r="D40" s="512"/>
      <c r="E40" s="493" t="s">
        <v>382</v>
      </c>
      <c r="F40" s="487" t="s">
        <v>383</v>
      </c>
      <c r="G40" s="645" t="s">
        <v>357</v>
      </c>
      <c r="H40" s="712">
        <v>0</v>
      </c>
      <c r="I40" s="494">
        <v>0</v>
      </c>
      <c r="J40" s="494">
        <v>3131.1</v>
      </c>
      <c r="K40" s="494">
        <v>108.25</v>
      </c>
      <c r="L40" s="494">
        <f>SUM(L42:L48)</f>
        <v>406.29999999999995</v>
      </c>
      <c r="M40" s="33">
        <f>SUM(I40:L40)</f>
        <v>3645.6499999999996</v>
      </c>
      <c r="N40" s="501">
        <v>1</v>
      </c>
      <c r="O40" s="502">
        <v>1</v>
      </c>
      <c r="P40" s="37">
        <v>1</v>
      </c>
      <c r="Q40" s="34">
        <f>H40*I40*N40*O40*P40</f>
        <v>0</v>
      </c>
      <c r="R40" s="35">
        <f>H40*J40*N40*O40*P40</f>
        <v>0</v>
      </c>
      <c r="S40" s="36">
        <f>H40*K40*N40*O40*P40</f>
        <v>0</v>
      </c>
      <c r="T40" s="36">
        <f>H40*L40*N40*O40*P40</f>
        <v>0</v>
      </c>
      <c r="U40" s="37">
        <f>SUM(Q40:T40)</f>
        <v>0</v>
      </c>
      <c r="V40" s="38">
        <f>(Q40+R40+S40+T44+T45+T46+T48)*'Прогнозная стоимость РСС ИП '!$M$11+T43*'Прогнозная стоимость РСС ИП '!$M$10</f>
        <v>0</v>
      </c>
      <c r="W40" s="39">
        <f>T40</f>
        <v>0</v>
      </c>
      <c r="X40" s="39">
        <f>U40</f>
        <v>0</v>
      </c>
      <c r="Y40" s="39">
        <f>V40</f>
        <v>0</v>
      </c>
      <c r="Z40" s="29"/>
      <c r="AA40" s="29"/>
      <c r="AB40" s="29"/>
      <c r="AC40" s="29"/>
      <c r="AD40" s="29"/>
    </row>
    <row r="41" spans="1:30" s="488" customFormat="1" ht="41.25" hidden="1" customHeight="1">
      <c r="A41" s="492"/>
      <c r="B41" s="643"/>
      <c r="C41" s="513"/>
      <c r="D41" s="514"/>
      <c r="E41" s="495"/>
      <c r="F41" s="496"/>
      <c r="G41" s="646"/>
      <c r="H41" s="713"/>
      <c r="I41" s="649"/>
      <c r="J41" s="650"/>
      <c r="K41" s="650"/>
      <c r="L41" s="650"/>
      <c r="M41" s="651"/>
      <c r="N41" s="652"/>
      <c r="O41" s="653"/>
      <c r="P41" s="654"/>
      <c r="Q41" s="661"/>
      <c r="R41" s="662"/>
      <c r="S41" s="662"/>
      <c r="T41" s="662"/>
      <c r="U41" s="663"/>
      <c r="V41" s="40"/>
      <c r="W41" s="41"/>
      <c r="X41" s="41"/>
      <c r="Y41" s="41"/>
      <c r="Z41" s="29"/>
      <c r="AA41" s="29"/>
      <c r="AB41" s="29"/>
      <c r="AC41" s="29"/>
      <c r="AD41" s="29"/>
    </row>
    <row r="42" spans="1:30" s="488" customFormat="1" ht="41.25" hidden="1" customHeight="1">
      <c r="A42" s="492"/>
      <c r="B42" s="643"/>
      <c r="C42" s="513"/>
      <c r="D42" s="514"/>
      <c r="E42" s="664" t="s">
        <v>29</v>
      </c>
      <c r="F42" s="665"/>
      <c r="G42" s="665"/>
      <c r="H42" s="665"/>
      <c r="I42" s="665"/>
      <c r="J42" s="665"/>
      <c r="K42" s="665"/>
      <c r="L42" s="665"/>
      <c r="M42" s="666"/>
      <c r="N42" s="655"/>
      <c r="O42" s="656"/>
      <c r="P42" s="657"/>
      <c r="Q42" s="667"/>
      <c r="R42" s="689"/>
      <c r="S42" s="689"/>
      <c r="T42" s="689"/>
      <c r="U42" s="690"/>
      <c r="V42" s="42"/>
      <c r="W42" s="41"/>
      <c r="X42" s="41"/>
      <c r="Y42" s="41"/>
      <c r="Z42" s="29"/>
      <c r="AA42" s="29"/>
      <c r="AB42" s="29"/>
      <c r="AC42" s="29"/>
      <c r="AD42" s="29"/>
    </row>
    <row r="43" spans="1:30" s="488" customFormat="1" ht="41.25" hidden="1" customHeight="1">
      <c r="A43" s="492"/>
      <c r="B43" s="643"/>
      <c r="C43" s="513">
        <v>33</v>
      </c>
      <c r="D43" s="514"/>
      <c r="E43" s="670" t="s">
        <v>30</v>
      </c>
      <c r="F43" s="670"/>
      <c r="G43" s="670"/>
      <c r="H43" s="670"/>
      <c r="I43" s="670"/>
      <c r="J43" s="670"/>
      <c r="K43" s="670"/>
      <c r="L43" s="498">
        <v>99.57</v>
      </c>
      <c r="M43" s="459">
        <f>L43</f>
        <v>99.57</v>
      </c>
      <c r="N43" s="655"/>
      <c r="O43" s="656"/>
      <c r="P43" s="657"/>
      <c r="Q43" s="671"/>
      <c r="R43" s="672"/>
      <c r="S43" s="673"/>
      <c r="T43" s="457">
        <f>H40*M43*N40*O40*P40</f>
        <v>0</v>
      </c>
      <c r="U43" s="458">
        <f>T43</f>
        <v>0</v>
      </c>
      <c r="V43" s="42"/>
      <c r="W43" s="39"/>
      <c r="X43" s="41"/>
      <c r="Y43" s="41"/>
      <c r="Z43" s="43">
        <f>T43</f>
        <v>0</v>
      </c>
      <c r="AA43" s="29"/>
      <c r="AB43" s="29"/>
      <c r="AC43" s="29"/>
      <c r="AD43" s="29"/>
    </row>
    <row r="44" spans="1:30" s="488" customFormat="1" ht="41.25" hidden="1" customHeight="1">
      <c r="A44" s="492"/>
      <c r="B44" s="643"/>
      <c r="C44" s="513"/>
      <c r="D44" s="514"/>
      <c r="E44" s="670" t="s">
        <v>31</v>
      </c>
      <c r="F44" s="670"/>
      <c r="G44" s="670"/>
      <c r="H44" s="670"/>
      <c r="I44" s="670"/>
      <c r="J44" s="670"/>
      <c r="K44" s="670"/>
      <c r="L44" s="498">
        <f>ROUND((I40+J40+K40)*2.14%,2)</f>
        <v>69.319999999999993</v>
      </c>
      <c r="M44" s="459">
        <f>L44</f>
        <v>69.319999999999993</v>
      </c>
      <c r="N44" s="655"/>
      <c r="O44" s="656"/>
      <c r="P44" s="657"/>
      <c r="Q44" s="671"/>
      <c r="R44" s="672"/>
      <c r="S44" s="673"/>
      <c r="T44" s="457">
        <f>H40*M44*N40*O40*P40</f>
        <v>0</v>
      </c>
      <c r="U44" s="458">
        <f>T44</f>
        <v>0</v>
      </c>
      <c r="V44" s="42"/>
      <c r="W44" s="41"/>
      <c r="X44" s="39"/>
      <c r="Y44" s="41"/>
      <c r="Z44" s="29"/>
      <c r="AA44" s="43">
        <f>T44</f>
        <v>0</v>
      </c>
      <c r="AB44" s="29"/>
      <c r="AC44" s="29"/>
      <c r="AD44" s="29"/>
    </row>
    <row r="45" spans="1:30" s="488" customFormat="1" ht="41.25" hidden="1" customHeight="1">
      <c r="A45" s="492"/>
      <c r="B45" s="643"/>
      <c r="C45" s="515"/>
      <c r="D45" s="514"/>
      <c r="E45" s="670" t="s">
        <v>376</v>
      </c>
      <c r="F45" s="670"/>
      <c r="G45" s="670"/>
      <c r="H45" s="670"/>
      <c r="I45" s="670"/>
      <c r="J45" s="670"/>
      <c r="K45" s="670"/>
      <c r="L45" s="498">
        <f>ROUND((I40+J40+K40+L43+L44+L48)*3%,2)+0.01</f>
        <v>106.19000000000001</v>
      </c>
      <c r="M45" s="459">
        <f>L45</f>
        <v>106.19000000000001</v>
      </c>
      <c r="N45" s="655"/>
      <c r="O45" s="656"/>
      <c r="P45" s="657"/>
      <c r="Q45" s="671"/>
      <c r="R45" s="672"/>
      <c r="S45" s="673"/>
      <c r="T45" s="457">
        <f>H40*M45*N40*O40*P40</f>
        <v>0</v>
      </c>
      <c r="U45" s="458">
        <f>T45</f>
        <v>0</v>
      </c>
      <c r="V45" s="42"/>
      <c r="W45" s="41"/>
      <c r="X45" s="41"/>
      <c r="Y45" s="39"/>
      <c r="Z45" s="29"/>
      <c r="AA45" s="29"/>
      <c r="AB45" s="43">
        <f>T45</f>
        <v>0</v>
      </c>
      <c r="AC45" s="29"/>
      <c r="AD45" s="29"/>
    </row>
    <row r="46" spans="1:30" s="488" customFormat="1" ht="54.75" hidden="1" customHeight="1">
      <c r="A46" s="492"/>
      <c r="B46" s="643"/>
      <c r="C46" s="515"/>
      <c r="D46" s="514"/>
      <c r="E46" s="670" t="s">
        <v>377</v>
      </c>
      <c r="F46" s="670"/>
      <c r="G46" s="670"/>
      <c r="H46" s="670"/>
      <c r="I46" s="670"/>
      <c r="J46" s="670"/>
      <c r="K46" s="670"/>
      <c r="L46" s="498">
        <f>408.36-K40-L43-L44-L48</f>
        <v>0</v>
      </c>
      <c r="M46" s="459">
        <f>L46</f>
        <v>0</v>
      </c>
      <c r="N46" s="655"/>
      <c r="O46" s="656"/>
      <c r="P46" s="657"/>
      <c r="Q46" s="671"/>
      <c r="R46" s="672"/>
      <c r="S46" s="673"/>
      <c r="T46" s="457">
        <f>H40*M46*N40*O40*P40</f>
        <v>0</v>
      </c>
      <c r="U46" s="458">
        <f>T46</f>
        <v>0</v>
      </c>
      <c r="V46" s="42"/>
      <c r="W46" s="41"/>
      <c r="X46" s="41"/>
      <c r="Y46" s="41"/>
      <c r="Z46" s="44"/>
      <c r="AA46" s="29"/>
      <c r="AB46" s="29"/>
      <c r="AC46" s="44">
        <f>T46</f>
        <v>0</v>
      </c>
      <c r="AD46" s="29"/>
    </row>
    <row r="47" spans="1:30" s="488" customFormat="1" ht="45" hidden="1" customHeight="1">
      <c r="A47" s="492"/>
      <c r="B47" s="643"/>
      <c r="C47" s="515"/>
      <c r="D47" s="514"/>
      <c r="E47" s="674"/>
      <c r="F47" s="675"/>
      <c r="G47" s="675"/>
      <c r="H47" s="675"/>
      <c r="I47" s="675"/>
      <c r="J47" s="675"/>
      <c r="K47" s="675"/>
      <c r="L47" s="675"/>
      <c r="M47" s="676"/>
      <c r="N47" s="655"/>
      <c r="O47" s="656"/>
      <c r="P47" s="657"/>
      <c r="Q47" s="677"/>
      <c r="R47" s="678"/>
      <c r="S47" s="678"/>
      <c r="T47" s="678"/>
      <c r="U47" s="679"/>
      <c r="V47" s="45"/>
      <c r="W47" s="41"/>
      <c r="X47" s="41"/>
      <c r="Y47" s="41"/>
      <c r="Z47" s="29"/>
      <c r="AA47" s="44"/>
      <c r="AB47" s="29"/>
      <c r="AC47" s="29"/>
      <c r="AD47" s="29"/>
    </row>
    <row r="48" spans="1:30" s="488" customFormat="1" ht="45" hidden="1" customHeight="1" thickBot="1">
      <c r="A48" s="492"/>
      <c r="B48" s="644"/>
      <c r="C48" s="516"/>
      <c r="D48" s="517"/>
      <c r="E48" s="680" t="s">
        <v>369</v>
      </c>
      <c r="F48" s="680" t="s">
        <v>306</v>
      </c>
      <c r="G48" s="680"/>
      <c r="H48" s="680"/>
      <c r="I48" s="680"/>
      <c r="J48" s="680"/>
      <c r="K48" s="680"/>
      <c r="L48" s="499">
        <f>ROUND((I40+J40+K40+L43)*3.93%,2)</f>
        <v>131.22</v>
      </c>
      <c r="M48" s="46">
        <f>L48</f>
        <v>131.22</v>
      </c>
      <c r="N48" s="658"/>
      <c r="O48" s="659"/>
      <c r="P48" s="660"/>
      <c r="Q48" s="681"/>
      <c r="R48" s="682"/>
      <c r="S48" s="683"/>
      <c r="T48" s="500">
        <f>H40*M48*N40*O40*P40</f>
        <v>0</v>
      </c>
      <c r="U48" s="47">
        <f>T48</f>
        <v>0</v>
      </c>
      <c r="V48" s="48"/>
      <c r="W48" s="41"/>
      <c r="X48" s="41"/>
      <c r="Y48" s="41"/>
      <c r="Z48" s="29"/>
      <c r="AA48" s="29"/>
      <c r="AB48" s="44"/>
      <c r="AC48" s="29"/>
      <c r="AD48" s="44">
        <f>T48</f>
        <v>0</v>
      </c>
    </row>
    <row r="49" spans="1:30" s="488" customFormat="1" ht="150" hidden="1" customHeight="1">
      <c r="A49" s="492"/>
      <c r="B49" s="642">
        <v>2</v>
      </c>
      <c r="C49" s="511">
        <v>3</v>
      </c>
      <c r="D49" s="512"/>
      <c r="E49" s="493" t="s">
        <v>384</v>
      </c>
      <c r="F49" s="487" t="s">
        <v>385</v>
      </c>
      <c r="G49" s="645" t="s">
        <v>357</v>
      </c>
      <c r="H49" s="712">
        <v>0</v>
      </c>
      <c r="I49" s="494">
        <v>0</v>
      </c>
      <c r="J49" s="494">
        <v>3210.41</v>
      </c>
      <c r="K49" s="494">
        <v>108.25</v>
      </c>
      <c r="L49" s="494">
        <f>SUM(L51:L57)</f>
        <v>413.81000000000006</v>
      </c>
      <c r="M49" s="33">
        <f>SUM(I49:L49)</f>
        <v>3732.47</v>
      </c>
      <c r="N49" s="501">
        <v>1</v>
      </c>
      <c r="O49" s="502">
        <v>1</v>
      </c>
      <c r="P49" s="37">
        <v>1</v>
      </c>
      <c r="Q49" s="34">
        <f>H49*I49*N49*O49*P49</f>
        <v>0</v>
      </c>
      <c r="R49" s="35">
        <f>H49*J49*N49*O49*P49</f>
        <v>0</v>
      </c>
      <c r="S49" s="36">
        <f>H49*K49*N49*O49*P49</f>
        <v>0</v>
      </c>
      <c r="T49" s="36">
        <f>H49*L49*N49*O49*P49</f>
        <v>0</v>
      </c>
      <c r="U49" s="37">
        <f>SUM(Q49:T49)</f>
        <v>0</v>
      </c>
      <c r="V49" s="38">
        <f>(Q49+R49+S49+T53+T54+T55+T57)*'Прогнозная стоимость РСС ИП '!$M$11+T52*'Прогнозная стоимость РСС ИП '!$M$10</f>
        <v>0</v>
      </c>
      <c r="W49" s="39">
        <f>T49</f>
        <v>0</v>
      </c>
      <c r="X49" s="39">
        <f>U49</f>
        <v>0</v>
      </c>
      <c r="Y49" s="39">
        <f>V49</f>
        <v>0</v>
      </c>
      <c r="Z49" s="29"/>
      <c r="AA49" s="29"/>
      <c r="AB49" s="29"/>
      <c r="AC49" s="29"/>
      <c r="AD49" s="29"/>
    </row>
    <row r="50" spans="1:30" s="488" customFormat="1" ht="41.25" hidden="1" customHeight="1">
      <c r="A50" s="492"/>
      <c r="B50" s="643"/>
      <c r="C50" s="513"/>
      <c r="D50" s="514"/>
      <c r="E50" s="495"/>
      <c r="F50" s="496"/>
      <c r="G50" s="646"/>
      <c r="H50" s="713"/>
      <c r="I50" s="649"/>
      <c r="J50" s="650"/>
      <c r="K50" s="650"/>
      <c r="L50" s="650"/>
      <c r="M50" s="651"/>
      <c r="N50" s="652"/>
      <c r="O50" s="653"/>
      <c r="P50" s="654"/>
      <c r="Q50" s="661"/>
      <c r="R50" s="662"/>
      <c r="S50" s="662"/>
      <c r="T50" s="662"/>
      <c r="U50" s="663"/>
      <c r="V50" s="40"/>
      <c r="W50" s="41"/>
      <c r="X50" s="41"/>
      <c r="Y50" s="41"/>
      <c r="Z50" s="29"/>
      <c r="AA50" s="29"/>
      <c r="AB50" s="29"/>
      <c r="AC50" s="29"/>
      <c r="AD50" s="29"/>
    </row>
    <row r="51" spans="1:30" s="488" customFormat="1" ht="41.25" hidden="1" customHeight="1">
      <c r="A51" s="492"/>
      <c r="B51" s="643"/>
      <c r="C51" s="513"/>
      <c r="D51" s="514"/>
      <c r="E51" s="664" t="s">
        <v>29</v>
      </c>
      <c r="F51" s="665"/>
      <c r="G51" s="665"/>
      <c r="H51" s="665"/>
      <c r="I51" s="665"/>
      <c r="J51" s="665"/>
      <c r="K51" s="665"/>
      <c r="L51" s="665"/>
      <c r="M51" s="666"/>
      <c r="N51" s="655"/>
      <c r="O51" s="656"/>
      <c r="P51" s="657"/>
      <c r="Q51" s="667"/>
      <c r="R51" s="689"/>
      <c r="S51" s="689"/>
      <c r="T51" s="689"/>
      <c r="U51" s="690"/>
      <c r="V51" s="42"/>
      <c r="W51" s="41"/>
      <c r="X51" s="41"/>
      <c r="Y51" s="41"/>
      <c r="Z51" s="29"/>
      <c r="AA51" s="29"/>
      <c r="AB51" s="29"/>
      <c r="AC51" s="29"/>
      <c r="AD51" s="29"/>
    </row>
    <row r="52" spans="1:30" s="488" customFormat="1" ht="41.25" hidden="1" customHeight="1">
      <c r="A52" s="492"/>
      <c r="B52" s="643"/>
      <c r="C52" s="513">
        <v>33</v>
      </c>
      <c r="D52" s="514"/>
      <c r="E52" s="670" t="s">
        <v>30</v>
      </c>
      <c r="F52" s="670"/>
      <c r="G52" s="670"/>
      <c r="H52" s="670"/>
      <c r="I52" s="670"/>
      <c r="J52" s="670"/>
      <c r="K52" s="670"/>
      <c r="L52" s="498">
        <v>99.73</v>
      </c>
      <c r="M52" s="459">
        <f>L52</f>
        <v>99.73</v>
      </c>
      <c r="N52" s="655"/>
      <c r="O52" s="656"/>
      <c r="P52" s="657"/>
      <c r="Q52" s="671"/>
      <c r="R52" s="672"/>
      <c r="S52" s="673"/>
      <c r="T52" s="457">
        <f>H49*M52*N49*O49*P49</f>
        <v>0</v>
      </c>
      <c r="U52" s="458">
        <f>T52</f>
        <v>0</v>
      </c>
      <c r="V52" s="42"/>
      <c r="W52" s="39"/>
      <c r="X52" s="41"/>
      <c r="Y52" s="41"/>
      <c r="Z52" s="43">
        <f>T52</f>
        <v>0</v>
      </c>
      <c r="AA52" s="29"/>
      <c r="AB52" s="29"/>
      <c r="AC52" s="29"/>
      <c r="AD52" s="29"/>
    </row>
    <row r="53" spans="1:30" s="488" customFormat="1" ht="41.25" hidden="1" customHeight="1">
      <c r="A53" s="492"/>
      <c r="B53" s="643"/>
      <c r="C53" s="513"/>
      <c r="D53" s="514"/>
      <c r="E53" s="670" t="s">
        <v>31</v>
      </c>
      <c r="F53" s="670"/>
      <c r="G53" s="670"/>
      <c r="H53" s="670"/>
      <c r="I53" s="670"/>
      <c r="J53" s="670"/>
      <c r="K53" s="670"/>
      <c r="L53" s="498">
        <f>ROUND((I49+J49+K49)*2.14%,2)</f>
        <v>71.02</v>
      </c>
      <c r="M53" s="459">
        <f>L53</f>
        <v>71.02</v>
      </c>
      <c r="N53" s="655"/>
      <c r="O53" s="656"/>
      <c r="P53" s="657"/>
      <c r="Q53" s="671"/>
      <c r="R53" s="672"/>
      <c r="S53" s="673"/>
      <c r="T53" s="457">
        <f>H49*M53*N49*O49*P49</f>
        <v>0</v>
      </c>
      <c r="U53" s="458">
        <f>T53</f>
        <v>0</v>
      </c>
      <c r="V53" s="42"/>
      <c r="W53" s="41"/>
      <c r="X53" s="39"/>
      <c r="Y53" s="41"/>
      <c r="Z53" s="29"/>
      <c r="AA53" s="43">
        <f>T53</f>
        <v>0</v>
      </c>
      <c r="AB53" s="29"/>
      <c r="AC53" s="29"/>
      <c r="AD53" s="29"/>
    </row>
    <row r="54" spans="1:30" s="488" customFormat="1" ht="41.25" hidden="1" customHeight="1">
      <c r="A54" s="492"/>
      <c r="B54" s="643"/>
      <c r="C54" s="515"/>
      <c r="D54" s="514"/>
      <c r="E54" s="670" t="s">
        <v>376</v>
      </c>
      <c r="F54" s="670"/>
      <c r="G54" s="670"/>
      <c r="H54" s="670"/>
      <c r="I54" s="670"/>
      <c r="J54" s="670"/>
      <c r="K54" s="670"/>
      <c r="L54" s="498">
        <f>ROUND((I49+J49+K49+L52+L53+L57)*3%,2)+0.01</f>
        <v>108.72</v>
      </c>
      <c r="M54" s="459">
        <f>L54</f>
        <v>108.72</v>
      </c>
      <c r="N54" s="655"/>
      <c r="O54" s="656"/>
      <c r="P54" s="657"/>
      <c r="Q54" s="671"/>
      <c r="R54" s="672"/>
      <c r="S54" s="673"/>
      <c r="T54" s="457">
        <f>H49*M54*N49*O49*P49</f>
        <v>0</v>
      </c>
      <c r="U54" s="458">
        <f>T54</f>
        <v>0</v>
      </c>
      <c r="V54" s="42"/>
      <c r="W54" s="41"/>
      <c r="X54" s="41"/>
      <c r="Y54" s="39"/>
      <c r="Z54" s="29"/>
      <c r="AA54" s="29"/>
      <c r="AB54" s="43">
        <f>T54</f>
        <v>0</v>
      </c>
      <c r="AC54" s="29"/>
      <c r="AD54" s="29"/>
    </row>
    <row r="55" spans="1:30" s="488" customFormat="1" ht="54.75" hidden="1" customHeight="1">
      <c r="A55" s="492"/>
      <c r="B55" s="643"/>
      <c r="C55" s="515"/>
      <c r="D55" s="514"/>
      <c r="E55" s="670" t="s">
        <v>377</v>
      </c>
      <c r="F55" s="670"/>
      <c r="G55" s="670"/>
      <c r="H55" s="670"/>
      <c r="I55" s="670"/>
      <c r="J55" s="670"/>
      <c r="K55" s="670"/>
      <c r="L55" s="498">
        <f>413.34-K49-L52-L53-L57</f>
        <v>0</v>
      </c>
      <c r="M55" s="459">
        <f>L55</f>
        <v>0</v>
      </c>
      <c r="N55" s="655"/>
      <c r="O55" s="656"/>
      <c r="P55" s="657"/>
      <c r="Q55" s="671"/>
      <c r="R55" s="672"/>
      <c r="S55" s="673"/>
      <c r="T55" s="457">
        <f>H49*M55*N49*O49*P49</f>
        <v>0</v>
      </c>
      <c r="U55" s="458">
        <f>T55</f>
        <v>0</v>
      </c>
      <c r="V55" s="42"/>
      <c r="W55" s="41"/>
      <c r="X55" s="41"/>
      <c r="Y55" s="41"/>
      <c r="Z55" s="44"/>
      <c r="AA55" s="29"/>
      <c r="AB55" s="29"/>
      <c r="AC55" s="44">
        <f>T55</f>
        <v>0</v>
      </c>
      <c r="AD55" s="29"/>
    </row>
    <row r="56" spans="1:30" s="488" customFormat="1" ht="45" hidden="1" customHeight="1">
      <c r="A56" s="492"/>
      <c r="B56" s="643"/>
      <c r="C56" s="515"/>
      <c r="D56" s="514"/>
      <c r="E56" s="674"/>
      <c r="F56" s="675"/>
      <c r="G56" s="675"/>
      <c r="H56" s="675"/>
      <c r="I56" s="675"/>
      <c r="J56" s="675"/>
      <c r="K56" s="675"/>
      <c r="L56" s="675"/>
      <c r="M56" s="676"/>
      <c r="N56" s="655"/>
      <c r="O56" s="656"/>
      <c r="P56" s="657"/>
      <c r="Q56" s="677"/>
      <c r="R56" s="678"/>
      <c r="S56" s="678"/>
      <c r="T56" s="678"/>
      <c r="U56" s="679"/>
      <c r="V56" s="45"/>
      <c r="W56" s="41"/>
      <c r="X56" s="41"/>
      <c r="Y56" s="41"/>
      <c r="Z56" s="29"/>
      <c r="AA56" s="44"/>
      <c r="AB56" s="29"/>
      <c r="AC56" s="29"/>
      <c r="AD56" s="29"/>
    </row>
    <row r="57" spans="1:30" s="488" customFormat="1" ht="45" hidden="1" customHeight="1" thickBot="1">
      <c r="A57" s="492"/>
      <c r="B57" s="644"/>
      <c r="C57" s="516"/>
      <c r="D57" s="517"/>
      <c r="E57" s="680" t="s">
        <v>369</v>
      </c>
      <c r="F57" s="680" t="s">
        <v>306</v>
      </c>
      <c r="G57" s="680"/>
      <c r="H57" s="680"/>
      <c r="I57" s="680"/>
      <c r="J57" s="680"/>
      <c r="K57" s="680"/>
      <c r="L57" s="499">
        <f>ROUND((I49+J49+K49+L52)*3.93%,2)</f>
        <v>134.34</v>
      </c>
      <c r="M57" s="46">
        <f>L57</f>
        <v>134.34</v>
      </c>
      <c r="N57" s="658"/>
      <c r="O57" s="659"/>
      <c r="P57" s="660"/>
      <c r="Q57" s="681"/>
      <c r="R57" s="682"/>
      <c r="S57" s="683"/>
      <c r="T57" s="500">
        <f>H49*M57*N49*O49*P49</f>
        <v>0</v>
      </c>
      <c r="U57" s="47">
        <f>T57</f>
        <v>0</v>
      </c>
      <c r="V57" s="48"/>
      <c r="W57" s="41"/>
      <c r="X57" s="41"/>
      <c r="Y57" s="41"/>
      <c r="Z57" s="29"/>
      <c r="AA57" s="29"/>
      <c r="AB57" s="44"/>
      <c r="AC57" s="29"/>
      <c r="AD57" s="44">
        <f>T57</f>
        <v>0</v>
      </c>
    </row>
    <row r="58" spans="1:30" s="505" customFormat="1" ht="150" hidden="1" customHeight="1">
      <c r="A58" s="492"/>
      <c r="B58" s="642">
        <v>2</v>
      </c>
      <c r="C58" s="511">
        <v>10</v>
      </c>
      <c r="D58" s="512"/>
      <c r="E58" s="493" t="s">
        <v>386</v>
      </c>
      <c r="F58" s="487" t="s">
        <v>387</v>
      </c>
      <c r="G58" s="645" t="s">
        <v>388</v>
      </c>
      <c r="H58" s="688">
        <v>0</v>
      </c>
      <c r="I58" s="494">
        <v>0</v>
      </c>
      <c r="J58" s="494">
        <v>3.9</v>
      </c>
      <c r="K58" s="494">
        <v>0</v>
      </c>
      <c r="L58" s="494">
        <f>SUM(L60:L66)</f>
        <v>0.35780000000000001</v>
      </c>
      <c r="M58" s="33">
        <f>SUM(I58:L58)</f>
        <v>4.2577999999999996</v>
      </c>
      <c r="N58" s="501">
        <v>1</v>
      </c>
      <c r="O58" s="502">
        <v>1</v>
      </c>
      <c r="P58" s="37">
        <v>1</v>
      </c>
      <c r="Q58" s="34">
        <f>H58*I58*N58*O58*P58</f>
        <v>0</v>
      </c>
      <c r="R58" s="35">
        <f>H58*J58*N58*O58*P58</f>
        <v>0</v>
      </c>
      <c r="S58" s="36">
        <f>H58*K58*N58*O58*P58</f>
        <v>0</v>
      </c>
      <c r="T58" s="36">
        <f>H58*L58*N58*O58*P58</f>
        <v>0</v>
      </c>
      <c r="U58" s="37">
        <f>SUM(Q58:T58)</f>
        <v>0</v>
      </c>
      <c r="V58" s="38">
        <f>(Q58+R58+S58+T62+T63+T64+T66)*'Прогнозная стоимость РСС ИП '!$M$11+T61*'Прогнозная стоимость РСС ИП '!$M$10</f>
        <v>0</v>
      </c>
      <c r="W58" s="503">
        <f>T58</f>
        <v>0</v>
      </c>
      <c r="X58" s="503">
        <f>U58</f>
        <v>0</v>
      </c>
      <c r="Y58" s="503">
        <f>V58</f>
        <v>0</v>
      </c>
      <c r="Z58" s="504"/>
      <c r="AA58" s="504"/>
      <c r="AB58" s="504"/>
      <c r="AC58" s="504"/>
      <c r="AD58" s="504"/>
    </row>
    <row r="59" spans="1:30" s="505" customFormat="1" ht="41.25" hidden="1" customHeight="1">
      <c r="A59" s="492"/>
      <c r="B59" s="643"/>
      <c r="C59" s="513"/>
      <c r="D59" s="514"/>
      <c r="E59" s="495"/>
      <c r="F59" s="496"/>
      <c r="G59" s="646"/>
      <c r="H59" s="713"/>
      <c r="I59" s="649"/>
      <c r="J59" s="650"/>
      <c r="K59" s="650"/>
      <c r="L59" s="650"/>
      <c r="M59" s="651"/>
      <c r="N59" s="652"/>
      <c r="O59" s="653"/>
      <c r="P59" s="654"/>
      <c r="Q59" s="661"/>
      <c r="R59" s="662"/>
      <c r="S59" s="662"/>
      <c r="T59" s="662"/>
      <c r="U59" s="663"/>
      <c r="V59" s="40"/>
      <c r="W59" s="504"/>
      <c r="X59" s="504"/>
      <c r="Y59" s="504"/>
      <c r="Z59" s="504"/>
      <c r="AA59" s="504"/>
      <c r="AB59" s="504"/>
      <c r="AC59" s="504"/>
      <c r="AD59" s="504"/>
    </row>
    <row r="60" spans="1:30" s="505" customFormat="1" ht="41.25" hidden="1" customHeight="1">
      <c r="A60" s="492"/>
      <c r="B60" s="643"/>
      <c r="C60" s="513"/>
      <c r="D60" s="514"/>
      <c r="E60" s="664" t="s">
        <v>29</v>
      </c>
      <c r="F60" s="665"/>
      <c r="G60" s="665"/>
      <c r="H60" s="665"/>
      <c r="I60" s="665"/>
      <c r="J60" s="665"/>
      <c r="K60" s="665"/>
      <c r="L60" s="665"/>
      <c r="M60" s="666"/>
      <c r="N60" s="655"/>
      <c r="O60" s="656"/>
      <c r="P60" s="657"/>
      <c r="Q60" s="667"/>
      <c r="R60" s="668"/>
      <c r="S60" s="668"/>
      <c r="T60" s="668"/>
      <c r="U60" s="669"/>
      <c r="V60" s="42"/>
      <c r="W60" s="504"/>
      <c r="X60" s="504"/>
      <c r="Y60" s="504"/>
      <c r="Z60" s="504"/>
      <c r="AA60" s="504"/>
      <c r="AB60" s="504"/>
      <c r="AC60" s="504"/>
      <c r="AD60" s="504"/>
    </row>
    <row r="61" spans="1:30" s="505" customFormat="1" ht="41.25" hidden="1" customHeight="1">
      <c r="A61" s="492"/>
      <c r="B61" s="643"/>
      <c r="C61" s="513">
        <v>1010</v>
      </c>
      <c r="D61" s="514"/>
      <c r="E61" s="670" t="s">
        <v>30</v>
      </c>
      <c r="F61" s="670"/>
      <c r="G61" s="670"/>
      <c r="H61" s="670"/>
      <c r="I61" s="670"/>
      <c r="J61" s="670"/>
      <c r="K61" s="670"/>
      <c r="L61" s="498">
        <v>7.7999999999999996E-3</v>
      </c>
      <c r="M61" s="459">
        <f>L61</f>
        <v>7.7999999999999996E-3</v>
      </c>
      <c r="N61" s="655"/>
      <c r="O61" s="656"/>
      <c r="P61" s="657"/>
      <c r="Q61" s="671"/>
      <c r="R61" s="672"/>
      <c r="S61" s="673"/>
      <c r="T61" s="457">
        <f>H58*M61*N58*O58*P58</f>
        <v>0</v>
      </c>
      <c r="U61" s="458">
        <f>T61</f>
        <v>0</v>
      </c>
      <c r="V61" s="42"/>
      <c r="W61" s="503"/>
      <c r="X61" s="504"/>
      <c r="Y61" s="504"/>
      <c r="Z61" s="503">
        <f>T61</f>
        <v>0</v>
      </c>
      <c r="AA61" s="504"/>
      <c r="AB61" s="504"/>
      <c r="AC61" s="504"/>
      <c r="AD61" s="504"/>
    </row>
    <row r="62" spans="1:30" s="505" customFormat="1" ht="41.25" hidden="1" customHeight="1">
      <c r="A62" s="492"/>
      <c r="B62" s="643"/>
      <c r="C62" s="513"/>
      <c r="D62" s="514"/>
      <c r="E62" s="670" t="s">
        <v>31</v>
      </c>
      <c r="F62" s="670"/>
      <c r="G62" s="670"/>
      <c r="H62" s="670"/>
      <c r="I62" s="670"/>
      <c r="J62" s="670"/>
      <c r="K62" s="670"/>
      <c r="L62" s="498">
        <f>ROUND((I58+J58+K58)*2.14%,2)</f>
        <v>0.08</v>
      </c>
      <c r="M62" s="459">
        <f>L62</f>
        <v>0.08</v>
      </c>
      <c r="N62" s="655"/>
      <c r="O62" s="656"/>
      <c r="P62" s="657"/>
      <c r="Q62" s="671"/>
      <c r="R62" s="672"/>
      <c r="S62" s="673"/>
      <c r="T62" s="457">
        <f>H58*M62*N58*O58*P58</f>
        <v>0</v>
      </c>
      <c r="U62" s="458">
        <f>T62</f>
        <v>0</v>
      </c>
      <c r="V62" s="42"/>
      <c r="W62" s="504"/>
      <c r="X62" s="503"/>
      <c r="Y62" s="504"/>
      <c r="Z62" s="504"/>
      <c r="AA62" s="503">
        <f>T62</f>
        <v>0</v>
      </c>
      <c r="AB62" s="504"/>
      <c r="AC62" s="504"/>
      <c r="AD62" s="504"/>
    </row>
    <row r="63" spans="1:30" s="505" customFormat="1" ht="41.25" hidden="1" customHeight="1">
      <c r="A63" s="492"/>
      <c r="B63" s="643"/>
      <c r="C63" s="515"/>
      <c r="D63" s="514"/>
      <c r="E63" s="670" t="s">
        <v>376</v>
      </c>
      <c r="F63" s="670"/>
      <c r="G63" s="670"/>
      <c r="H63" s="670"/>
      <c r="I63" s="670"/>
      <c r="J63" s="670"/>
      <c r="K63" s="670"/>
      <c r="L63" s="498">
        <f>ROUND((I58+J58+K58+L61+L62+L66)*3%,2)</f>
        <v>0.12</v>
      </c>
      <c r="M63" s="459">
        <f>L63</f>
        <v>0.12</v>
      </c>
      <c r="N63" s="655"/>
      <c r="O63" s="656"/>
      <c r="P63" s="657"/>
      <c r="Q63" s="671"/>
      <c r="R63" s="672"/>
      <c r="S63" s="673"/>
      <c r="T63" s="457">
        <f>H58*M63*N58*O58*P58</f>
        <v>0</v>
      </c>
      <c r="U63" s="458">
        <f>T63</f>
        <v>0</v>
      </c>
      <c r="V63" s="42"/>
      <c r="W63" s="504"/>
      <c r="X63" s="504"/>
      <c r="Y63" s="503"/>
      <c r="Z63" s="504"/>
      <c r="AA63" s="504"/>
      <c r="AB63" s="503">
        <f>T63</f>
        <v>0</v>
      </c>
      <c r="AC63" s="504"/>
      <c r="AD63" s="504"/>
    </row>
    <row r="64" spans="1:30" s="505" customFormat="1" ht="54.75" hidden="1" customHeight="1">
      <c r="A64" s="492"/>
      <c r="B64" s="643"/>
      <c r="C64" s="515"/>
      <c r="D64" s="514"/>
      <c r="E64" s="670" t="s">
        <v>377</v>
      </c>
      <c r="F64" s="670"/>
      <c r="G64" s="670"/>
      <c r="H64" s="670"/>
      <c r="I64" s="670"/>
      <c r="J64" s="670"/>
      <c r="K64" s="670"/>
      <c r="L64" s="498">
        <f>0.2378-K58-L61-L62-L66</f>
        <v>0</v>
      </c>
      <c r="M64" s="459">
        <f>L64</f>
        <v>0</v>
      </c>
      <c r="N64" s="655"/>
      <c r="O64" s="656"/>
      <c r="P64" s="657"/>
      <c r="Q64" s="671"/>
      <c r="R64" s="672"/>
      <c r="S64" s="673"/>
      <c r="T64" s="457">
        <f>H58*M64*N58*O58*P58</f>
        <v>0</v>
      </c>
      <c r="U64" s="458">
        <f>T64</f>
        <v>0</v>
      </c>
      <c r="V64" s="42"/>
      <c r="W64" s="504"/>
      <c r="X64" s="504"/>
      <c r="Y64" s="504"/>
      <c r="Z64" s="506"/>
      <c r="AA64" s="504"/>
      <c r="AB64" s="504"/>
      <c r="AC64" s="506">
        <f>T64</f>
        <v>0</v>
      </c>
      <c r="AD64" s="504"/>
    </row>
    <row r="65" spans="1:30" s="505" customFormat="1" ht="45" hidden="1" customHeight="1">
      <c r="A65" s="492"/>
      <c r="B65" s="643"/>
      <c r="C65" s="515"/>
      <c r="D65" s="514"/>
      <c r="E65" s="674"/>
      <c r="F65" s="675"/>
      <c r="G65" s="675"/>
      <c r="H65" s="675"/>
      <c r="I65" s="675"/>
      <c r="J65" s="675"/>
      <c r="K65" s="675"/>
      <c r="L65" s="675"/>
      <c r="M65" s="676"/>
      <c r="N65" s="655"/>
      <c r="O65" s="656"/>
      <c r="P65" s="657"/>
      <c r="Q65" s="677"/>
      <c r="R65" s="678"/>
      <c r="S65" s="678"/>
      <c r="T65" s="678"/>
      <c r="U65" s="679"/>
      <c r="V65" s="45"/>
      <c r="W65" s="504"/>
      <c r="X65" s="504"/>
      <c r="Y65" s="504"/>
      <c r="Z65" s="504"/>
      <c r="AA65" s="506"/>
      <c r="AB65" s="504"/>
      <c r="AC65" s="504"/>
      <c r="AD65" s="504"/>
    </row>
    <row r="66" spans="1:30" s="505" customFormat="1" ht="45" hidden="1" customHeight="1" thickBot="1">
      <c r="A66" s="492"/>
      <c r="B66" s="644"/>
      <c r="C66" s="516"/>
      <c r="D66" s="517"/>
      <c r="E66" s="680" t="s">
        <v>369</v>
      </c>
      <c r="F66" s="680" t="s">
        <v>306</v>
      </c>
      <c r="G66" s="680"/>
      <c r="H66" s="680"/>
      <c r="I66" s="680"/>
      <c r="J66" s="680"/>
      <c r="K66" s="680"/>
      <c r="L66" s="499">
        <f>ROUND((I58+J58+K58+L61)*3.93%,2)</f>
        <v>0.15</v>
      </c>
      <c r="M66" s="46">
        <f>L66</f>
        <v>0.15</v>
      </c>
      <c r="N66" s="658"/>
      <c r="O66" s="659"/>
      <c r="P66" s="660"/>
      <c r="Q66" s="681"/>
      <c r="R66" s="682"/>
      <c r="S66" s="683"/>
      <c r="T66" s="500">
        <f>H58*M66*N58*O58*P58</f>
        <v>0</v>
      </c>
      <c r="U66" s="47">
        <f>T66</f>
        <v>0</v>
      </c>
      <c r="V66" s="48"/>
      <c r="W66" s="504"/>
      <c r="X66" s="504"/>
      <c r="Y66" s="504"/>
      <c r="Z66" s="504"/>
      <c r="AA66" s="504"/>
      <c r="AB66" s="506"/>
      <c r="AC66" s="504"/>
      <c r="AD66" s="506">
        <f>T66</f>
        <v>0</v>
      </c>
    </row>
    <row r="67" spans="1:30" s="505" customFormat="1" ht="150" hidden="1" customHeight="1" thickBot="1">
      <c r="A67" s="492"/>
      <c r="B67" s="642">
        <v>2</v>
      </c>
      <c r="C67" s="511">
        <v>10</v>
      </c>
      <c r="D67" s="512"/>
      <c r="E67" s="493" t="s">
        <v>389</v>
      </c>
      <c r="F67" s="487" t="s">
        <v>390</v>
      </c>
      <c r="G67" s="645" t="s">
        <v>388</v>
      </c>
      <c r="H67" s="688">
        <v>0</v>
      </c>
      <c r="I67" s="494">
        <v>0</v>
      </c>
      <c r="J67" s="494">
        <v>3.48</v>
      </c>
      <c r="K67" s="494">
        <v>0</v>
      </c>
      <c r="L67" s="494">
        <f>SUM(L69:L75)</f>
        <v>0.32696000000000003</v>
      </c>
      <c r="M67" s="33">
        <f>SUM(I67:L67)</f>
        <v>3.8069600000000001</v>
      </c>
      <c r="N67" s="501">
        <v>1</v>
      </c>
      <c r="O67" s="502">
        <v>1</v>
      </c>
      <c r="P67" s="37">
        <v>1</v>
      </c>
      <c r="Q67" s="34">
        <f>H67*I67*N67*O67*P67</f>
        <v>0</v>
      </c>
      <c r="R67" s="35">
        <f>H67*J67*N67*O67*P67</f>
        <v>0</v>
      </c>
      <c r="S67" s="36">
        <f>H67*K67*N67*O67*P67</f>
        <v>0</v>
      </c>
      <c r="T67" s="36">
        <f>H67*L67*N67*O67*P67</f>
        <v>0</v>
      </c>
      <c r="U67" s="37">
        <f>SUM(Q67:T67)</f>
        <v>0</v>
      </c>
      <c r="V67" s="38">
        <f>(Q67+R67+S67+T71+T72+T73+T75)*'Прогнозная стоимость РСС ИП '!$M$11+T70*'Прогнозная стоимость РСС ИП '!$M$10</f>
        <v>0</v>
      </c>
      <c r="W67" s="503">
        <f>T67</f>
        <v>0</v>
      </c>
      <c r="X67" s="503">
        <f>U67</f>
        <v>0</v>
      </c>
      <c r="Y67" s="503">
        <f>V67</f>
        <v>0</v>
      </c>
      <c r="Z67" s="504"/>
      <c r="AA67" s="504"/>
      <c r="AB67" s="504"/>
      <c r="AC67" s="504"/>
      <c r="AD67" s="504"/>
    </row>
    <row r="68" spans="1:30" s="505" customFormat="1" ht="41.25" hidden="1" customHeight="1">
      <c r="A68" s="492"/>
      <c r="B68" s="643"/>
      <c r="C68" s="513"/>
      <c r="D68" s="514"/>
      <c r="E68" s="495"/>
      <c r="F68" s="496"/>
      <c r="G68" s="646"/>
      <c r="H68" s="688"/>
      <c r="I68" s="649"/>
      <c r="J68" s="650"/>
      <c r="K68" s="650"/>
      <c r="L68" s="650"/>
      <c r="M68" s="651"/>
      <c r="N68" s="652"/>
      <c r="O68" s="653"/>
      <c r="P68" s="654"/>
      <c r="Q68" s="661"/>
      <c r="R68" s="662"/>
      <c r="S68" s="662"/>
      <c r="T68" s="662"/>
      <c r="U68" s="663"/>
      <c r="V68" s="40"/>
      <c r="W68" s="504"/>
      <c r="X68" s="504"/>
      <c r="Y68" s="504"/>
      <c r="Z68" s="504"/>
      <c r="AA68" s="504"/>
      <c r="AB68" s="504"/>
      <c r="AC68" s="504"/>
      <c r="AD68" s="504"/>
    </row>
    <row r="69" spans="1:30" s="505" customFormat="1" ht="41.25" hidden="1" customHeight="1">
      <c r="A69" s="492"/>
      <c r="B69" s="643"/>
      <c r="C69" s="513"/>
      <c r="D69" s="514"/>
      <c r="E69" s="664" t="s">
        <v>29</v>
      </c>
      <c r="F69" s="665"/>
      <c r="G69" s="665"/>
      <c r="H69" s="665"/>
      <c r="I69" s="665"/>
      <c r="J69" s="665"/>
      <c r="K69" s="665"/>
      <c r="L69" s="665"/>
      <c r="M69" s="666"/>
      <c r="N69" s="655"/>
      <c r="O69" s="656"/>
      <c r="P69" s="657"/>
      <c r="Q69" s="667"/>
      <c r="R69" s="668"/>
      <c r="S69" s="668"/>
      <c r="T69" s="668"/>
      <c r="U69" s="669"/>
      <c r="V69" s="42"/>
      <c r="W69" s="504"/>
      <c r="X69" s="504"/>
      <c r="Y69" s="504"/>
      <c r="Z69" s="504"/>
      <c r="AA69" s="504"/>
      <c r="AB69" s="504"/>
      <c r="AC69" s="504"/>
      <c r="AD69" s="504"/>
    </row>
    <row r="70" spans="1:30" s="488" customFormat="1" ht="41.25" hidden="1" customHeight="1">
      <c r="A70" s="492"/>
      <c r="B70" s="643"/>
      <c r="C70" s="513">
        <v>1010</v>
      </c>
      <c r="D70" s="514"/>
      <c r="E70" s="670" t="s">
        <v>30</v>
      </c>
      <c r="F70" s="670"/>
      <c r="G70" s="670"/>
      <c r="H70" s="670"/>
      <c r="I70" s="670"/>
      <c r="J70" s="670"/>
      <c r="K70" s="670"/>
      <c r="L70" s="498">
        <v>6.96E-3</v>
      </c>
      <c r="M70" s="459">
        <f>L70</f>
        <v>6.96E-3</v>
      </c>
      <c r="N70" s="655"/>
      <c r="O70" s="656"/>
      <c r="P70" s="657"/>
      <c r="Q70" s="671"/>
      <c r="R70" s="672"/>
      <c r="S70" s="673"/>
      <c r="T70" s="457">
        <f>H67*M70*N67*O67*P67</f>
        <v>0</v>
      </c>
      <c r="U70" s="458">
        <f>T70</f>
        <v>0</v>
      </c>
      <c r="V70" s="42"/>
      <c r="W70" s="39"/>
      <c r="X70" s="41"/>
      <c r="Y70" s="41"/>
      <c r="Z70" s="43">
        <f>T70</f>
        <v>0</v>
      </c>
      <c r="AA70" s="29"/>
      <c r="AB70" s="29"/>
      <c r="AC70" s="29"/>
      <c r="AD70" s="29"/>
    </row>
    <row r="71" spans="1:30" s="488" customFormat="1" ht="41.25" hidden="1" customHeight="1">
      <c r="A71" s="492"/>
      <c r="B71" s="643"/>
      <c r="C71" s="513"/>
      <c r="D71" s="514"/>
      <c r="E71" s="670" t="s">
        <v>31</v>
      </c>
      <c r="F71" s="670"/>
      <c r="G71" s="670"/>
      <c r="H71" s="670"/>
      <c r="I71" s="670"/>
      <c r="J71" s="670"/>
      <c r="K71" s="670"/>
      <c r="L71" s="498">
        <f>ROUND((I67+J67+K67)*2.14%,2)</f>
        <v>7.0000000000000007E-2</v>
      </c>
      <c r="M71" s="459">
        <f>L71</f>
        <v>7.0000000000000007E-2</v>
      </c>
      <c r="N71" s="655"/>
      <c r="O71" s="656"/>
      <c r="P71" s="657"/>
      <c r="Q71" s="671"/>
      <c r="R71" s="672"/>
      <c r="S71" s="673"/>
      <c r="T71" s="457">
        <f>H67*M71*N67*O67*P67</f>
        <v>0</v>
      </c>
      <c r="U71" s="458">
        <f>T71</f>
        <v>0</v>
      </c>
      <c r="V71" s="42"/>
      <c r="W71" s="41"/>
      <c r="X71" s="39"/>
      <c r="Y71" s="41"/>
      <c r="Z71" s="29"/>
      <c r="AA71" s="43">
        <f>T71</f>
        <v>0</v>
      </c>
      <c r="AB71" s="29"/>
      <c r="AC71" s="29"/>
      <c r="AD71" s="29"/>
    </row>
    <row r="72" spans="1:30" s="488" customFormat="1" ht="41.25" hidden="1" customHeight="1">
      <c r="A72" s="492"/>
      <c r="B72" s="643"/>
      <c r="C72" s="515"/>
      <c r="D72" s="514"/>
      <c r="E72" s="670" t="s">
        <v>376</v>
      </c>
      <c r="F72" s="670"/>
      <c r="G72" s="670"/>
      <c r="H72" s="670"/>
      <c r="I72" s="670"/>
      <c r="J72" s="670"/>
      <c r="K72" s="670"/>
      <c r="L72" s="498">
        <f>ROUND((I67+J67+K67+L70+L71+L75)*3%,2)</f>
        <v>0.11</v>
      </c>
      <c r="M72" s="459">
        <f>L72</f>
        <v>0.11</v>
      </c>
      <c r="N72" s="655"/>
      <c r="O72" s="656"/>
      <c r="P72" s="657"/>
      <c r="Q72" s="671"/>
      <c r="R72" s="672"/>
      <c r="S72" s="673"/>
      <c r="T72" s="457">
        <f>H67*M72*N67*O67*P67</f>
        <v>0</v>
      </c>
      <c r="U72" s="458">
        <f>T72</f>
        <v>0</v>
      </c>
      <c r="V72" s="42"/>
      <c r="W72" s="41"/>
      <c r="X72" s="41"/>
      <c r="Y72" s="39"/>
      <c r="Z72" s="29"/>
      <c r="AA72" s="29"/>
      <c r="AB72" s="43">
        <f>T72</f>
        <v>0</v>
      </c>
      <c r="AC72" s="29"/>
      <c r="AD72" s="29"/>
    </row>
    <row r="73" spans="1:30" s="488" customFormat="1" ht="54.75" hidden="1" customHeight="1">
      <c r="A73" s="492"/>
      <c r="B73" s="643"/>
      <c r="C73" s="515"/>
      <c r="D73" s="514"/>
      <c r="E73" s="670" t="s">
        <v>377</v>
      </c>
      <c r="F73" s="670"/>
      <c r="G73" s="670"/>
      <c r="H73" s="670"/>
      <c r="I73" s="670"/>
      <c r="J73" s="670"/>
      <c r="K73" s="670"/>
      <c r="L73" s="498">
        <f>0.21696-K67-L70-L71-L75</f>
        <v>0</v>
      </c>
      <c r="M73" s="459">
        <f>L73</f>
        <v>0</v>
      </c>
      <c r="N73" s="655"/>
      <c r="O73" s="656"/>
      <c r="P73" s="657"/>
      <c r="Q73" s="671"/>
      <c r="R73" s="672"/>
      <c r="S73" s="673"/>
      <c r="T73" s="457">
        <f>H67*M73*N67*O67*P67</f>
        <v>0</v>
      </c>
      <c r="U73" s="458">
        <f>T73</f>
        <v>0</v>
      </c>
      <c r="V73" s="42"/>
      <c r="W73" s="41"/>
      <c r="X73" s="41"/>
      <c r="Y73" s="41"/>
      <c r="Z73" s="44"/>
      <c r="AA73" s="29"/>
      <c r="AB73" s="29"/>
      <c r="AC73" s="44">
        <f>T73</f>
        <v>0</v>
      </c>
      <c r="AD73" s="29"/>
    </row>
    <row r="74" spans="1:30" s="488" customFormat="1" ht="45" hidden="1" customHeight="1">
      <c r="A74" s="492"/>
      <c r="B74" s="643"/>
      <c r="C74" s="515"/>
      <c r="D74" s="514"/>
      <c r="E74" s="674"/>
      <c r="F74" s="675"/>
      <c r="G74" s="675"/>
      <c r="H74" s="675"/>
      <c r="I74" s="675"/>
      <c r="J74" s="675"/>
      <c r="K74" s="675"/>
      <c r="L74" s="675"/>
      <c r="M74" s="676"/>
      <c r="N74" s="655"/>
      <c r="O74" s="656"/>
      <c r="P74" s="657"/>
      <c r="Q74" s="677"/>
      <c r="R74" s="678"/>
      <c r="S74" s="678"/>
      <c r="T74" s="678"/>
      <c r="U74" s="679"/>
      <c r="V74" s="45"/>
      <c r="W74" s="41"/>
      <c r="X74" s="41"/>
      <c r="Y74" s="41"/>
      <c r="Z74" s="29"/>
      <c r="AA74" s="44"/>
      <c r="AB74" s="29"/>
      <c r="AC74" s="29"/>
      <c r="AD74" s="29"/>
    </row>
    <row r="75" spans="1:30" s="488" customFormat="1" ht="42.75" hidden="1" customHeight="1" thickBot="1">
      <c r="A75" s="492"/>
      <c r="B75" s="644"/>
      <c r="C75" s="516"/>
      <c r="D75" s="517"/>
      <c r="E75" s="680" t="s">
        <v>369</v>
      </c>
      <c r="F75" s="680" t="s">
        <v>306</v>
      </c>
      <c r="G75" s="680"/>
      <c r="H75" s="680"/>
      <c r="I75" s="680"/>
      <c r="J75" s="680"/>
      <c r="K75" s="680"/>
      <c r="L75" s="499">
        <f>ROUND((I67+J67+K67+L70)*3.93%,2)</f>
        <v>0.14000000000000001</v>
      </c>
      <c r="M75" s="46">
        <f>L75</f>
        <v>0.14000000000000001</v>
      </c>
      <c r="N75" s="658"/>
      <c r="O75" s="659"/>
      <c r="P75" s="660"/>
      <c r="Q75" s="681"/>
      <c r="R75" s="682"/>
      <c r="S75" s="683"/>
      <c r="T75" s="500">
        <f>H67*M75*N67*O67*P67</f>
        <v>0</v>
      </c>
      <c r="U75" s="47">
        <f>T75</f>
        <v>0</v>
      </c>
      <c r="V75" s="48"/>
      <c r="W75" s="41"/>
      <c r="X75" s="41"/>
      <c r="Y75" s="41"/>
      <c r="Z75" s="29"/>
      <c r="AA75" s="29"/>
      <c r="AB75" s="44"/>
      <c r="AC75" s="29"/>
      <c r="AD75" s="44">
        <f>T75</f>
        <v>0</v>
      </c>
    </row>
    <row r="76" spans="1:30" s="505" customFormat="1" ht="150" hidden="1" customHeight="1">
      <c r="A76" s="492"/>
      <c r="B76" s="642">
        <v>2</v>
      </c>
      <c r="C76" s="511">
        <v>10</v>
      </c>
      <c r="D76" s="512"/>
      <c r="E76" s="493" t="s">
        <v>776</v>
      </c>
      <c r="F76" s="548" t="s">
        <v>778</v>
      </c>
      <c r="G76" s="645" t="s">
        <v>777</v>
      </c>
      <c r="H76" s="647">
        <v>0</v>
      </c>
      <c r="I76" s="494">
        <v>0</v>
      </c>
      <c r="J76" s="494">
        <v>464.21000000000004</v>
      </c>
      <c r="K76" s="494">
        <v>0</v>
      </c>
      <c r="L76" s="494">
        <f>SUM(L78:L84)</f>
        <v>62.550902000000001</v>
      </c>
      <c r="M76" s="33">
        <f>SUM(I76:L76)</f>
        <v>526.76090199999999</v>
      </c>
      <c r="N76" s="501">
        <v>1</v>
      </c>
      <c r="O76" s="502">
        <v>1</v>
      </c>
      <c r="P76" s="37">
        <v>1</v>
      </c>
      <c r="Q76" s="34">
        <f>H76*I76*N76*O76*P76</f>
        <v>0</v>
      </c>
      <c r="R76" s="35">
        <f>H76*J76*N76*O76*P76</f>
        <v>0</v>
      </c>
      <c r="S76" s="36">
        <f>H76*K76*N76*O76*P76</f>
        <v>0</v>
      </c>
      <c r="T76" s="36">
        <f>H76*L76*N76*O76*P76</f>
        <v>0</v>
      </c>
      <c r="U76" s="37">
        <f>SUM(Q76:T76)</f>
        <v>0</v>
      </c>
      <c r="V76" s="38">
        <f>(Q76+R76+S76+T80+T81+T82+T84)*'Прогнозная стоимость РСС ИП '!$M$11+T79*'Прогнозная стоимость РСС ИП '!$M$10</f>
        <v>0</v>
      </c>
      <c r="W76" s="503">
        <f>T76</f>
        <v>0</v>
      </c>
      <c r="X76" s="503">
        <f>U76</f>
        <v>0</v>
      </c>
      <c r="Y76" s="503">
        <f>V76</f>
        <v>0</v>
      </c>
      <c r="Z76" s="504"/>
      <c r="AA76" s="504"/>
      <c r="AB76" s="504"/>
      <c r="AC76" s="504"/>
      <c r="AD76" s="504"/>
    </row>
    <row r="77" spans="1:30" s="505" customFormat="1" ht="41.25" hidden="1" customHeight="1">
      <c r="A77" s="492"/>
      <c r="B77" s="643"/>
      <c r="C77" s="513"/>
      <c r="D77" s="514"/>
      <c r="E77" s="495"/>
      <c r="F77" s="496"/>
      <c r="G77" s="646"/>
      <c r="H77" s="648"/>
      <c r="I77" s="649"/>
      <c r="J77" s="650"/>
      <c r="K77" s="650"/>
      <c r="L77" s="650"/>
      <c r="M77" s="651"/>
      <c r="N77" s="652"/>
      <c r="O77" s="653"/>
      <c r="P77" s="654"/>
      <c r="Q77" s="661"/>
      <c r="R77" s="662"/>
      <c r="S77" s="662"/>
      <c r="T77" s="662"/>
      <c r="U77" s="663"/>
      <c r="V77" s="40"/>
      <c r="W77" s="504"/>
      <c r="X77" s="504"/>
      <c r="Y77" s="504"/>
      <c r="Z77" s="504"/>
      <c r="AA77" s="504"/>
      <c r="AB77" s="504"/>
      <c r="AC77" s="504"/>
      <c r="AD77" s="504"/>
    </row>
    <row r="78" spans="1:30" s="505" customFormat="1" ht="41.25" hidden="1" customHeight="1">
      <c r="A78" s="492"/>
      <c r="B78" s="643"/>
      <c r="C78" s="513"/>
      <c r="D78" s="514"/>
      <c r="E78" s="664" t="s">
        <v>29</v>
      </c>
      <c r="F78" s="665"/>
      <c r="G78" s="665"/>
      <c r="H78" s="665"/>
      <c r="I78" s="665"/>
      <c r="J78" s="665"/>
      <c r="K78" s="665"/>
      <c r="L78" s="665"/>
      <c r="M78" s="666"/>
      <c r="N78" s="655"/>
      <c r="O78" s="656"/>
      <c r="P78" s="657"/>
      <c r="Q78" s="667"/>
      <c r="R78" s="668"/>
      <c r="S78" s="668"/>
      <c r="T78" s="668"/>
      <c r="U78" s="669"/>
      <c r="V78" s="42"/>
      <c r="W78" s="504"/>
      <c r="X78" s="504"/>
      <c r="Y78" s="504"/>
      <c r="Z78" s="504"/>
      <c r="AA78" s="504"/>
      <c r="AB78" s="504"/>
      <c r="AC78" s="504"/>
      <c r="AD78" s="504"/>
    </row>
    <row r="79" spans="1:30" s="505" customFormat="1" ht="41.25" hidden="1" customHeight="1">
      <c r="A79" s="492"/>
      <c r="B79" s="643"/>
      <c r="C79" s="513">
        <v>1010</v>
      </c>
      <c r="D79" s="514"/>
      <c r="E79" s="670" t="s">
        <v>30</v>
      </c>
      <c r="F79" s="670"/>
      <c r="G79" s="670"/>
      <c r="H79" s="670"/>
      <c r="I79" s="670"/>
      <c r="J79" s="670"/>
      <c r="K79" s="670"/>
      <c r="L79" s="498">
        <v>18.320902</v>
      </c>
      <c r="M79" s="459">
        <f>L79</f>
        <v>18.320902</v>
      </c>
      <c r="N79" s="655"/>
      <c r="O79" s="656"/>
      <c r="P79" s="657"/>
      <c r="Q79" s="671"/>
      <c r="R79" s="672"/>
      <c r="S79" s="673"/>
      <c r="T79" s="547">
        <f>H76*M79*N76*O76*P76</f>
        <v>0</v>
      </c>
      <c r="U79" s="458">
        <f>T79</f>
        <v>0</v>
      </c>
      <c r="V79" s="42"/>
      <c r="W79" s="503"/>
      <c r="X79" s="504"/>
      <c r="Y79" s="504"/>
      <c r="Z79" s="503">
        <f>T79</f>
        <v>0</v>
      </c>
      <c r="AA79" s="504"/>
      <c r="AB79" s="504"/>
      <c r="AC79" s="504"/>
      <c r="AD79" s="504"/>
    </row>
    <row r="80" spans="1:30" s="505" customFormat="1" ht="41.25" hidden="1" customHeight="1">
      <c r="A80" s="492"/>
      <c r="B80" s="643"/>
      <c r="C80" s="513"/>
      <c r="D80" s="514"/>
      <c r="E80" s="670" t="s">
        <v>31</v>
      </c>
      <c r="F80" s="670"/>
      <c r="G80" s="670"/>
      <c r="H80" s="670"/>
      <c r="I80" s="670"/>
      <c r="J80" s="670"/>
      <c r="K80" s="670"/>
      <c r="L80" s="498">
        <f>ROUND((I76+J76+K76)*2.14%,2)</f>
        <v>9.93</v>
      </c>
      <c r="M80" s="459">
        <f>L80</f>
        <v>9.93</v>
      </c>
      <c r="N80" s="655"/>
      <c r="O80" s="656"/>
      <c r="P80" s="657"/>
      <c r="Q80" s="671"/>
      <c r="R80" s="672"/>
      <c r="S80" s="673"/>
      <c r="T80" s="547">
        <f>H76*M80*N76*O76*P76</f>
        <v>0</v>
      </c>
      <c r="U80" s="458">
        <f>T80</f>
        <v>0</v>
      </c>
      <c r="V80" s="42"/>
      <c r="W80" s="504"/>
      <c r="X80" s="503"/>
      <c r="Y80" s="504"/>
      <c r="Z80" s="504"/>
      <c r="AA80" s="503">
        <f>T80</f>
        <v>0</v>
      </c>
      <c r="AB80" s="504"/>
      <c r="AC80" s="504"/>
      <c r="AD80" s="504"/>
    </row>
    <row r="81" spans="1:30" s="505" customFormat="1" ht="41.25" hidden="1" customHeight="1">
      <c r="A81" s="492"/>
      <c r="B81" s="643"/>
      <c r="C81" s="515"/>
      <c r="D81" s="514"/>
      <c r="E81" s="670" t="s">
        <v>376</v>
      </c>
      <c r="F81" s="670"/>
      <c r="G81" s="670"/>
      <c r="H81" s="670"/>
      <c r="I81" s="670"/>
      <c r="J81" s="670"/>
      <c r="K81" s="670"/>
      <c r="L81" s="498">
        <f>ROUND((I76+J76+K76+L79+L80+L84)*3%,2)</f>
        <v>15.34</v>
      </c>
      <c r="M81" s="459">
        <f>L81</f>
        <v>15.34</v>
      </c>
      <c r="N81" s="655"/>
      <c r="O81" s="656"/>
      <c r="P81" s="657"/>
      <c r="Q81" s="671"/>
      <c r="R81" s="672"/>
      <c r="S81" s="673"/>
      <c r="T81" s="547">
        <f>H76*M81*N76*O76*P76</f>
        <v>0</v>
      </c>
      <c r="U81" s="458">
        <f>T81</f>
        <v>0</v>
      </c>
      <c r="V81" s="42"/>
      <c r="W81" s="504"/>
      <c r="X81" s="504"/>
      <c r="Y81" s="503"/>
      <c r="Z81" s="504"/>
      <c r="AA81" s="504"/>
      <c r="AB81" s="503">
        <f>T81</f>
        <v>0</v>
      </c>
      <c r="AC81" s="504"/>
      <c r="AD81" s="504"/>
    </row>
    <row r="82" spans="1:30" s="505" customFormat="1" ht="54.75" hidden="1" customHeight="1">
      <c r="A82" s="492"/>
      <c r="B82" s="643"/>
      <c r="C82" s="515"/>
      <c r="D82" s="514"/>
      <c r="E82" s="670" t="s">
        <v>377</v>
      </c>
      <c r="F82" s="670"/>
      <c r="G82" s="670"/>
      <c r="H82" s="670"/>
      <c r="I82" s="670"/>
      <c r="J82" s="670"/>
      <c r="K82" s="670"/>
      <c r="L82" s="498">
        <f>47.210902-K76-L79-L80-L84</f>
        <v>0</v>
      </c>
      <c r="M82" s="459">
        <f>L82</f>
        <v>0</v>
      </c>
      <c r="N82" s="655"/>
      <c r="O82" s="656"/>
      <c r="P82" s="657"/>
      <c r="Q82" s="671"/>
      <c r="R82" s="672"/>
      <c r="S82" s="673"/>
      <c r="T82" s="547">
        <f>H76*M82*N76*O76*P76</f>
        <v>0</v>
      </c>
      <c r="U82" s="458">
        <f>T82</f>
        <v>0</v>
      </c>
      <c r="V82" s="42"/>
      <c r="W82" s="504"/>
      <c r="X82" s="504"/>
      <c r="Y82" s="504"/>
      <c r="Z82" s="506"/>
      <c r="AA82" s="504"/>
      <c r="AB82" s="504"/>
      <c r="AC82" s="506">
        <f>T82</f>
        <v>0</v>
      </c>
      <c r="AD82" s="504"/>
    </row>
    <row r="83" spans="1:30" s="505" customFormat="1" ht="45" hidden="1" customHeight="1">
      <c r="A83" s="492"/>
      <c r="B83" s="643"/>
      <c r="C83" s="515"/>
      <c r="D83" s="514"/>
      <c r="E83" s="674"/>
      <c r="F83" s="675"/>
      <c r="G83" s="675"/>
      <c r="H83" s="675"/>
      <c r="I83" s="675"/>
      <c r="J83" s="675"/>
      <c r="K83" s="675"/>
      <c r="L83" s="675"/>
      <c r="M83" s="676"/>
      <c r="N83" s="655"/>
      <c r="O83" s="656"/>
      <c r="P83" s="657"/>
      <c r="Q83" s="677"/>
      <c r="R83" s="678"/>
      <c r="S83" s="678"/>
      <c r="T83" s="678"/>
      <c r="U83" s="679"/>
      <c r="V83" s="45"/>
      <c r="W83" s="504"/>
      <c r="X83" s="504"/>
      <c r="Y83" s="504"/>
      <c r="Z83" s="504"/>
      <c r="AA83" s="506"/>
      <c r="AB83" s="504"/>
      <c r="AC83" s="504"/>
      <c r="AD83" s="504"/>
    </row>
    <row r="84" spans="1:30" s="505" customFormat="1" ht="45" hidden="1" customHeight="1" thickBot="1">
      <c r="A84" s="492"/>
      <c r="B84" s="644"/>
      <c r="C84" s="516"/>
      <c r="D84" s="517"/>
      <c r="E84" s="680" t="s">
        <v>369</v>
      </c>
      <c r="F84" s="680" t="s">
        <v>306</v>
      </c>
      <c r="G84" s="680"/>
      <c r="H84" s="680"/>
      <c r="I84" s="680"/>
      <c r="J84" s="680"/>
      <c r="K84" s="680"/>
      <c r="L84" s="499">
        <f>ROUND((I76+J76+K76+L79)*3.93%,2)</f>
        <v>18.96</v>
      </c>
      <c r="M84" s="46">
        <f>L84</f>
        <v>18.96</v>
      </c>
      <c r="N84" s="658"/>
      <c r="O84" s="659"/>
      <c r="P84" s="660"/>
      <c r="Q84" s="681"/>
      <c r="R84" s="682"/>
      <c r="S84" s="683"/>
      <c r="T84" s="500">
        <f>H76*M84*N76*O76*P76</f>
        <v>0</v>
      </c>
      <c r="U84" s="47">
        <f>T84</f>
        <v>0</v>
      </c>
      <c r="V84" s="48"/>
      <c r="W84" s="504"/>
      <c r="X84" s="504"/>
      <c r="Y84" s="504"/>
      <c r="Z84" s="504"/>
      <c r="AA84" s="504"/>
      <c r="AB84" s="506"/>
      <c r="AC84" s="504"/>
      <c r="AD84" s="506">
        <f>T84</f>
        <v>0</v>
      </c>
    </row>
    <row r="85" spans="1:30" s="505" customFormat="1" ht="150" hidden="1" customHeight="1" thickBot="1">
      <c r="A85" s="510"/>
      <c r="B85" s="642">
        <v>2</v>
      </c>
      <c r="C85" s="511">
        <v>10</v>
      </c>
      <c r="D85" s="512"/>
      <c r="E85" s="493" t="s">
        <v>391</v>
      </c>
      <c r="F85" s="490" t="s">
        <v>392</v>
      </c>
      <c r="G85" s="645" t="s">
        <v>357</v>
      </c>
      <c r="H85" s="712">
        <v>0</v>
      </c>
      <c r="I85" s="494">
        <v>0</v>
      </c>
      <c r="J85" s="494">
        <v>235.91</v>
      </c>
      <c r="K85" s="494">
        <v>12.12</v>
      </c>
      <c r="L85" s="494">
        <f>SUM(L87:L93)</f>
        <v>64.468623659999992</v>
      </c>
      <c r="M85" s="33">
        <f>SUM(I85:L85)</f>
        <v>312.49862366000002</v>
      </c>
      <c r="N85" s="501">
        <v>1</v>
      </c>
      <c r="O85" s="502">
        <v>1</v>
      </c>
      <c r="P85" s="37">
        <v>1</v>
      </c>
      <c r="Q85" s="34">
        <f>H85*I85*N85*O85*P85</f>
        <v>0</v>
      </c>
      <c r="R85" s="35">
        <f>H85*J85*N85*O85*P85</f>
        <v>0</v>
      </c>
      <c r="S85" s="36">
        <f>H85*K85*N85*O85*P85</f>
        <v>0</v>
      </c>
      <c r="T85" s="36">
        <f>H85*L85*N85*O85*P85</f>
        <v>0</v>
      </c>
      <c r="U85" s="37">
        <f>SUM(Q85:T85)</f>
        <v>0</v>
      </c>
      <c r="V85" s="38">
        <f>(Q85+R85+S85+T89+T90+T91+T93)*'Прогнозная стоимость РСС ИП '!$M$11+T88*'Прогнозная стоимость РСС ИП '!$M$10</f>
        <v>0</v>
      </c>
      <c r="W85" s="503">
        <f>T85</f>
        <v>0</v>
      </c>
      <c r="X85" s="503">
        <f>U85</f>
        <v>0</v>
      </c>
      <c r="Y85" s="503">
        <f>V85</f>
        <v>0</v>
      </c>
      <c r="Z85" s="504"/>
      <c r="AA85" s="504"/>
      <c r="AB85" s="504"/>
      <c r="AC85" s="504"/>
      <c r="AD85" s="504"/>
    </row>
    <row r="86" spans="1:30" s="505" customFormat="1" ht="41.25" hidden="1" customHeight="1">
      <c r="A86" s="510"/>
      <c r="B86" s="643"/>
      <c r="C86" s="513"/>
      <c r="D86" s="514"/>
      <c r="E86" s="495"/>
      <c r="F86" s="496"/>
      <c r="G86" s="646"/>
      <c r="H86" s="712"/>
      <c r="I86" s="649"/>
      <c r="J86" s="650"/>
      <c r="K86" s="650"/>
      <c r="L86" s="650"/>
      <c r="M86" s="651"/>
      <c r="N86" s="652"/>
      <c r="O86" s="653"/>
      <c r="P86" s="654"/>
      <c r="Q86" s="661"/>
      <c r="R86" s="662"/>
      <c r="S86" s="662"/>
      <c r="T86" s="662"/>
      <c r="U86" s="663"/>
      <c r="V86" s="40"/>
      <c r="W86" s="504"/>
      <c r="X86" s="504"/>
      <c r="Y86" s="504"/>
      <c r="Z86" s="504"/>
      <c r="AA86" s="504"/>
      <c r="AB86" s="504"/>
      <c r="AC86" s="504"/>
      <c r="AD86" s="504"/>
    </row>
    <row r="87" spans="1:30" s="505" customFormat="1" ht="41.25" hidden="1" customHeight="1">
      <c r="A87" s="492"/>
      <c r="B87" s="643"/>
      <c r="C87" s="513"/>
      <c r="D87" s="514"/>
      <c r="E87" s="664" t="s">
        <v>29</v>
      </c>
      <c r="F87" s="665"/>
      <c r="G87" s="665"/>
      <c r="H87" s="665"/>
      <c r="I87" s="665"/>
      <c r="J87" s="665"/>
      <c r="K87" s="665"/>
      <c r="L87" s="665"/>
      <c r="M87" s="666"/>
      <c r="N87" s="655"/>
      <c r="O87" s="656"/>
      <c r="P87" s="657"/>
      <c r="Q87" s="667"/>
      <c r="R87" s="668"/>
      <c r="S87" s="668"/>
      <c r="T87" s="668"/>
      <c r="U87" s="669"/>
      <c r="V87" s="42"/>
      <c r="W87" s="504"/>
      <c r="X87" s="504"/>
      <c r="Y87" s="504"/>
      <c r="Z87" s="504"/>
      <c r="AA87" s="504"/>
      <c r="AB87" s="504"/>
      <c r="AC87" s="504"/>
      <c r="AD87" s="504"/>
    </row>
    <row r="88" spans="1:30" s="488" customFormat="1" ht="41.25" hidden="1" customHeight="1">
      <c r="A88" s="492"/>
      <c r="B88" s="643"/>
      <c r="C88" s="513">
        <v>1010</v>
      </c>
      <c r="D88" s="514"/>
      <c r="E88" s="670" t="s">
        <v>30</v>
      </c>
      <c r="F88" s="670"/>
      <c r="G88" s="670"/>
      <c r="H88" s="670"/>
      <c r="I88" s="670"/>
      <c r="J88" s="670"/>
      <c r="K88" s="670"/>
      <c r="L88" s="498">
        <v>38.788879999999999</v>
      </c>
      <c r="M88" s="459">
        <f>L88</f>
        <v>38.788879999999999</v>
      </c>
      <c r="N88" s="655"/>
      <c r="O88" s="656"/>
      <c r="P88" s="657"/>
      <c r="Q88" s="671"/>
      <c r="R88" s="672"/>
      <c r="S88" s="673"/>
      <c r="T88" s="457">
        <f>H85*M88*N85*O85*P85</f>
        <v>0</v>
      </c>
      <c r="U88" s="458">
        <f>T88</f>
        <v>0</v>
      </c>
      <c r="V88" s="42"/>
      <c r="W88" s="39"/>
      <c r="X88" s="41"/>
      <c r="Y88" s="41"/>
      <c r="Z88" s="43">
        <f>T88</f>
        <v>0</v>
      </c>
      <c r="AA88" s="29"/>
      <c r="AB88" s="29"/>
      <c r="AC88" s="29"/>
      <c r="AD88" s="29"/>
    </row>
    <row r="89" spans="1:30" s="488" customFormat="1" ht="41.25" hidden="1" customHeight="1">
      <c r="A89" s="492"/>
      <c r="B89" s="643"/>
      <c r="C89" s="513"/>
      <c r="D89" s="514"/>
      <c r="E89" s="670" t="s">
        <v>31</v>
      </c>
      <c r="F89" s="670"/>
      <c r="G89" s="670"/>
      <c r="H89" s="670"/>
      <c r="I89" s="670"/>
      <c r="J89" s="670"/>
      <c r="K89" s="670"/>
      <c r="L89" s="498">
        <f>(I85+J85+K85)*2.14%</f>
        <v>5.3078420000000008</v>
      </c>
      <c r="M89" s="459">
        <f>L89</f>
        <v>5.3078420000000008</v>
      </c>
      <c r="N89" s="655"/>
      <c r="O89" s="656"/>
      <c r="P89" s="657"/>
      <c r="Q89" s="671"/>
      <c r="R89" s="672"/>
      <c r="S89" s="673"/>
      <c r="T89" s="457">
        <f>H85*M89*N85*O85*P85</f>
        <v>0</v>
      </c>
      <c r="U89" s="458">
        <f>T89</f>
        <v>0</v>
      </c>
      <c r="V89" s="42"/>
      <c r="W89" s="41"/>
      <c r="X89" s="39"/>
      <c r="Y89" s="41"/>
      <c r="Z89" s="29"/>
      <c r="AA89" s="43">
        <f>T89</f>
        <v>0</v>
      </c>
      <c r="AB89" s="29"/>
      <c r="AC89" s="29"/>
      <c r="AD89" s="29"/>
    </row>
    <row r="90" spans="1:30" s="488" customFormat="1" ht="41.25" hidden="1" customHeight="1">
      <c r="A90" s="492"/>
      <c r="B90" s="643"/>
      <c r="C90" s="515"/>
      <c r="D90" s="514"/>
      <c r="E90" s="670" t="s">
        <v>376</v>
      </c>
      <c r="F90" s="670"/>
      <c r="G90" s="670"/>
      <c r="H90" s="670"/>
      <c r="I90" s="670"/>
      <c r="J90" s="670"/>
      <c r="K90" s="670"/>
      <c r="L90" s="498">
        <f>(I85+J85+K85+L88+L89+L93+L91)*3%</f>
        <v>9.1019016599999976</v>
      </c>
      <c r="M90" s="459">
        <f>L90</f>
        <v>9.1019016599999976</v>
      </c>
      <c r="N90" s="655"/>
      <c r="O90" s="656"/>
      <c r="P90" s="657"/>
      <c r="Q90" s="671"/>
      <c r="R90" s="672"/>
      <c r="S90" s="673"/>
      <c r="T90" s="457">
        <f>H85*M90*N85*O85*P85</f>
        <v>0</v>
      </c>
      <c r="U90" s="458">
        <f>T90</f>
        <v>0</v>
      </c>
      <c r="V90" s="42"/>
      <c r="W90" s="41"/>
      <c r="X90" s="41"/>
      <c r="Y90" s="39"/>
      <c r="Z90" s="29"/>
      <c r="AA90" s="29"/>
      <c r="AB90" s="43">
        <f>T90</f>
        <v>0</v>
      </c>
      <c r="AC90" s="29"/>
      <c r="AD90" s="29"/>
    </row>
    <row r="91" spans="1:30" s="488" customFormat="1" ht="54.75" hidden="1" customHeight="1">
      <c r="A91" s="492"/>
      <c r="B91" s="643"/>
      <c r="C91" s="515"/>
      <c r="D91" s="514"/>
      <c r="E91" s="670" t="s">
        <v>377</v>
      </c>
      <c r="F91" s="670"/>
      <c r="G91" s="670"/>
      <c r="H91" s="670"/>
      <c r="I91" s="670"/>
      <c r="J91" s="670"/>
      <c r="K91" s="670"/>
      <c r="L91" s="498">
        <f>67.486722-K85-L88-L89-L93</f>
        <v>0</v>
      </c>
      <c r="M91" s="459">
        <f>L91</f>
        <v>0</v>
      </c>
      <c r="N91" s="655"/>
      <c r="O91" s="656"/>
      <c r="P91" s="657"/>
      <c r="Q91" s="671"/>
      <c r="R91" s="672"/>
      <c r="S91" s="673"/>
      <c r="T91" s="457">
        <f>H85*M91*N85*O85*P85</f>
        <v>0</v>
      </c>
      <c r="U91" s="458">
        <f>T91</f>
        <v>0</v>
      </c>
      <c r="V91" s="42"/>
      <c r="W91" s="41"/>
      <c r="X91" s="41"/>
      <c r="Y91" s="41"/>
      <c r="Z91" s="44"/>
      <c r="AA91" s="29"/>
      <c r="AB91" s="29"/>
      <c r="AC91" s="44">
        <f>T91</f>
        <v>0</v>
      </c>
      <c r="AD91" s="29"/>
    </row>
    <row r="92" spans="1:30" s="488" customFormat="1" ht="45" hidden="1" customHeight="1">
      <c r="A92" s="492"/>
      <c r="B92" s="643"/>
      <c r="C92" s="515"/>
      <c r="D92" s="514"/>
      <c r="E92" s="674"/>
      <c r="F92" s="675"/>
      <c r="G92" s="675"/>
      <c r="H92" s="675"/>
      <c r="I92" s="675"/>
      <c r="J92" s="675"/>
      <c r="K92" s="675"/>
      <c r="L92" s="675"/>
      <c r="M92" s="676"/>
      <c r="N92" s="655"/>
      <c r="O92" s="656"/>
      <c r="P92" s="657"/>
      <c r="Q92" s="677"/>
      <c r="R92" s="678"/>
      <c r="S92" s="678"/>
      <c r="T92" s="678"/>
      <c r="U92" s="679"/>
      <c r="V92" s="45"/>
      <c r="W92" s="41"/>
      <c r="X92" s="41"/>
      <c r="Y92" s="41"/>
      <c r="Z92" s="29"/>
      <c r="AA92" s="44"/>
      <c r="AB92" s="29"/>
      <c r="AC92" s="29"/>
      <c r="AD92" s="29"/>
    </row>
    <row r="93" spans="1:30" s="488" customFormat="1" ht="42.75" hidden="1" customHeight="1" thickBot="1">
      <c r="A93" s="492"/>
      <c r="B93" s="644"/>
      <c r="C93" s="516"/>
      <c r="D93" s="517"/>
      <c r="E93" s="680" t="s">
        <v>369</v>
      </c>
      <c r="F93" s="680" t="s">
        <v>306</v>
      </c>
      <c r="G93" s="680"/>
      <c r="H93" s="680"/>
      <c r="I93" s="680"/>
      <c r="J93" s="680"/>
      <c r="K93" s="680"/>
      <c r="L93" s="499">
        <f>ROUND((I85+J85+K85+L88)*3.93%,2)</f>
        <v>11.27</v>
      </c>
      <c r="M93" s="46">
        <f>L93</f>
        <v>11.27</v>
      </c>
      <c r="N93" s="658"/>
      <c r="O93" s="659"/>
      <c r="P93" s="660"/>
      <c r="Q93" s="681"/>
      <c r="R93" s="682"/>
      <c r="S93" s="683"/>
      <c r="T93" s="500">
        <f>H85*M93*N85*O85*P85</f>
        <v>0</v>
      </c>
      <c r="U93" s="47">
        <f>T93</f>
        <v>0</v>
      </c>
      <c r="V93" s="48"/>
      <c r="W93" s="41"/>
      <c r="X93" s="41"/>
      <c r="Y93" s="41"/>
      <c r="Z93" s="29"/>
      <c r="AA93" s="29"/>
      <c r="AB93" s="44"/>
      <c r="AC93" s="29"/>
      <c r="AD93" s="44">
        <f>T93</f>
        <v>0</v>
      </c>
    </row>
    <row r="94" spans="1:30" s="68" customFormat="1" ht="150" customHeight="1">
      <c r="A94" s="590"/>
      <c r="B94" s="773">
        <v>2</v>
      </c>
      <c r="C94" s="591">
        <v>10</v>
      </c>
      <c r="D94" s="592"/>
      <c r="E94" s="598" t="s">
        <v>790</v>
      </c>
      <c r="F94" s="599" t="s">
        <v>393</v>
      </c>
      <c r="G94" s="776" t="s">
        <v>357</v>
      </c>
      <c r="H94" s="778">
        <v>0.02</v>
      </c>
      <c r="I94" s="600">
        <v>0</v>
      </c>
      <c r="J94" s="600">
        <v>523.26</v>
      </c>
      <c r="K94" s="600">
        <v>12.12</v>
      </c>
      <c r="L94" s="600">
        <f>SUM(L96:L102)</f>
        <v>92.199640000000002</v>
      </c>
      <c r="M94" s="601">
        <f>SUM(I94:L94)</f>
        <v>627.57964000000004</v>
      </c>
      <c r="N94" s="602">
        <v>1</v>
      </c>
      <c r="O94" s="603">
        <v>1</v>
      </c>
      <c r="P94" s="604">
        <v>1</v>
      </c>
      <c r="Q94" s="605">
        <f>H94*I94*N94*O94*P94</f>
        <v>0</v>
      </c>
      <c r="R94" s="606">
        <f>H94*J94*N94*O94*P94</f>
        <v>10.465199999999999</v>
      </c>
      <c r="S94" s="607">
        <f>H94*K94*N94*O94*P94</f>
        <v>0.24239999999999998</v>
      </c>
      <c r="T94" s="607">
        <f>H94*L94*N94*O94*P94</f>
        <v>1.8439928000000001</v>
      </c>
      <c r="U94" s="604">
        <f>SUM(Q94:T94)</f>
        <v>12.5515928</v>
      </c>
      <c r="V94" s="608">
        <f>(Q94+R94+S94+T98+T99+T100+T102)*'Прогнозная стоимость РСС ИП '!$M$11+T97*'Прогнозная стоимость РСС ИП '!$M$10</f>
        <v>13851.121960547998</v>
      </c>
      <c r="W94" s="39">
        <f>T94</f>
        <v>1.8439928000000001</v>
      </c>
      <c r="X94" s="39">
        <f>U94</f>
        <v>12.5515928</v>
      </c>
      <c r="Y94" s="39">
        <f>V94</f>
        <v>13851.121960547998</v>
      </c>
      <c r="Z94" s="41"/>
      <c r="AA94" s="41"/>
      <c r="AB94" s="41"/>
      <c r="AC94" s="41"/>
      <c r="AD94" s="41"/>
    </row>
    <row r="95" spans="1:30" s="68" customFormat="1" ht="41.25" customHeight="1">
      <c r="A95" s="590"/>
      <c r="B95" s="774"/>
      <c r="C95" s="593"/>
      <c r="D95" s="594"/>
      <c r="E95" s="609"/>
      <c r="F95" s="610"/>
      <c r="G95" s="777"/>
      <c r="H95" s="779"/>
      <c r="I95" s="780"/>
      <c r="J95" s="781"/>
      <c r="K95" s="781"/>
      <c r="L95" s="781"/>
      <c r="M95" s="782"/>
      <c r="N95" s="783"/>
      <c r="O95" s="784"/>
      <c r="P95" s="785"/>
      <c r="Q95" s="792"/>
      <c r="R95" s="793"/>
      <c r="S95" s="793"/>
      <c r="T95" s="793"/>
      <c r="U95" s="794"/>
      <c r="V95" s="611"/>
      <c r="W95" s="41"/>
      <c r="X95" s="41"/>
      <c r="Y95" s="41"/>
      <c r="Z95" s="41"/>
      <c r="AA95" s="41"/>
      <c r="AB95" s="41"/>
      <c r="AC95" s="41"/>
      <c r="AD95" s="41"/>
    </row>
    <row r="96" spans="1:30" s="68" customFormat="1" ht="41.25" customHeight="1">
      <c r="A96" s="590"/>
      <c r="B96" s="774"/>
      <c r="C96" s="593"/>
      <c r="D96" s="594"/>
      <c r="E96" s="795" t="s">
        <v>29</v>
      </c>
      <c r="F96" s="796"/>
      <c r="G96" s="796"/>
      <c r="H96" s="796"/>
      <c r="I96" s="796"/>
      <c r="J96" s="796"/>
      <c r="K96" s="796"/>
      <c r="L96" s="796"/>
      <c r="M96" s="797"/>
      <c r="N96" s="786"/>
      <c r="O96" s="787"/>
      <c r="P96" s="788"/>
      <c r="Q96" s="798"/>
      <c r="R96" s="799"/>
      <c r="S96" s="799"/>
      <c r="T96" s="799"/>
      <c r="U96" s="800"/>
      <c r="V96" s="612"/>
      <c r="W96" s="41"/>
      <c r="X96" s="41"/>
      <c r="Y96" s="41"/>
      <c r="Z96" s="41"/>
      <c r="AA96" s="41"/>
      <c r="AB96" s="41"/>
      <c r="AC96" s="41"/>
      <c r="AD96" s="41"/>
    </row>
    <row r="97" spans="1:30" s="68" customFormat="1" ht="41.25" customHeight="1">
      <c r="A97" s="590"/>
      <c r="B97" s="774"/>
      <c r="C97" s="593">
        <v>1010</v>
      </c>
      <c r="D97" s="594"/>
      <c r="E97" s="801" t="s">
        <v>30</v>
      </c>
      <c r="F97" s="801"/>
      <c r="G97" s="801"/>
      <c r="H97" s="801"/>
      <c r="I97" s="801"/>
      <c r="J97" s="801"/>
      <c r="K97" s="801"/>
      <c r="L97" s="613">
        <v>39.859639999999999</v>
      </c>
      <c r="M97" s="456">
        <f>L97</f>
        <v>39.859639999999999</v>
      </c>
      <c r="N97" s="786"/>
      <c r="O97" s="787"/>
      <c r="P97" s="788"/>
      <c r="Q97" s="802"/>
      <c r="R97" s="803"/>
      <c r="S97" s="804"/>
      <c r="T97" s="614">
        <f>H94*M97*N94*O94*P94</f>
        <v>0.79719280000000003</v>
      </c>
      <c r="U97" s="615">
        <f>T97</f>
        <v>0.79719280000000003</v>
      </c>
      <c r="V97" s="612"/>
      <c r="W97" s="39"/>
      <c r="X97" s="41"/>
      <c r="Y97" s="41"/>
      <c r="Z97" s="39">
        <f>T97</f>
        <v>0.79719280000000003</v>
      </c>
      <c r="AA97" s="41"/>
      <c r="AB97" s="41"/>
      <c r="AC97" s="41"/>
      <c r="AD97" s="41"/>
    </row>
    <row r="98" spans="1:30" s="68" customFormat="1" ht="41.25" customHeight="1">
      <c r="A98" s="590"/>
      <c r="B98" s="774"/>
      <c r="C98" s="593"/>
      <c r="D98" s="594"/>
      <c r="E98" s="801" t="s">
        <v>31</v>
      </c>
      <c r="F98" s="801"/>
      <c r="G98" s="801"/>
      <c r="H98" s="801"/>
      <c r="I98" s="801"/>
      <c r="J98" s="801"/>
      <c r="K98" s="801"/>
      <c r="L98" s="613">
        <f>ROUND((I94+J94+K94)*2.14%,2)</f>
        <v>11.46</v>
      </c>
      <c r="M98" s="456">
        <f>L98</f>
        <v>11.46</v>
      </c>
      <c r="N98" s="786"/>
      <c r="O98" s="787"/>
      <c r="P98" s="788"/>
      <c r="Q98" s="802"/>
      <c r="R98" s="803"/>
      <c r="S98" s="804"/>
      <c r="T98" s="614">
        <f>H94*M98*N94*O94*P94</f>
        <v>0.22920000000000001</v>
      </c>
      <c r="U98" s="615">
        <f>T98</f>
        <v>0.22920000000000001</v>
      </c>
      <c r="V98" s="612"/>
      <c r="W98" s="41"/>
      <c r="X98" s="39"/>
      <c r="Y98" s="41"/>
      <c r="Z98" s="41"/>
      <c r="AA98" s="39">
        <f>T98</f>
        <v>0.22920000000000001</v>
      </c>
      <c r="AB98" s="41"/>
      <c r="AC98" s="41"/>
      <c r="AD98" s="41"/>
    </row>
    <row r="99" spans="1:30" s="68" customFormat="1" ht="41.25" customHeight="1">
      <c r="A99" s="590"/>
      <c r="B99" s="774"/>
      <c r="C99" s="595"/>
      <c r="D99" s="594"/>
      <c r="E99" s="801" t="s">
        <v>376</v>
      </c>
      <c r="F99" s="801"/>
      <c r="G99" s="801"/>
      <c r="H99" s="801"/>
      <c r="I99" s="801"/>
      <c r="J99" s="801"/>
      <c r="K99" s="801"/>
      <c r="L99" s="613">
        <f>ROUND((I94+J94+K94+L97+L98+L102)*3%,2)-0.01</f>
        <v>18.27</v>
      </c>
      <c r="M99" s="456">
        <f>L99</f>
        <v>18.27</v>
      </c>
      <c r="N99" s="786"/>
      <c r="O99" s="787"/>
      <c r="P99" s="788"/>
      <c r="Q99" s="802"/>
      <c r="R99" s="803"/>
      <c r="S99" s="804"/>
      <c r="T99" s="614">
        <f>H94*M99*N94*O94*P94</f>
        <v>0.3654</v>
      </c>
      <c r="U99" s="615">
        <f>T99</f>
        <v>0.3654</v>
      </c>
      <c r="V99" s="612"/>
      <c r="W99" s="41"/>
      <c r="X99" s="41"/>
      <c r="Y99" s="39"/>
      <c r="Z99" s="41"/>
      <c r="AA99" s="41"/>
      <c r="AB99" s="39">
        <f>T99</f>
        <v>0.3654</v>
      </c>
      <c r="AC99" s="41"/>
      <c r="AD99" s="41"/>
    </row>
    <row r="100" spans="1:30" s="68" customFormat="1" ht="54.75" customHeight="1">
      <c r="A100" s="590"/>
      <c r="B100" s="774"/>
      <c r="C100" s="595"/>
      <c r="D100" s="594"/>
      <c r="E100" s="801" t="s">
        <v>377</v>
      </c>
      <c r="F100" s="801"/>
      <c r="G100" s="801"/>
      <c r="H100" s="801"/>
      <c r="I100" s="801"/>
      <c r="J100" s="801"/>
      <c r="K100" s="801"/>
      <c r="L100" s="613">
        <f>86.04964-K94-L97-L98-L102</f>
        <v>0</v>
      </c>
      <c r="M100" s="456">
        <f>L100</f>
        <v>0</v>
      </c>
      <c r="N100" s="786"/>
      <c r="O100" s="787"/>
      <c r="P100" s="788"/>
      <c r="Q100" s="802"/>
      <c r="R100" s="803"/>
      <c r="S100" s="804"/>
      <c r="T100" s="614">
        <f>H94*M100*N94*O94*P94</f>
        <v>0</v>
      </c>
      <c r="U100" s="615">
        <f>T100</f>
        <v>0</v>
      </c>
      <c r="V100" s="612"/>
      <c r="W100" s="41"/>
      <c r="X100" s="41"/>
      <c r="Y100" s="41"/>
      <c r="Z100" s="616"/>
      <c r="AA100" s="41"/>
      <c r="AB100" s="41"/>
      <c r="AC100" s="616">
        <f>T100</f>
        <v>0</v>
      </c>
      <c r="AD100" s="41"/>
    </row>
    <row r="101" spans="1:30" s="68" customFormat="1" ht="45" customHeight="1">
      <c r="A101" s="590"/>
      <c r="B101" s="774"/>
      <c r="C101" s="595"/>
      <c r="D101" s="594"/>
      <c r="E101" s="805"/>
      <c r="F101" s="806"/>
      <c r="G101" s="806"/>
      <c r="H101" s="806"/>
      <c r="I101" s="806"/>
      <c r="J101" s="806"/>
      <c r="K101" s="806"/>
      <c r="L101" s="806"/>
      <c r="M101" s="807"/>
      <c r="N101" s="786"/>
      <c r="O101" s="787"/>
      <c r="P101" s="788"/>
      <c r="Q101" s="808"/>
      <c r="R101" s="809"/>
      <c r="S101" s="809"/>
      <c r="T101" s="809"/>
      <c r="U101" s="810"/>
      <c r="V101" s="617"/>
      <c r="W101" s="41"/>
      <c r="X101" s="41"/>
      <c r="Y101" s="41"/>
      <c r="Z101" s="41"/>
      <c r="AA101" s="616"/>
      <c r="AB101" s="41"/>
      <c r="AC101" s="41"/>
      <c r="AD101" s="41"/>
    </row>
    <row r="102" spans="1:30" s="68" customFormat="1" ht="42.75" customHeight="1" thickBot="1">
      <c r="A102" s="590"/>
      <c r="B102" s="775"/>
      <c r="C102" s="596"/>
      <c r="D102" s="597"/>
      <c r="E102" s="811" t="s">
        <v>369</v>
      </c>
      <c r="F102" s="811" t="s">
        <v>306</v>
      </c>
      <c r="G102" s="811"/>
      <c r="H102" s="811"/>
      <c r="I102" s="811"/>
      <c r="J102" s="811"/>
      <c r="K102" s="811"/>
      <c r="L102" s="618">
        <f>ROUND((I94+J94+K94+L97)*3.93%,2)</f>
        <v>22.61</v>
      </c>
      <c r="M102" s="619">
        <f>L102</f>
        <v>22.61</v>
      </c>
      <c r="N102" s="789"/>
      <c r="O102" s="790"/>
      <c r="P102" s="791"/>
      <c r="Q102" s="812"/>
      <c r="R102" s="813"/>
      <c r="S102" s="814"/>
      <c r="T102" s="620">
        <f>H94*M102*N94*O94*P94</f>
        <v>0.45219999999999999</v>
      </c>
      <c r="U102" s="621">
        <f>T102</f>
        <v>0.45219999999999999</v>
      </c>
      <c r="V102" s="622"/>
      <c r="W102" s="41"/>
      <c r="X102" s="41"/>
      <c r="Y102" s="41"/>
      <c r="Z102" s="41"/>
      <c r="AA102" s="41"/>
      <c r="AB102" s="616"/>
      <c r="AC102" s="41"/>
      <c r="AD102" s="616">
        <f>T102</f>
        <v>0.45219999999999999</v>
      </c>
    </row>
    <row r="103" spans="1:30" s="505" customFormat="1" ht="150" hidden="1" customHeight="1">
      <c r="A103" s="492"/>
      <c r="B103" s="642">
        <v>2</v>
      </c>
      <c r="C103" s="511">
        <v>10</v>
      </c>
      <c r="D103" s="512"/>
      <c r="E103" s="493" t="s">
        <v>394</v>
      </c>
      <c r="F103" s="487" t="s">
        <v>395</v>
      </c>
      <c r="G103" s="645" t="s">
        <v>357</v>
      </c>
      <c r="H103" s="712">
        <v>0</v>
      </c>
      <c r="I103" s="494">
        <v>0</v>
      </c>
      <c r="J103" s="494">
        <v>546.01</v>
      </c>
      <c r="K103" s="494">
        <v>12.12</v>
      </c>
      <c r="L103" s="494">
        <f>SUM(L105:L111)</f>
        <v>94.345139999999986</v>
      </c>
      <c r="M103" s="33">
        <f>SUM(I103:L103)</f>
        <v>652.47514000000001</v>
      </c>
      <c r="N103" s="501">
        <v>1</v>
      </c>
      <c r="O103" s="502">
        <v>1</v>
      </c>
      <c r="P103" s="37">
        <v>1</v>
      </c>
      <c r="Q103" s="34">
        <f>H103*I103*N103*O103*P103</f>
        <v>0</v>
      </c>
      <c r="R103" s="35">
        <f>H103*J103*N103*O103*P103</f>
        <v>0</v>
      </c>
      <c r="S103" s="36">
        <f>H103*K103*N103*O103*P103</f>
        <v>0</v>
      </c>
      <c r="T103" s="36">
        <f>H103*L103*N103*O103*P103</f>
        <v>0</v>
      </c>
      <c r="U103" s="37">
        <f>SUM(Q103:T103)</f>
        <v>0</v>
      </c>
      <c r="V103" s="38">
        <f>(Q103+R103+S103+T107+T108+T109+T111)*'Прогнозная стоимость РСС ИП '!$M$11+T106*'Прогнозная стоимость РСС ИП '!$M$10</f>
        <v>0</v>
      </c>
      <c r="W103" s="503">
        <f>T103</f>
        <v>0</v>
      </c>
      <c r="X103" s="503">
        <f>U103</f>
        <v>0</v>
      </c>
      <c r="Y103" s="503">
        <f>V103</f>
        <v>0</v>
      </c>
      <c r="Z103" s="504"/>
      <c r="AA103" s="504"/>
      <c r="AB103" s="504"/>
      <c r="AC103" s="504"/>
      <c r="AD103" s="504"/>
    </row>
    <row r="104" spans="1:30" s="505" customFormat="1" ht="41.25" hidden="1" customHeight="1">
      <c r="A104" s="492"/>
      <c r="B104" s="643"/>
      <c r="C104" s="513"/>
      <c r="D104" s="514"/>
      <c r="E104" s="495"/>
      <c r="F104" s="496"/>
      <c r="G104" s="646"/>
      <c r="H104" s="713"/>
      <c r="I104" s="649"/>
      <c r="J104" s="650"/>
      <c r="K104" s="650"/>
      <c r="L104" s="650"/>
      <c r="M104" s="651"/>
      <c r="N104" s="652"/>
      <c r="O104" s="653"/>
      <c r="P104" s="654"/>
      <c r="Q104" s="661"/>
      <c r="R104" s="662"/>
      <c r="S104" s="662"/>
      <c r="T104" s="662"/>
      <c r="U104" s="663"/>
      <c r="V104" s="40"/>
      <c r="W104" s="504"/>
      <c r="X104" s="504"/>
      <c r="Y104" s="504"/>
      <c r="Z104" s="504"/>
      <c r="AA104" s="504"/>
      <c r="AB104" s="504"/>
      <c r="AC104" s="504"/>
      <c r="AD104" s="504"/>
    </row>
    <row r="105" spans="1:30" s="505" customFormat="1" ht="41.25" hidden="1" customHeight="1">
      <c r="A105" s="492"/>
      <c r="B105" s="643"/>
      <c r="C105" s="513"/>
      <c r="D105" s="514"/>
      <c r="E105" s="664" t="s">
        <v>29</v>
      </c>
      <c r="F105" s="665"/>
      <c r="G105" s="665"/>
      <c r="H105" s="665"/>
      <c r="I105" s="665"/>
      <c r="J105" s="665"/>
      <c r="K105" s="665"/>
      <c r="L105" s="665"/>
      <c r="M105" s="666"/>
      <c r="N105" s="655"/>
      <c r="O105" s="656"/>
      <c r="P105" s="657"/>
      <c r="Q105" s="667"/>
      <c r="R105" s="668"/>
      <c r="S105" s="668"/>
      <c r="T105" s="668"/>
      <c r="U105" s="669"/>
      <c r="V105" s="42"/>
      <c r="W105" s="504"/>
      <c r="X105" s="504"/>
      <c r="Y105" s="504"/>
      <c r="Z105" s="504"/>
      <c r="AA105" s="504"/>
      <c r="AB105" s="504"/>
      <c r="AC105" s="504"/>
      <c r="AD105" s="504"/>
    </row>
    <row r="106" spans="1:30" s="505" customFormat="1" ht="41.25" hidden="1" customHeight="1">
      <c r="A106" s="492"/>
      <c r="B106" s="643"/>
      <c r="C106" s="513">
        <v>1010</v>
      </c>
      <c r="D106" s="514"/>
      <c r="E106" s="670" t="s">
        <v>30</v>
      </c>
      <c r="F106" s="670"/>
      <c r="G106" s="670"/>
      <c r="H106" s="670"/>
      <c r="I106" s="670"/>
      <c r="J106" s="670"/>
      <c r="K106" s="670"/>
      <c r="L106" s="498">
        <v>39.905139999999996</v>
      </c>
      <c r="M106" s="459">
        <f>L106</f>
        <v>39.905139999999996</v>
      </c>
      <c r="N106" s="655"/>
      <c r="O106" s="656"/>
      <c r="P106" s="657"/>
      <c r="Q106" s="671"/>
      <c r="R106" s="672"/>
      <c r="S106" s="673"/>
      <c r="T106" s="457">
        <f>H103*M106*N103*O103*P103</f>
        <v>0</v>
      </c>
      <c r="U106" s="458">
        <f>T106</f>
        <v>0</v>
      </c>
      <c r="V106" s="42"/>
      <c r="W106" s="503"/>
      <c r="X106" s="504"/>
      <c r="Y106" s="504"/>
      <c r="Z106" s="503">
        <f>T106</f>
        <v>0</v>
      </c>
      <c r="AA106" s="504"/>
      <c r="AB106" s="504"/>
      <c r="AC106" s="504"/>
      <c r="AD106" s="504"/>
    </row>
    <row r="107" spans="1:30" s="505" customFormat="1" ht="41.25" hidden="1" customHeight="1">
      <c r="A107" s="492"/>
      <c r="B107" s="643"/>
      <c r="C107" s="513"/>
      <c r="D107" s="514"/>
      <c r="E107" s="670" t="s">
        <v>31</v>
      </c>
      <c r="F107" s="670"/>
      <c r="G107" s="670"/>
      <c r="H107" s="670"/>
      <c r="I107" s="670"/>
      <c r="J107" s="670"/>
      <c r="K107" s="670"/>
      <c r="L107" s="498">
        <f>ROUND((I103+J103+K103)*2.14%,2)</f>
        <v>11.94</v>
      </c>
      <c r="M107" s="459">
        <f>L107</f>
        <v>11.94</v>
      </c>
      <c r="N107" s="655"/>
      <c r="O107" s="656"/>
      <c r="P107" s="657"/>
      <c r="Q107" s="671"/>
      <c r="R107" s="672"/>
      <c r="S107" s="673"/>
      <c r="T107" s="457">
        <f>H103*M107*N103*O103*P103</f>
        <v>0</v>
      </c>
      <c r="U107" s="458">
        <f>T107</f>
        <v>0</v>
      </c>
      <c r="V107" s="42"/>
      <c r="W107" s="504"/>
      <c r="X107" s="503"/>
      <c r="Y107" s="504"/>
      <c r="Z107" s="504"/>
      <c r="AA107" s="503">
        <f>T107</f>
        <v>0</v>
      </c>
      <c r="AB107" s="504"/>
      <c r="AC107" s="504"/>
      <c r="AD107" s="504"/>
    </row>
    <row r="108" spans="1:30" s="505" customFormat="1" ht="41.25" hidden="1" customHeight="1">
      <c r="A108" s="492"/>
      <c r="B108" s="643"/>
      <c r="C108" s="515"/>
      <c r="D108" s="514"/>
      <c r="E108" s="670" t="s">
        <v>376</v>
      </c>
      <c r="F108" s="670"/>
      <c r="G108" s="670"/>
      <c r="H108" s="670"/>
      <c r="I108" s="670"/>
      <c r="J108" s="670"/>
      <c r="K108" s="670"/>
      <c r="L108" s="498">
        <f>ROUND((I103+J103+K103+L106+L107+L111)*3%,2)</f>
        <v>19</v>
      </c>
      <c r="M108" s="459">
        <f>L108</f>
        <v>19</v>
      </c>
      <c r="N108" s="655"/>
      <c r="O108" s="656"/>
      <c r="P108" s="657"/>
      <c r="Q108" s="671"/>
      <c r="R108" s="672"/>
      <c r="S108" s="673"/>
      <c r="T108" s="457">
        <f>H103*M108*N103*O103*P103</f>
        <v>0</v>
      </c>
      <c r="U108" s="458">
        <f>T108</f>
        <v>0</v>
      </c>
      <c r="V108" s="42"/>
      <c r="W108" s="504"/>
      <c r="X108" s="504"/>
      <c r="Y108" s="503"/>
      <c r="Z108" s="504"/>
      <c r="AA108" s="504"/>
      <c r="AB108" s="503">
        <f>T108</f>
        <v>0</v>
      </c>
      <c r="AC108" s="504"/>
      <c r="AD108" s="504"/>
    </row>
    <row r="109" spans="1:30" s="505" customFormat="1" ht="54.75" hidden="1" customHeight="1">
      <c r="A109" s="492"/>
      <c r="B109" s="643"/>
      <c r="C109" s="515"/>
      <c r="D109" s="514"/>
      <c r="E109" s="670" t="s">
        <v>377</v>
      </c>
      <c r="F109" s="670"/>
      <c r="G109" s="670"/>
      <c r="H109" s="670"/>
      <c r="I109" s="670"/>
      <c r="J109" s="670"/>
      <c r="K109" s="670"/>
      <c r="L109" s="498">
        <f>87.46514-K103-L106-L107-L111</f>
        <v>0</v>
      </c>
      <c r="M109" s="459">
        <f>L109</f>
        <v>0</v>
      </c>
      <c r="N109" s="655"/>
      <c r="O109" s="656"/>
      <c r="P109" s="657"/>
      <c r="Q109" s="671"/>
      <c r="R109" s="672"/>
      <c r="S109" s="673"/>
      <c r="T109" s="457">
        <f>H103*M109*N103*O103*P103</f>
        <v>0</v>
      </c>
      <c r="U109" s="458">
        <f>T109</f>
        <v>0</v>
      </c>
      <c r="V109" s="42"/>
      <c r="W109" s="504"/>
      <c r="X109" s="504"/>
      <c r="Y109" s="504"/>
      <c r="Z109" s="506"/>
      <c r="AA109" s="504"/>
      <c r="AB109" s="504"/>
      <c r="AC109" s="506">
        <f>T109</f>
        <v>0</v>
      </c>
      <c r="AD109" s="504"/>
    </row>
    <row r="110" spans="1:30" s="505" customFormat="1" ht="45" hidden="1" customHeight="1">
      <c r="A110" s="492"/>
      <c r="B110" s="643"/>
      <c r="C110" s="515"/>
      <c r="D110" s="514"/>
      <c r="E110" s="674"/>
      <c r="F110" s="675"/>
      <c r="G110" s="675"/>
      <c r="H110" s="675"/>
      <c r="I110" s="675"/>
      <c r="J110" s="675"/>
      <c r="K110" s="675"/>
      <c r="L110" s="675"/>
      <c r="M110" s="676"/>
      <c r="N110" s="655"/>
      <c r="O110" s="656"/>
      <c r="P110" s="657"/>
      <c r="Q110" s="677"/>
      <c r="R110" s="678"/>
      <c r="S110" s="678"/>
      <c r="T110" s="678"/>
      <c r="U110" s="679"/>
      <c r="V110" s="45"/>
      <c r="W110" s="504"/>
      <c r="X110" s="504"/>
      <c r="Y110" s="504"/>
      <c r="Z110" s="504"/>
      <c r="AA110" s="506"/>
      <c r="AB110" s="504"/>
      <c r="AC110" s="504"/>
      <c r="AD110" s="504"/>
    </row>
    <row r="111" spans="1:30" s="505" customFormat="1" ht="40.5" hidden="1" customHeight="1" thickBot="1">
      <c r="A111" s="492"/>
      <c r="B111" s="644"/>
      <c r="C111" s="516"/>
      <c r="D111" s="517"/>
      <c r="E111" s="680" t="s">
        <v>369</v>
      </c>
      <c r="F111" s="680" t="s">
        <v>306</v>
      </c>
      <c r="G111" s="680"/>
      <c r="H111" s="680"/>
      <c r="I111" s="680"/>
      <c r="J111" s="680"/>
      <c r="K111" s="680"/>
      <c r="L111" s="499">
        <f>ROUND((I103+J103+K103+L106)*3.93%,2)</f>
        <v>23.5</v>
      </c>
      <c r="M111" s="46">
        <f>L111</f>
        <v>23.5</v>
      </c>
      <c r="N111" s="658"/>
      <c r="O111" s="659"/>
      <c r="P111" s="660"/>
      <c r="Q111" s="681"/>
      <c r="R111" s="682"/>
      <c r="S111" s="683"/>
      <c r="T111" s="500">
        <f>H103*M111*N103*O103*P103</f>
        <v>0</v>
      </c>
      <c r="U111" s="47">
        <f>T111</f>
        <v>0</v>
      </c>
      <c r="V111" s="48"/>
      <c r="W111" s="504"/>
      <c r="X111" s="504"/>
      <c r="Y111" s="504"/>
      <c r="Z111" s="504"/>
      <c r="AA111" s="504"/>
      <c r="AB111" s="506"/>
      <c r="AC111" s="504"/>
      <c r="AD111" s="506">
        <f>T111</f>
        <v>0</v>
      </c>
    </row>
    <row r="112" spans="1:30" s="505" customFormat="1" ht="150" hidden="1" customHeight="1">
      <c r="A112" s="492"/>
      <c r="B112" s="642">
        <v>2</v>
      </c>
      <c r="C112" s="511">
        <v>10</v>
      </c>
      <c r="D112" s="512"/>
      <c r="E112" s="493" t="s">
        <v>396</v>
      </c>
      <c r="F112" s="487" t="s">
        <v>397</v>
      </c>
      <c r="G112" s="645" t="s">
        <v>357</v>
      </c>
      <c r="H112" s="712">
        <v>0</v>
      </c>
      <c r="I112" s="494">
        <v>0</v>
      </c>
      <c r="J112" s="494">
        <v>633.3599999999999</v>
      </c>
      <c r="K112" s="494">
        <v>12.12</v>
      </c>
      <c r="L112" s="494">
        <f>SUM(L114:L120)</f>
        <v>102.61984</v>
      </c>
      <c r="M112" s="33">
        <f>SUM(I112:L112)</f>
        <v>748.09983999999986</v>
      </c>
      <c r="N112" s="501">
        <v>1</v>
      </c>
      <c r="O112" s="502">
        <v>1</v>
      </c>
      <c r="P112" s="37">
        <v>1</v>
      </c>
      <c r="Q112" s="34">
        <f>H112*I112*N112*O112*P112</f>
        <v>0</v>
      </c>
      <c r="R112" s="35">
        <f>H112*J112*N112*O112*P112</f>
        <v>0</v>
      </c>
      <c r="S112" s="36">
        <f>H112*K112*N112*O112*P112</f>
        <v>0</v>
      </c>
      <c r="T112" s="36">
        <f>H112*L112*N112*O112*P112</f>
        <v>0</v>
      </c>
      <c r="U112" s="37">
        <f>SUM(Q112:T112)</f>
        <v>0</v>
      </c>
      <c r="V112" s="38">
        <f>(Q112+R112+S112+T116+T117+T118+T120)*'Прогнозная стоимость РСС ИП '!$M$11+T115*'Прогнозная стоимость РСС ИП '!$M$10</f>
        <v>0</v>
      </c>
      <c r="W112" s="503">
        <f>T112</f>
        <v>0</v>
      </c>
      <c r="X112" s="503">
        <f>U112</f>
        <v>0</v>
      </c>
      <c r="Y112" s="503">
        <f>V112</f>
        <v>0</v>
      </c>
      <c r="Z112" s="504"/>
      <c r="AA112" s="504"/>
      <c r="AB112" s="504"/>
      <c r="AC112" s="504"/>
      <c r="AD112" s="504"/>
    </row>
    <row r="113" spans="1:30" s="505" customFormat="1" ht="41.25" hidden="1" customHeight="1">
      <c r="A113" s="492"/>
      <c r="B113" s="643"/>
      <c r="C113" s="513"/>
      <c r="D113" s="514"/>
      <c r="E113" s="495"/>
      <c r="F113" s="496"/>
      <c r="G113" s="646"/>
      <c r="H113" s="713"/>
      <c r="I113" s="649"/>
      <c r="J113" s="650"/>
      <c r="K113" s="650"/>
      <c r="L113" s="650"/>
      <c r="M113" s="651"/>
      <c r="N113" s="652"/>
      <c r="O113" s="653"/>
      <c r="P113" s="654"/>
      <c r="Q113" s="661"/>
      <c r="R113" s="662"/>
      <c r="S113" s="662"/>
      <c r="T113" s="662"/>
      <c r="U113" s="663"/>
      <c r="V113" s="40"/>
      <c r="W113" s="504"/>
      <c r="X113" s="504"/>
      <c r="Y113" s="504"/>
      <c r="Z113" s="504"/>
      <c r="AA113" s="504"/>
      <c r="AB113" s="504"/>
      <c r="AC113" s="504"/>
      <c r="AD113" s="504"/>
    </row>
    <row r="114" spans="1:30" s="505" customFormat="1" ht="41.25" hidden="1" customHeight="1">
      <c r="A114" s="492"/>
      <c r="B114" s="643"/>
      <c r="C114" s="513"/>
      <c r="D114" s="514"/>
      <c r="E114" s="664" t="s">
        <v>29</v>
      </c>
      <c r="F114" s="665"/>
      <c r="G114" s="665"/>
      <c r="H114" s="665"/>
      <c r="I114" s="665"/>
      <c r="J114" s="665"/>
      <c r="K114" s="665"/>
      <c r="L114" s="665"/>
      <c r="M114" s="666"/>
      <c r="N114" s="655"/>
      <c r="O114" s="656"/>
      <c r="P114" s="657"/>
      <c r="Q114" s="667"/>
      <c r="R114" s="668"/>
      <c r="S114" s="668"/>
      <c r="T114" s="668"/>
      <c r="U114" s="669"/>
      <c r="V114" s="42"/>
      <c r="W114" s="504"/>
      <c r="X114" s="504"/>
      <c r="Y114" s="504"/>
      <c r="Z114" s="504"/>
      <c r="AA114" s="504"/>
      <c r="AB114" s="504"/>
      <c r="AC114" s="504"/>
      <c r="AD114" s="504"/>
    </row>
    <row r="115" spans="1:30" s="505" customFormat="1" ht="41.25" hidden="1" customHeight="1">
      <c r="A115" s="492"/>
      <c r="B115" s="643"/>
      <c r="C115" s="513">
        <v>1010</v>
      </c>
      <c r="D115" s="514"/>
      <c r="E115" s="670" t="s">
        <v>30</v>
      </c>
      <c r="F115" s="670"/>
      <c r="G115" s="670"/>
      <c r="H115" s="670"/>
      <c r="I115" s="670"/>
      <c r="J115" s="670"/>
      <c r="K115" s="670"/>
      <c r="L115" s="498">
        <v>40.079839999999997</v>
      </c>
      <c r="M115" s="459">
        <f>L115</f>
        <v>40.079839999999997</v>
      </c>
      <c r="N115" s="655"/>
      <c r="O115" s="656"/>
      <c r="P115" s="657"/>
      <c r="Q115" s="671"/>
      <c r="R115" s="672"/>
      <c r="S115" s="673"/>
      <c r="T115" s="457">
        <f>H112*M115*N112*O112*P112</f>
        <v>0</v>
      </c>
      <c r="U115" s="458">
        <f>T115</f>
        <v>0</v>
      </c>
      <c r="V115" s="42"/>
      <c r="W115" s="503"/>
      <c r="X115" s="504"/>
      <c r="Y115" s="504"/>
      <c r="Z115" s="503">
        <f>T115</f>
        <v>0</v>
      </c>
      <c r="AA115" s="504"/>
      <c r="AB115" s="504"/>
      <c r="AC115" s="504"/>
      <c r="AD115" s="504"/>
    </row>
    <row r="116" spans="1:30" s="505" customFormat="1" ht="41.25" hidden="1" customHeight="1">
      <c r="A116" s="492"/>
      <c r="B116" s="643"/>
      <c r="C116" s="513"/>
      <c r="D116" s="514"/>
      <c r="E116" s="670" t="s">
        <v>31</v>
      </c>
      <c r="F116" s="670"/>
      <c r="G116" s="670"/>
      <c r="H116" s="670"/>
      <c r="I116" s="670"/>
      <c r="J116" s="670"/>
      <c r="K116" s="670"/>
      <c r="L116" s="498">
        <f>ROUND((I112+J112+K112)*2.14%,2)</f>
        <v>13.81</v>
      </c>
      <c r="M116" s="459">
        <f>L116</f>
        <v>13.81</v>
      </c>
      <c r="N116" s="655"/>
      <c r="O116" s="656"/>
      <c r="P116" s="657"/>
      <c r="Q116" s="671"/>
      <c r="R116" s="672"/>
      <c r="S116" s="673"/>
      <c r="T116" s="457">
        <f>H112*M116*N112*O112*P112</f>
        <v>0</v>
      </c>
      <c r="U116" s="458">
        <f>T116</f>
        <v>0</v>
      </c>
      <c r="V116" s="42"/>
      <c r="W116" s="504"/>
      <c r="X116" s="503"/>
      <c r="Y116" s="504"/>
      <c r="Z116" s="504"/>
      <c r="AA116" s="503">
        <f>T116</f>
        <v>0</v>
      </c>
      <c r="AB116" s="504"/>
      <c r="AC116" s="504"/>
      <c r="AD116" s="504"/>
    </row>
    <row r="117" spans="1:30" s="505" customFormat="1" ht="41.25" hidden="1" customHeight="1">
      <c r="A117" s="492"/>
      <c r="B117" s="643"/>
      <c r="C117" s="515"/>
      <c r="D117" s="514"/>
      <c r="E117" s="670" t="s">
        <v>376</v>
      </c>
      <c r="F117" s="670"/>
      <c r="G117" s="670"/>
      <c r="H117" s="670"/>
      <c r="I117" s="670"/>
      <c r="J117" s="670"/>
      <c r="K117" s="670"/>
      <c r="L117" s="498">
        <f>ROUND((I112+J112+K112+L115+L116+L120)*3%,2)</f>
        <v>21.79</v>
      </c>
      <c r="M117" s="459">
        <f>L117</f>
        <v>21.79</v>
      </c>
      <c r="N117" s="655"/>
      <c r="O117" s="656"/>
      <c r="P117" s="657"/>
      <c r="Q117" s="671"/>
      <c r="R117" s="672"/>
      <c r="S117" s="673"/>
      <c r="T117" s="457">
        <f>H112*M117*N112*O112*P112</f>
        <v>0</v>
      </c>
      <c r="U117" s="458">
        <f>T117</f>
        <v>0</v>
      </c>
      <c r="V117" s="42"/>
      <c r="W117" s="504"/>
      <c r="X117" s="504"/>
      <c r="Y117" s="503"/>
      <c r="Z117" s="504"/>
      <c r="AA117" s="504"/>
      <c r="AB117" s="503">
        <f>T117</f>
        <v>0</v>
      </c>
      <c r="AC117" s="504"/>
      <c r="AD117" s="504"/>
    </row>
    <row r="118" spans="1:30" s="505" customFormat="1" ht="54.75" hidden="1" customHeight="1">
      <c r="A118" s="492"/>
      <c r="B118" s="643"/>
      <c r="C118" s="515"/>
      <c r="D118" s="514"/>
      <c r="E118" s="670" t="s">
        <v>377</v>
      </c>
      <c r="F118" s="670"/>
      <c r="G118" s="670"/>
      <c r="H118" s="670"/>
      <c r="I118" s="670"/>
      <c r="J118" s="670"/>
      <c r="K118" s="670"/>
      <c r="L118" s="498">
        <f>92.94984-K112-L115-L116-L120</f>
        <v>0</v>
      </c>
      <c r="M118" s="459">
        <f>L118</f>
        <v>0</v>
      </c>
      <c r="N118" s="655"/>
      <c r="O118" s="656"/>
      <c r="P118" s="657"/>
      <c r="Q118" s="671"/>
      <c r="R118" s="672"/>
      <c r="S118" s="673"/>
      <c r="T118" s="457">
        <f>H112*M118*N112*O112*P112</f>
        <v>0</v>
      </c>
      <c r="U118" s="458">
        <f>T118</f>
        <v>0</v>
      </c>
      <c r="V118" s="42"/>
      <c r="W118" s="504"/>
      <c r="X118" s="504"/>
      <c r="Y118" s="504"/>
      <c r="Z118" s="506"/>
      <c r="AA118" s="504"/>
      <c r="AB118" s="504"/>
      <c r="AC118" s="506">
        <f>T118</f>
        <v>0</v>
      </c>
      <c r="AD118" s="504"/>
    </row>
    <row r="119" spans="1:30" s="505" customFormat="1" ht="45" hidden="1" customHeight="1">
      <c r="A119" s="492"/>
      <c r="B119" s="643"/>
      <c r="C119" s="515"/>
      <c r="D119" s="514"/>
      <c r="E119" s="674"/>
      <c r="F119" s="675"/>
      <c r="G119" s="675"/>
      <c r="H119" s="675"/>
      <c r="I119" s="675"/>
      <c r="J119" s="675"/>
      <c r="K119" s="675"/>
      <c r="L119" s="675"/>
      <c r="M119" s="676"/>
      <c r="N119" s="655"/>
      <c r="O119" s="656"/>
      <c r="P119" s="657"/>
      <c r="Q119" s="677"/>
      <c r="R119" s="678"/>
      <c r="S119" s="678"/>
      <c r="T119" s="678"/>
      <c r="U119" s="679"/>
      <c r="V119" s="45"/>
      <c r="W119" s="504"/>
      <c r="X119" s="504"/>
      <c r="Y119" s="504"/>
      <c r="Z119" s="504"/>
      <c r="AA119" s="506"/>
      <c r="AB119" s="504"/>
      <c r="AC119" s="504"/>
      <c r="AD119" s="504"/>
    </row>
    <row r="120" spans="1:30" s="505" customFormat="1" ht="40.5" hidden="1" customHeight="1" thickBot="1">
      <c r="A120" s="492"/>
      <c r="B120" s="644"/>
      <c r="C120" s="516"/>
      <c r="D120" s="517"/>
      <c r="E120" s="680" t="s">
        <v>369</v>
      </c>
      <c r="F120" s="680" t="s">
        <v>306</v>
      </c>
      <c r="G120" s="680"/>
      <c r="H120" s="680"/>
      <c r="I120" s="680"/>
      <c r="J120" s="680"/>
      <c r="K120" s="680"/>
      <c r="L120" s="499">
        <f>ROUND((I112+J112+K112+L115)*3.93%,2)</f>
        <v>26.94</v>
      </c>
      <c r="M120" s="46">
        <f>L120</f>
        <v>26.94</v>
      </c>
      <c r="N120" s="658"/>
      <c r="O120" s="659"/>
      <c r="P120" s="660"/>
      <c r="Q120" s="681"/>
      <c r="R120" s="682"/>
      <c r="S120" s="683"/>
      <c r="T120" s="500">
        <f>H112*M120*N112*O112*P112</f>
        <v>0</v>
      </c>
      <c r="U120" s="47">
        <f>T120</f>
        <v>0</v>
      </c>
      <c r="V120" s="48"/>
      <c r="W120" s="504"/>
      <c r="X120" s="504"/>
      <c r="Y120" s="504"/>
      <c r="Z120" s="504"/>
      <c r="AA120" s="504"/>
      <c r="AB120" s="506"/>
      <c r="AC120" s="504"/>
      <c r="AD120" s="506">
        <f>T120</f>
        <v>0</v>
      </c>
    </row>
    <row r="121" spans="1:30" s="505" customFormat="1" ht="150" hidden="1" customHeight="1">
      <c r="A121" s="492"/>
      <c r="B121" s="642">
        <v>2</v>
      </c>
      <c r="C121" s="511">
        <v>10</v>
      </c>
      <c r="D121" s="512"/>
      <c r="E121" s="493" t="s">
        <v>398</v>
      </c>
      <c r="F121" s="487" t="s">
        <v>399</v>
      </c>
      <c r="G121" s="645" t="s">
        <v>357</v>
      </c>
      <c r="H121" s="712">
        <v>0</v>
      </c>
      <c r="I121" s="494">
        <v>0</v>
      </c>
      <c r="J121" s="494">
        <v>756.45</v>
      </c>
      <c r="K121" s="494">
        <v>12.12</v>
      </c>
      <c r="L121" s="494">
        <f>SUM(L123:L129)</f>
        <v>114.28</v>
      </c>
      <c r="M121" s="33">
        <f>SUM(I121:L121)</f>
        <v>882.85</v>
      </c>
      <c r="N121" s="501">
        <v>1</v>
      </c>
      <c r="O121" s="502">
        <v>1</v>
      </c>
      <c r="P121" s="37">
        <v>1</v>
      </c>
      <c r="Q121" s="34">
        <f>H121*I121*N121*O121*P121</f>
        <v>0</v>
      </c>
      <c r="R121" s="35">
        <f>H121*J121*N121*O121*P121</f>
        <v>0</v>
      </c>
      <c r="S121" s="36">
        <f>H121*K121*N121*O121*P121</f>
        <v>0</v>
      </c>
      <c r="T121" s="36">
        <f>H121*L121*N121*O121*P121</f>
        <v>0</v>
      </c>
      <c r="U121" s="37">
        <f>SUM(Q121:T121)</f>
        <v>0</v>
      </c>
      <c r="V121" s="38">
        <f>(Q121+R121+S121+T125+T126+T127+T129)*'Прогнозная стоимость РСС ИП '!$M$11+T124*'Прогнозная стоимость РСС ИП '!$M$10</f>
        <v>0</v>
      </c>
      <c r="W121" s="503">
        <f>T121</f>
        <v>0</v>
      </c>
      <c r="X121" s="503">
        <f>U121</f>
        <v>0</v>
      </c>
      <c r="Y121" s="503">
        <f>V121</f>
        <v>0</v>
      </c>
      <c r="Z121" s="504"/>
      <c r="AA121" s="504"/>
      <c r="AB121" s="504"/>
      <c r="AC121" s="504"/>
      <c r="AD121" s="504"/>
    </row>
    <row r="122" spans="1:30" s="505" customFormat="1" ht="41.25" hidden="1" customHeight="1">
      <c r="A122" s="492"/>
      <c r="B122" s="643"/>
      <c r="C122" s="513"/>
      <c r="D122" s="514"/>
      <c r="E122" s="495"/>
      <c r="F122" s="496"/>
      <c r="G122" s="646"/>
      <c r="H122" s="713"/>
      <c r="I122" s="649"/>
      <c r="J122" s="650"/>
      <c r="K122" s="650"/>
      <c r="L122" s="650"/>
      <c r="M122" s="651"/>
      <c r="N122" s="652"/>
      <c r="O122" s="653"/>
      <c r="P122" s="654"/>
      <c r="Q122" s="661"/>
      <c r="R122" s="662"/>
      <c r="S122" s="662"/>
      <c r="T122" s="662"/>
      <c r="U122" s="663"/>
      <c r="V122" s="40"/>
      <c r="W122" s="504"/>
      <c r="X122" s="504"/>
      <c r="Y122" s="504"/>
      <c r="Z122" s="504"/>
      <c r="AA122" s="504"/>
      <c r="AB122" s="504"/>
      <c r="AC122" s="504"/>
      <c r="AD122" s="504"/>
    </row>
    <row r="123" spans="1:30" s="505" customFormat="1" ht="41.25" hidden="1" customHeight="1">
      <c r="A123" s="492"/>
      <c r="B123" s="643"/>
      <c r="C123" s="513"/>
      <c r="D123" s="514"/>
      <c r="E123" s="664" t="s">
        <v>29</v>
      </c>
      <c r="F123" s="665"/>
      <c r="G123" s="665"/>
      <c r="H123" s="665"/>
      <c r="I123" s="665"/>
      <c r="J123" s="665"/>
      <c r="K123" s="665"/>
      <c r="L123" s="665"/>
      <c r="M123" s="666"/>
      <c r="N123" s="655"/>
      <c r="O123" s="656"/>
      <c r="P123" s="657"/>
      <c r="Q123" s="667"/>
      <c r="R123" s="668"/>
      <c r="S123" s="668"/>
      <c r="T123" s="668"/>
      <c r="U123" s="669"/>
      <c r="V123" s="42"/>
      <c r="W123" s="504"/>
      <c r="X123" s="504"/>
      <c r="Y123" s="504"/>
      <c r="Z123" s="504"/>
      <c r="AA123" s="504"/>
      <c r="AB123" s="504"/>
      <c r="AC123" s="504"/>
      <c r="AD123" s="504"/>
    </row>
    <row r="124" spans="1:30" s="505" customFormat="1" ht="41.25" hidden="1" customHeight="1">
      <c r="A124" s="492"/>
      <c r="B124" s="643"/>
      <c r="C124" s="513">
        <v>1010</v>
      </c>
      <c r="D124" s="514"/>
      <c r="E124" s="670" t="s">
        <v>30</v>
      </c>
      <c r="F124" s="670"/>
      <c r="G124" s="670"/>
      <c r="H124" s="670"/>
      <c r="I124" s="670"/>
      <c r="J124" s="670"/>
      <c r="K124" s="670"/>
      <c r="L124" s="498">
        <v>40.33</v>
      </c>
      <c r="M124" s="459">
        <f>L124</f>
        <v>40.33</v>
      </c>
      <c r="N124" s="655"/>
      <c r="O124" s="656"/>
      <c r="P124" s="657"/>
      <c r="Q124" s="671"/>
      <c r="R124" s="672"/>
      <c r="S124" s="673"/>
      <c r="T124" s="457">
        <f>H121*M124*N121*O121*P121</f>
        <v>0</v>
      </c>
      <c r="U124" s="458">
        <f>T124</f>
        <v>0</v>
      </c>
      <c r="V124" s="42"/>
      <c r="W124" s="503"/>
      <c r="X124" s="504"/>
      <c r="Y124" s="504"/>
      <c r="Z124" s="503">
        <f>T124</f>
        <v>0</v>
      </c>
      <c r="AA124" s="504"/>
      <c r="AB124" s="504"/>
      <c r="AC124" s="504"/>
      <c r="AD124" s="504"/>
    </row>
    <row r="125" spans="1:30" s="505" customFormat="1" ht="41.25" hidden="1" customHeight="1">
      <c r="A125" s="492"/>
      <c r="B125" s="643"/>
      <c r="C125" s="513"/>
      <c r="D125" s="514"/>
      <c r="E125" s="670" t="s">
        <v>31</v>
      </c>
      <c r="F125" s="670"/>
      <c r="G125" s="670"/>
      <c r="H125" s="670"/>
      <c r="I125" s="670"/>
      <c r="J125" s="670"/>
      <c r="K125" s="670"/>
      <c r="L125" s="498">
        <f>ROUND((I121+J121+K121)*2.14%,2)</f>
        <v>16.45</v>
      </c>
      <c r="M125" s="459">
        <f>L125</f>
        <v>16.45</v>
      </c>
      <c r="N125" s="655"/>
      <c r="O125" s="656"/>
      <c r="P125" s="657"/>
      <c r="Q125" s="671"/>
      <c r="R125" s="672"/>
      <c r="S125" s="673"/>
      <c r="T125" s="457">
        <f>H121*M125*N121*O121*P121</f>
        <v>0</v>
      </c>
      <c r="U125" s="458">
        <f>T125</f>
        <v>0</v>
      </c>
      <c r="V125" s="42"/>
      <c r="W125" s="504"/>
      <c r="X125" s="503"/>
      <c r="Y125" s="504"/>
      <c r="Z125" s="504"/>
      <c r="AA125" s="503">
        <f>T125</f>
        <v>0</v>
      </c>
      <c r="AB125" s="504"/>
      <c r="AC125" s="504"/>
      <c r="AD125" s="504"/>
    </row>
    <row r="126" spans="1:30" s="505" customFormat="1" ht="41.25" hidden="1" customHeight="1">
      <c r="A126" s="492"/>
      <c r="B126" s="643"/>
      <c r="C126" s="515"/>
      <c r="D126" s="514"/>
      <c r="E126" s="670" t="s">
        <v>376</v>
      </c>
      <c r="F126" s="670"/>
      <c r="G126" s="670"/>
      <c r="H126" s="670"/>
      <c r="I126" s="670"/>
      <c r="J126" s="670"/>
      <c r="K126" s="670"/>
      <c r="L126" s="498">
        <f>ROUND((I121+J121+K121+L124+L125+L129)*3%,2)</f>
        <v>25.71</v>
      </c>
      <c r="M126" s="459">
        <f>L126</f>
        <v>25.71</v>
      </c>
      <c r="N126" s="655"/>
      <c r="O126" s="656"/>
      <c r="P126" s="657"/>
      <c r="Q126" s="671"/>
      <c r="R126" s="672"/>
      <c r="S126" s="673"/>
      <c r="T126" s="457">
        <f>H121*M126*N121*O121*P121</f>
        <v>0</v>
      </c>
      <c r="U126" s="458">
        <f>T126</f>
        <v>0</v>
      </c>
      <c r="V126" s="42"/>
      <c r="W126" s="504"/>
      <c r="X126" s="504"/>
      <c r="Y126" s="503"/>
      <c r="Z126" s="504"/>
      <c r="AA126" s="504"/>
      <c r="AB126" s="503">
        <f>T126</f>
        <v>0</v>
      </c>
      <c r="AC126" s="504"/>
      <c r="AD126" s="504"/>
    </row>
    <row r="127" spans="1:30" s="505" customFormat="1" ht="54.75" hidden="1" customHeight="1">
      <c r="A127" s="492"/>
      <c r="B127" s="643"/>
      <c r="C127" s="515"/>
      <c r="D127" s="514"/>
      <c r="E127" s="670" t="s">
        <v>377</v>
      </c>
      <c r="F127" s="670"/>
      <c r="G127" s="670"/>
      <c r="H127" s="670"/>
      <c r="I127" s="670"/>
      <c r="J127" s="670"/>
      <c r="K127" s="670"/>
      <c r="L127" s="498">
        <f>100.69-K121-L124-L125-L129</f>
        <v>0</v>
      </c>
      <c r="M127" s="459">
        <f>L127</f>
        <v>0</v>
      </c>
      <c r="N127" s="655"/>
      <c r="O127" s="656"/>
      <c r="P127" s="657"/>
      <c r="Q127" s="671"/>
      <c r="R127" s="672"/>
      <c r="S127" s="673"/>
      <c r="T127" s="457">
        <f>H121*M127*N121*O121*P121</f>
        <v>0</v>
      </c>
      <c r="U127" s="458">
        <f>T127</f>
        <v>0</v>
      </c>
      <c r="V127" s="42"/>
      <c r="W127" s="504"/>
      <c r="X127" s="504"/>
      <c r="Y127" s="504"/>
      <c r="Z127" s="506"/>
      <c r="AA127" s="504"/>
      <c r="AB127" s="504"/>
      <c r="AC127" s="506">
        <f>T127</f>
        <v>0</v>
      </c>
      <c r="AD127" s="504"/>
    </row>
    <row r="128" spans="1:30" s="505" customFormat="1" ht="45" hidden="1" customHeight="1">
      <c r="A128" s="492"/>
      <c r="B128" s="643"/>
      <c r="C128" s="515"/>
      <c r="D128" s="514"/>
      <c r="E128" s="674"/>
      <c r="F128" s="675"/>
      <c r="G128" s="675"/>
      <c r="H128" s="675"/>
      <c r="I128" s="675"/>
      <c r="J128" s="675"/>
      <c r="K128" s="675"/>
      <c r="L128" s="675"/>
      <c r="M128" s="676"/>
      <c r="N128" s="655"/>
      <c r="O128" s="656"/>
      <c r="P128" s="657"/>
      <c r="Q128" s="677"/>
      <c r="R128" s="678"/>
      <c r="S128" s="678"/>
      <c r="T128" s="678"/>
      <c r="U128" s="679"/>
      <c r="V128" s="45"/>
      <c r="W128" s="504"/>
      <c r="X128" s="504"/>
      <c r="Y128" s="504"/>
      <c r="Z128" s="504"/>
      <c r="AA128" s="506"/>
      <c r="AB128" s="504"/>
      <c r="AC128" s="504"/>
      <c r="AD128" s="504"/>
    </row>
    <row r="129" spans="1:30" s="505" customFormat="1" ht="40.5" hidden="1" customHeight="1" thickBot="1">
      <c r="A129" s="492"/>
      <c r="B129" s="644"/>
      <c r="C129" s="516"/>
      <c r="D129" s="517"/>
      <c r="E129" s="680" t="s">
        <v>369</v>
      </c>
      <c r="F129" s="680" t="s">
        <v>306</v>
      </c>
      <c r="G129" s="680"/>
      <c r="H129" s="680"/>
      <c r="I129" s="680"/>
      <c r="J129" s="680"/>
      <c r="K129" s="680"/>
      <c r="L129" s="499">
        <f>ROUND((I121+J121+K121+L124)*3.93%,2)</f>
        <v>31.79</v>
      </c>
      <c r="M129" s="46">
        <f>L129</f>
        <v>31.79</v>
      </c>
      <c r="N129" s="658"/>
      <c r="O129" s="659"/>
      <c r="P129" s="660"/>
      <c r="Q129" s="681"/>
      <c r="R129" s="682"/>
      <c r="S129" s="683"/>
      <c r="T129" s="500">
        <f>H121*M129*N121*O121*P121</f>
        <v>0</v>
      </c>
      <c r="U129" s="47">
        <f>T129</f>
        <v>0</v>
      </c>
      <c r="V129" s="48"/>
      <c r="W129" s="504"/>
      <c r="X129" s="504"/>
      <c r="Y129" s="504"/>
      <c r="Z129" s="504"/>
      <c r="AA129" s="504"/>
      <c r="AB129" s="506"/>
      <c r="AC129" s="504"/>
      <c r="AD129" s="506">
        <f>T129</f>
        <v>0</v>
      </c>
    </row>
    <row r="130" spans="1:30" s="505" customFormat="1" ht="150" hidden="1" customHeight="1">
      <c r="A130" s="492"/>
      <c r="B130" s="642">
        <v>2</v>
      </c>
      <c r="C130" s="511">
        <v>10</v>
      </c>
      <c r="D130" s="512"/>
      <c r="E130" s="493" t="s">
        <v>400</v>
      </c>
      <c r="F130" s="487" t="s">
        <v>401</v>
      </c>
      <c r="G130" s="645" t="s">
        <v>357</v>
      </c>
      <c r="H130" s="712">
        <v>0</v>
      </c>
      <c r="I130" s="494">
        <v>0</v>
      </c>
      <c r="J130" s="494">
        <v>1120.74</v>
      </c>
      <c r="K130" s="494">
        <v>7.4</v>
      </c>
      <c r="L130" s="494">
        <f>SUM(L132:L138)</f>
        <v>165.72</v>
      </c>
      <c r="M130" s="33">
        <f>SUM(I130:L130)</f>
        <v>1293.8600000000001</v>
      </c>
      <c r="N130" s="501">
        <v>1</v>
      </c>
      <c r="O130" s="502">
        <v>1</v>
      </c>
      <c r="P130" s="37">
        <v>1</v>
      </c>
      <c r="Q130" s="34">
        <f>H130*I130*N130*O130*P130</f>
        <v>0</v>
      </c>
      <c r="R130" s="35">
        <f>H130*J130*N130*O130*P130</f>
        <v>0</v>
      </c>
      <c r="S130" s="36">
        <f>H130*K130*N130*O130*P130</f>
        <v>0</v>
      </c>
      <c r="T130" s="36">
        <f>H130*L130*N130*O130*P130</f>
        <v>0</v>
      </c>
      <c r="U130" s="37">
        <f>SUM(Q130:T130)</f>
        <v>0</v>
      </c>
      <c r="V130" s="38">
        <f>(Q130+R130+S130+T134+T135+T136+T138)*'Прогнозная стоимость РСС ИП '!$M$11+T133*'Прогнозная стоимость РСС ИП '!$M$10</f>
        <v>0</v>
      </c>
      <c r="W130" s="503">
        <f>T130</f>
        <v>0</v>
      </c>
      <c r="X130" s="503">
        <f>U130</f>
        <v>0</v>
      </c>
      <c r="Y130" s="503">
        <f>V130</f>
        <v>0</v>
      </c>
      <c r="Z130" s="504"/>
      <c r="AA130" s="504"/>
      <c r="AB130" s="504"/>
      <c r="AC130" s="504"/>
      <c r="AD130" s="504"/>
    </row>
    <row r="131" spans="1:30" s="505" customFormat="1" ht="41.25" hidden="1" customHeight="1">
      <c r="A131" s="492"/>
      <c r="B131" s="643"/>
      <c r="C131" s="513"/>
      <c r="D131" s="514"/>
      <c r="E131" s="495"/>
      <c r="F131" s="496"/>
      <c r="G131" s="646"/>
      <c r="H131" s="713"/>
      <c r="I131" s="649"/>
      <c r="J131" s="650"/>
      <c r="K131" s="650"/>
      <c r="L131" s="650"/>
      <c r="M131" s="651"/>
      <c r="N131" s="652"/>
      <c r="O131" s="653"/>
      <c r="P131" s="654"/>
      <c r="Q131" s="661"/>
      <c r="R131" s="662"/>
      <c r="S131" s="662"/>
      <c r="T131" s="662"/>
      <c r="U131" s="663"/>
      <c r="V131" s="40"/>
      <c r="W131" s="504"/>
      <c r="X131" s="504"/>
      <c r="Y131" s="504"/>
      <c r="Z131" s="504"/>
      <c r="AA131" s="504"/>
      <c r="AB131" s="504"/>
      <c r="AC131" s="504"/>
      <c r="AD131" s="504"/>
    </row>
    <row r="132" spans="1:30" s="505" customFormat="1" ht="41.25" hidden="1" customHeight="1">
      <c r="A132" s="492"/>
      <c r="B132" s="643"/>
      <c r="C132" s="513"/>
      <c r="D132" s="514"/>
      <c r="E132" s="664" t="s">
        <v>29</v>
      </c>
      <c r="F132" s="665"/>
      <c r="G132" s="665"/>
      <c r="H132" s="665"/>
      <c r="I132" s="665"/>
      <c r="J132" s="665"/>
      <c r="K132" s="665"/>
      <c r="L132" s="665"/>
      <c r="M132" s="666"/>
      <c r="N132" s="655"/>
      <c r="O132" s="656"/>
      <c r="P132" s="657"/>
      <c r="Q132" s="667"/>
      <c r="R132" s="668"/>
      <c r="S132" s="668"/>
      <c r="T132" s="668"/>
      <c r="U132" s="669"/>
      <c r="V132" s="42"/>
      <c r="W132" s="504"/>
      <c r="X132" s="504"/>
      <c r="Y132" s="504"/>
      <c r="Z132" s="504"/>
      <c r="AA132" s="504"/>
      <c r="AB132" s="504"/>
      <c r="AC132" s="504"/>
      <c r="AD132" s="504"/>
    </row>
    <row r="133" spans="1:30" s="505" customFormat="1" ht="41.25" hidden="1" customHeight="1">
      <c r="A133" s="492"/>
      <c r="B133" s="643"/>
      <c r="C133" s="513">
        <v>1010</v>
      </c>
      <c r="D133" s="514"/>
      <c r="E133" s="670" t="s">
        <v>30</v>
      </c>
      <c r="F133" s="670"/>
      <c r="G133" s="670"/>
      <c r="H133" s="670"/>
      <c r="I133" s="670"/>
      <c r="J133" s="670"/>
      <c r="K133" s="670"/>
      <c r="L133" s="498">
        <v>57.3</v>
      </c>
      <c r="M133" s="459">
        <f>L133</f>
        <v>57.3</v>
      </c>
      <c r="N133" s="655"/>
      <c r="O133" s="656"/>
      <c r="P133" s="657"/>
      <c r="Q133" s="671"/>
      <c r="R133" s="672"/>
      <c r="S133" s="673"/>
      <c r="T133" s="457">
        <f>H130*M133*N130*O130*P130</f>
        <v>0</v>
      </c>
      <c r="U133" s="458">
        <f>T133</f>
        <v>0</v>
      </c>
      <c r="V133" s="42"/>
      <c r="W133" s="503"/>
      <c r="X133" s="504"/>
      <c r="Y133" s="504"/>
      <c r="Z133" s="503">
        <f>T133</f>
        <v>0</v>
      </c>
      <c r="AA133" s="504"/>
      <c r="AB133" s="504"/>
      <c r="AC133" s="504"/>
      <c r="AD133" s="504"/>
    </row>
    <row r="134" spans="1:30" s="505" customFormat="1" ht="41.25" hidden="1" customHeight="1">
      <c r="A134" s="492"/>
      <c r="B134" s="643"/>
      <c r="C134" s="513"/>
      <c r="D134" s="514"/>
      <c r="E134" s="670" t="s">
        <v>31</v>
      </c>
      <c r="F134" s="670"/>
      <c r="G134" s="670"/>
      <c r="H134" s="670"/>
      <c r="I134" s="670"/>
      <c r="J134" s="670"/>
      <c r="K134" s="670"/>
      <c r="L134" s="498">
        <f>ROUND((I130+J130+K130)*2.14%,2)</f>
        <v>24.14</v>
      </c>
      <c r="M134" s="459">
        <f>L134</f>
        <v>24.14</v>
      </c>
      <c r="N134" s="655"/>
      <c r="O134" s="656"/>
      <c r="P134" s="657"/>
      <c r="Q134" s="671"/>
      <c r="R134" s="672"/>
      <c r="S134" s="673"/>
      <c r="T134" s="457">
        <f>H130*M134*N130*O130*P130</f>
        <v>0</v>
      </c>
      <c r="U134" s="458">
        <f>T134</f>
        <v>0</v>
      </c>
      <c r="V134" s="42"/>
      <c r="W134" s="504"/>
      <c r="X134" s="503"/>
      <c r="Y134" s="504"/>
      <c r="Z134" s="504"/>
      <c r="AA134" s="503">
        <f>T134</f>
        <v>0</v>
      </c>
      <c r="AB134" s="504"/>
      <c r="AC134" s="504"/>
      <c r="AD134" s="504"/>
    </row>
    <row r="135" spans="1:30" s="505" customFormat="1" ht="41.25" hidden="1" customHeight="1">
      <c r="A135" s="492"/>
      <c r="B135" s="643"/>
      <c r="C135" s="515"/>
      <c r="D135" s="514"/>
      <c r="E135" s="670" t="s">
        <v>376</v>
      </c>
      <c r="F135" s="670"/>
      <c r="G135" s="670"/>
      <c r="H135" s="670"/>
      <c r="I135" s="670"/>
      <c r="J135" s="670"/>
      <c r="K135" s="670"/>
      <c r="L135" s="498">
        <f>ROUND((I130+J130+K130+L133+L134+L138)*3%,2)</f>
        <v>37.69</v>
      </c>
      <c r="M135" s="459">
        <f>L135</f>
        <v>37.69</v>
      </c>
      <c r="N135" s="655"/>
      <c r="O135" s="656"/>
      <c r="P135" s="657"/>
      <c r="Q135" s="671"/>
      <c r="R135" s="672"/>
      <c r="S135" s="673"/>
      <c r="T135" s="457">
        <f>H130*M135*N130*O130*P130</f>
        <v>0</v>
      </c>
      <c r="U135" s="458">
        <f>T135</f>
        <v>0</v>
      </c>
      <c r="V135" s="42"/>
      <c r="W135" s="504"/>
      <c r="X135" s="504"/>
      <c r="Y135" s="503"/>
      <c r="Z135" s="504"/>
      <c r="AA135" s="504"/>
      <c r="AB135" s="503">
        <f>T135</f>
        <v>0</v>
      </c>
      <c r="AC135" s="504"/>
      <c r="AD135" s="504"/>
    </row>
    <row r="136" spans="1:30" s="505" customFormat="1" ht="54.75" hidden="1" customHeight="1">
      <c r="A136" s="492"/>
      <c r="B136" s="643"/>
      <c r="C136" s="515"/>
      <c r="D136" s="514"/>
      <c r="E136" s="670" t="s">
        <v>377</v>
      </c>
      <c r="F136" s="670"/>
      <c r="G136" s="670"/>
      <c r="H136" s="670"/>
      <c r="I136" s="670"/>
      <c r="J136" s="670"/>
      <c r="K136" s="670"/>
      <c r="L136" s="498">
        <f>135.43-K130-L133-L134-L138</f>
        <v>0</v>
      </c>
      <c r="M136" s="459">
        <f>L136</f>
        <v>0</v>
      </c>
      <c r="N136" s="655"/>
      <c r="O136" s="656"/>
      <c r="P136" s="657"/>
      <c r="Q136" s="671"/>
      <c r="R136" s="672"/>
      <c r="S136" s="673"/>
      <c r="T136" s="457">
        <f>H130*M136*N130*O130*P130</f>
        <v>0</v>
      </c>
      <c r="U136" s="458">
        <f>T136</f>
        <v>0</v>
      </c>
      <c r="V136" s="42"/>
      <c r="W136" s="504"/>
      <c r="X136" s="504"/>
      <c r="Y136" s="504"/>
      <c r="Z136" s="506"/>
      <c r="AA136" s="504"/>
      <c r="AB136" s="504"/>
      <c r="AC136" s="506">
        <f>T136</f>
        <v>0</v>
      </c>
      <c r="AD136" s="504"/>
    </row>
    <row r="137" spans="1:30" s="505" customFormat="1" ht="45" hidden="1" customHeight="1">
      <c r="A137" s="492"/>
      <c r="B137" s="643"/>
      <c r="C137" s="515"/>
      <c r="D137" s="514"/>
      <c r="E137" s="674"/>
      <c r="F137" s="675"/>
      <c r="G137" s="675"/>
      <c r="H137" s="675"/>
      <c r="I137" s="675"/>
      <c r="J137" s="675"/>
      <c r="K137" s="675"/>
      <c r="L137" s="675"/>
      <c r="M137" s="676"/>
      <c r="N137" s="655"/>
      <c r="O137" s="656"/>
      <c r="P137" s="657"/>
      <c r="Q137" s="677"/>
      <c r="R137" s="678"/>
      <c r="S137" s="678"/>
      <c r="T137" s="678"/>
      <c r="U137" s="679"/>
      <c r="V137" s="45"/>
      <c r="W137" s="504"/>
      <c r="X137" s="504"/>
      <c r="Y137" s="504"/>
      <c r="Z137" s="504"/>
      <c r="AA137" s="506"/>
      <c r="AB137" s="504"/>
      <c r="AC137" s="504"/>
      <c r="AD137" s="504"/>
    </row>
    <row r="138" spans="1:30" s="505" customFormat="1" ht="40.5" hidden="1" customHeight="1" thickBot="1">
      <c r="A138" s="492"/>
      <c r="B138" s="644"/>
      <c r="C138" s="516"/>
      <c r="D138" s="517"/>
      <c r="E138" s="680" t="s">
        <v>369</v>
      </c>
      <c r="F138" s="680" t="s">
        <v>306</v>
      </c>
      <c r="G138" s="680"/>
      <c r="H138" s="680"/>
      <c r="I138" s="680"/>
      <c r="J138" s="680"/>
      <c r="K138" s="680"/>
      <c r="L138" s="499">
        <f>ROUND((I130+J130+K130+L133)*3.93%,2)</f>
        <v>46.59</v>
      </c>
      <c r="M138" s="46">
        <f>L138</f>
        <v>46.59</v>
      </c>
      <c r="N138" s="658"/>
      <c r="O138" s="659"/>
      <c r="P138" s="660"/>
      <c r="Q138" s="681"/>
      <c r="R138" s="682"/>
      <c r="S138" s="683"/>
      <c r="T138" s="500">
        <f>H130*M138*N130*O130*P130</f>
        <v>0</v>
      </c>
      <c r="U138" s="47">
        <f>T138</f>
        <v>0</v>
      </c>
      <c r="V138" s="48"/>
      <c r="W138" s="504"/>
      <c r="X138" s="504"/>
      <c r="Y138" s="504"/>
      <c r="Z138" s="504"/>
      <c r="AA138" s="504"/>
      <c r="AB138" s="506"/>
      <c r="AC138" s="504"/>
      <c r="AD138" s="506">
        <f>T138</f>
        <v>0</v>
      </c>
    </row>
    <row r="139" spans="1:30" s="505" customFormat="1" ht="150" hidden="1" customHeight="1">
      <c r="A139" s="492"/>
      <c r="B139" s="642">
        <v>2</v>
      </c>
      <c r="C139" s="511">
        <v>10</v>
      </c>
      <c r="D139" s="512"/>
      <c r="E139" s="493" t="s">
        <v>402</v>
      </c>
      <c r="F139" s="487" t="s">
        <v>403</v>
      </c>
      <c r="G139" s="645" t="s">
        <v>357</v>
      </c>
      <c r="H139" s="712">
        <v>0</v>
      </c>
      <c r="I139" s="494">
        <v>0</v>
      </c>
      <c r="J139" s="494">
        <v>1225.55</v>
      </c>
      <c r="K139" s="494">
        <v>7.4</v>
      </c>
      <c r="L139" s="494">
        <f>SUM(L141:L147)</f>
        <v>175.6354</v>
      </c>
      <c r="M139" s="33">
        <f>SUM(I139:L139)</f>
        <v>1408.5853999999999</v>
      </c>
      <c r="N139" s="501">
        <v>1</v>
      </c>
      <c r="O139" s="502">
        <v>1</v>
      </c>
      <c r="P139" s="37">
        <v>1</v>
      </c>
      <c r="Q139" s="34">
        <f>H139*I139*N139*O139*P139</f>
        <v>0</v>
      </c>
      <c r="R139" s="35">
        <f>H139*J139*N139*O139*P139</f>
        <v>0</v>
      </c>
      <c r="S139" s="36">
        <f>H139*K139*N139*O139*P139</f>
        <v>0</v>
      </c>
      <c r="T139" s="36">
        <f>H139*L139*N139*O139*P139</f>
        <v>0</v>
      </c>
      <c r="U139" s="37">
        <f>SUM(Q139:T139)</f>
        <v>0</v>
      </c>
      <c r="V139" s="38">
        <f>(Q139+R139+S139+T143+T144+T145+T147)*'Прогнозная стоимость РСС ИП '!$M$11+T142*'Прогнозная стоимость РСС ИП '!$M$10</f>
        <v>0</v>
      </c>
      <c r="W139" s="503">
        <f>T139</f>
        <v>0</v>
      </c>
      <c r="X139" s="503">
        <f>U139</f>
        <v>0</v>
      </c>
      <c r="Y139" s="503">
        <f>V139</f>
        <v>0</v>
      </c>
      <c r="Z139" s="504"/>
      <c r="AA139" s="504"/>
      <c r="AB139" s="504"/>
      <c r="AC139" s="504"/>
      <c r="AD139" s="504"/>
    </row>
    <row r="140" spans="1:30" s="505" customFormat="1" ht="41.25" hidden="1" customHeight="1">
      <c r="A140" s="492"/>
      <c r="B140" s="643"/>
      <c r="C140" s="513"/>
      <c r="D140" s="514"/>
      <c r="E140" s="495"/>
      <c r="F140" s="496"/>
      <c r="G140" s="646"/>
      <c r="H140" s="713"/>
      <c r="I140" s="649"/>
      <c r="J140" s="650"/>
      <c r="K140" s="650"/>
      <c r="L140" s="650"/>
      <c r="M140" s="651"/>
      <c r="N140" s="652"/>
      <c r="O140" s="653"/>
      <c r="P140" s="654"/>
      <c r="Q140" s="661"/>
      <c r="R140" s="662"/>
      <c r="S140" s="662"/>
      <c r="T140" s="662"/>
      <c r="U140" s="663"/>
      <c r="V140" s="40"/>
      <c r="W140" s="504"/>
      <c r="X140" s="504"/>
      <c r="Y140" s="504"/>
      <c r="Z140" s="504"/>
      <c r="AA140" s="504"/>
      <c r="AB140" s="504"/>
      <c r="AC140" s="504"/>
      <c r="AD140" s="504"/>
    </row>
    <row r="141" spans="1:30" s="505" customFormat="1" ht="41.25" hidden="1" customHeight="1">
      <c r="A141" s="492"/>
      <c r="B141" s="643"/>
      <c r="C141" s="513"/>
      <c r="D141" s="514"/>
      <c r="E141" s="664" t="s">
        <v>29</v>
      </c>
      <c r="F141" s="665"/>
      <c r="G141" s="665"/>
      <c r="H141" s="665"/>
      <c r="I141" s="665"/>
      <c r="J141" s="665"/>
      <c r="K141" s="665"/>
      <c r="L141" s="665"/>
      <c r="M141" s="666"/>
      <c r="N141" s="655"/>
      <c r="O141" s="656"/>
      <c r="P141" s="657"/>
      <c r="Q141" s="667"/>
      <c r="R141" s="668"/>
      <c r="S141" s="668"/>
      <c r="T141" s="668"/>
      <c r="U141" s="669"/>
      <c r="V141" s="42"/>
      <c r="W141" s="504"/>
      <c r="X141" s="504"/>
      <c r="Y141" s="504"/>
      <c r="Z141" s="504"/>
      <c r="AA141" s="504"/>
      <c r="AB141" s="504"/>
      <c r="AC141" s="504"/>
      <c r="AD141" s="504"/>
    </row>
    <row r="142" spans="1:30" s="505" customFormat="1" ht="41.25" hidden="1" customHeight="1">
      <c r="A142" s="492"/>
      <c r="B142" s="643"/>
      <c r="C142" s="513">
        <v>1010</v>
      </c>
      <c r="D142" s="514"/>
      <c r="E142" s="670" t="s">
        <v>30</v>
      </c>
      <c r="F142" s="670"/>
      <c r="G142" s="670"/>
      <c r="H142" s="670"/>
      <c r="I142" s="670"/>
      <c r="J142" s="670"/>
      <c r="K142" s="670"/>
      <c r="L142" s="498">
        <v>57.505400000000002</v>
      </c>
      <c r="M142" s="459">
        <f>L142</f>
        <v>57.505400000000002</v>
      </c>
      <c r="N142" s="655"/>
      <c r="O142" s="656"/>
      <c r="P142" s="657"/>
      <c r="Q142" s="671"/>
      <c r="R142" s="672"/>
      <c r="S142" s="673"/>
      <c r="T142" s="457">
        <f>H139*M142*N139*O139*P139</f>
        <v>0</v>
      </c>
      <c r="U142" s="458">
        <f>T142</f>
        <v>0</v>
      </c>
      <c r="V142" s="42"/>
      <c r="W142" s="503"/>
      <c r="X142" s="504"/>
      <c r="Y142" s="504"/>
      <c r="Z142" s="503">
        <f>T142</f>
        <v>0</v>
      </c>
      <c r="AA142" s="504"/>
      <c r="AB142" s="504"/>
      <c r="AC142" s="504"/>
      <c r="AD142" s="504"/>
    </row>
    <row r="143" spans="1:30" s="505" customFormat="1" ht="41.25" hidden="1" customHeight="1">
      <c r="A143" s="492"/>
      <c r="B143" s="643"/>
      <c r="C143" s="513"/>
      <c r="D143" s="514"/>
      <c r="E143" s="670" t="s">
        <v>31</v>
      </c>
      <c r="F143" s="670"/>
      <c r="G143" s="670"/>
      <c r="H143" s="670"/>
      <c r="I143" s="670"/>
      <c r="J143" s="670"/>
      <c r="K143" s="670"/>
      <c r="L143" s="498">
        <f>ROUND((I139+J139+K139)*2.14%,2)</f>
        <v>26.39</v>
      </c>
      <c r="M143" s="459">
        <f>L143</f>
        <v>26.39</v>
      </c>
      <c r="N143" s="655"/>
      <c r="O143" s="656"/>
      <c r="P143" s="657"/>
      <c r="Q143" s="671"/>
      <c r="R143" s="672"/>
      <c r="S143" s="673"/>
      <c r="T143" s="457">
        <f>H139*M143*N139*O139*P139</f>
        <v>0</v>
      </c>
      <c r="U143" s="458">
        <f>T143</f>
        <v>0</v>
      </c>
      <c r="V143" s="42"/>
      <c r="W143" s="504"/>
      <c r="X143" s="503"/>
      <c r="Y143" s="504"/>
      <c r="Z143" s="504"/>
      <c r="AA143" s="503">
        <f>T143</f>
        <v>0</v>
      </c>
      <c r="AB143" s="504"/>
      <c r="AC143" s="504"/>
      <c r="AD143" s="504"/>
    </row>
    <row r="144" spans="1:30" s="505" customFormat="1" ht="41.25" hidden="1" customHeight="1">
      <c r="A144" s="492"/>
      <c r="B144" s="643"/>
      <c r="C144" s="515"/>
      <c r="D144" s="514"/>
      <c r="E144" s="670" t="s">
        <v>376</v>
      </c>
      <c r="F144" s="670"/>
      <c r="G144" s="670"/>
      <c r="H144" s="670"/>
      <c r="I144" s="670"/>
      <c r="J144" s="670"/>
      <c r="K144" s="670"/>
      <c r="L144" s="498">
        <f>ROUND((I139+J139+K139+L142+L143+L147)*3%,2)</f>
        <v>41.03</v>
      </c>
      <c r="M144" s="459">
        <f>L144</f>
        <v>41.03</v>
      </c>
      <c r="N144" s="655"/>
      <c r="O144" s="656"/>
      <c r="P144" s="657"/>
      <c r="Q144" s="671"/>
      <c r="R144" s="672"/>
      <c r="S144" s="673"/>
      <c r="T144" s="457">
        <f>H139*M144*N139*O139*P139</f>
        <v>0</v>
      </c>
      <c r="U144" s="458">
        <f>T144</f>
        <v>0</v>
      </c>
      <c r="V144" s="42"/>
      <c r="W144" s="504"/>
      <c r="X144" s="504"/>
      <c r="Y144" s="503"/>
      <c r="Z144" s="504"/>
      <c r="AA144" s="504"/>
      <c r="AB144" s="503">
        <f>T144</f>
        <v>0</v>
      </c>
      <c r="AC144" s="504"/>
      <c r="AD144" s="504"/>
    </row>
    <row r="145" spans="1:30" s="505" customFormat="1" ht="54.75" hidden="1" customHeight="1">
      <c r="A145" s="492"/>
      <c r="B145" s="643"/>
      <c r="C145" s="515"/>
      <c r="D145" s="514"/>
      <c r="E145" s="670" t="s">
        <v>377</v>
      </c>
      <c r="F145" s="670"/>
      <c r="G145" s="670"/>
      <c r="H145" s="670"/>
      <c r="I145" s="670"/>
      <c r="J145" s="670"/>
      <c r="K145" s="670"/>
      <c r="L145" s="498">
        <f>142.0054-K139-L142-L143-L147</f>
        <v>0</v>
      </c>
      <c r="M145" s="459">
        <f>L145</f>
        <v>0</v>
      </c>
      <c r="N145" s="655"/>
      <c r="O145" s="656"/>
      <c r="P145" s="657"/>
      <c r="Q145" s="671"/>
      <c r="R145" s="672"/>
      <c r="S145" s="673"/>
      <c r="T145" s="457">
        <f>H139*M145*N139*O139*P139</f>
        <v>0</v>
      </c>
      <c r="U145" s="458">
        <f>T145</f>
        <v>0</v>
      </c>
      <c r="V145" s="42"/>
      <c r="W145" s="504"/>
      <c r="X145" s="504"/>
      <c r="Y145" s="504"/>
      <c r="Z145" s="506"/>
      <c r="AA145" s="504"/>
      <c r="AB145" s="504"/>
      <c r="AC145" s="506">
        <f>T145</f>
        <v>0</v>
      </c>
      <c r="AD145" s="504"/>
    </row>
    <row r="146" spans="1:30" s="505" customFormat="1" ht="45" hidden="1" customHeight="1">
      <c r="A146" s="492"/>
      <c r="B146" s="643"/>
      <c r="C146" s="515"/>
      <c r="D146" s="514"/>
      <c r="E146" s="674"/>
      <c r="F146" s="675"/>
      <c r="G146" s="675"/>
      <c r="H146" s="675"/>
      <c r="I146" s="675"/>
      <c r="J146" s="675"/>
      <c r="K146" s="675"/>
      <c r="L146" s="675"/>
      <c r="M146" s="676"/>
      <c r="N146" s="655"/>
      <c r="O146" s="656"/>
      <c r="P146" s="657"/>
      <c r="Q146" s="677"/>
      <c r="R146" s="678"/>
      <c r="S146" s="678"/>
      <c r="T146" s="678"/>
      <c r="U146" s="679"/>
      <c r="V146" s="45"/>
      <c r="W146" s="504"/>
      <c r="X146" s="504"/>
      <c r="Y146" s="504"/>
      <c r="Z146" s="504"/>
      <c r="AA146" s="506"/>
      <c r="AB146" s="504"/>
      <c r="AC146" s="504"/>
      <c r="AD146" s="504"/>
    </row>
    <row r="147" spans="1:30" s="505" customFormat="1" ht="40.5" hidden="1" customHeight="1" thickBot="1">
      <c r="A147" s="492"/>
      <c r="B147" s="644"/>
      <c r="C147" s="516"/>
      <c r="D147" s="517"/>
      <c r="E147" s="680" t="s">
        <v>369</v>
      </c>
      <c r="F147" s="680" t="s">
        <v>306</v>
      </c>
      <c r="G147" s="680"/>
      <c r="H147" s="680"/>
      <c r="I147" s="680"/>
      <c r="J147" s="680"/>
      <c r="K147" s="680"/>
      <c r="L147" s="499">
        <f>ROUND((I139+J139+K139+L142)*3.93%,2)</f>
        <v>50.71</v>
      </c>
      <c r="M147" s="46">
        <f>L147</f>
        <v>50.71</v>
      </c>
      <c r="N147" s="658"/>
      <c r="O147" s="659"/>
      <c r="P147" s="660"/>
      <c r="Q147" s="681"/>
      <c r="R147" s="682"/>
      <c r="S147" s="683"/>
      <c r="T147" s="500">
        <f>H139*M147*N139*O139*P139</f>
        <v>0</v>
      </c>
      <c r="U147" s="47">
        <f>T147</f>
        <v>0</v>
      </c>
      <c r="V147" s="48"/>
      <c r="W147" s="504"/>
      <c r="X147" s="504"/>
      <c r="Y147" s="504"/>
      <c r="Z147" s="504"/>
      <c r="AA147" s="504"/>
      <c r="AB147" s="506"/>
      <c r="AC147" s="504"/>
      <c r="AD147" s="506">
        <f>T147</f>
        <v>0</v>
      </c>
    </row>
    <row r="148" spans="1:30" s="488" customFormat="1" ht="150" hidden="1" customHeight="1">
      <c r="A148" s="492"/>
      <c r="B148" s="642">
        <v>2</v>
      </c>
      <c r="C148" s="511">
        <v>3</v>
      </c>
      <c r="D148" s="512"/>
      <c r="E148" s="493" t="s">
        <v>404</v>
      </c>
      <c r="F148" s="487" t="s">
        <v>405</v>
      </c>
      <c r="G148" s="645" t="s">
        <v>357</v>
      </c>
      <c r="H148" s="712">
        <v>0</v>
      </c>
      <c r="I148" s="494">
        <v>0</v>
      </c>
      <c r="J148" s="494">
        <v>7734.66</v>
      </c>
      <c r="K148" s="494">
        <v>121.87</v>
      </c>
      <c r="L148" s="494">
        <f>SUM(L150:L156)</f>
        <v>885.1099999999999</v>
      </c>
      <c r="M148" s="33">
        <f>SUM(I148:L148)</f>
        <v>8741.64</v>
      </c>
      <c r="N148" s="501">
        <v>1</v>
      </c>
      <c r="O148" s="502">
        <v>1</v>
      </c>
      <c r="P148" s="37">
        <v>1</v>
      </c>
      <c r="Q148" s="34">
        <f>H148*I148*N148*O148*P148</f>
        <v>0</v>
      </c>
      <c r="R148" s="35">
        <f>H148*J148*N148*O148*P148</f>
        <v>0</v>
      </c>
      <c r="S148" s="36">
        <f>H148*K148*N148*O148*P148</f>
        <v>0</v>
      </c>
      <c r="T148" s="36">
        <f>H148*L148*N148*O148*P148</f>
        <v>0</v>
      </c>
      <c r="U148" s="37">
        <f>SUM(Q148:T148)</f>
        <v>0</v>
      </c>
      <c r="V148" s="38">
        <f>(Q148+R148+S148+T152+T153+T154+T156)*'Прогнозная стоимость РСС ИП '!$M$11+T151*'Прогнозная стоимость РСС ИП '!$M$10</f>
        <v>0</v>
      </c>
      <c r="W148" s="39">
        <f>T148</f>
        <v>0</v>
      </c>
      <c r="X148" s="39">
        <f>U148</f>
        <v>0</v>
      </c>
      <c r="Y148" s="39">
        <f>V148</f>
        <v>0</v>
      </c>
      <c r="Z148" s="29"/>
      <c r="AA148" s="29"/>
      <c r="AB148" s="29"/>
      <c r="AC148" s="29"/>
      <c r="AD148" s="29"/>
    </row>
    <row r="149" spans="1:30" s="488" customFormat="1" ht="41.25" hidden="1" customHeight="1">
      <c r="A149" s="492"/>
      <c r="B149" s="643"/>
      <c r="C149" s="513"/>
      <c r="D149" s="514"/>
      <c r="E149" s="495"/>
      <c r="F149" s="496"/>
      <c r="G149" s="646"/>
      <c r="H149" s="713"/>
      <c r="I149" s="649"/>
      <c r="J149" s="650"/>
      <c r="K149" s="650"/>
      <c r="L149" s="650"/>
      <c r="M149" s="651"/>
      <c r="N149" s="652"/>
      <c r="O149" s="653"/>
      <c r="P149" s="654"/>
      <c r="Q149" s="661"/>
      <c r="R149" s="662"/>
      <c r="S149" s="662"/>
      <c r="T149" s="662"/>
      <c r="U149" s="663"/>
      <c r="V149" s="40"/>
      <c r="W149" s="41"/>
      <c r="X149" s="41"/>
      <c r="Y149" s="41"/>
      <c r="Z149" s="29"/>
      <c r="AA149" s="29"/>
      <c r="AB149" s="29"/>
      <c r="AC149" s="29"/>
      <c r="AD149" s="29"/>
    </row>
    <row r="150" spans="1:30" s="488" customFormat="1" ht="41.25" hidden="1" customHeight="1">
      <c r="A150" s="492"/>
      <c r="B150" s="643"/>
      <c r="C150" s="513"/>
      <c r="D150" s="514"/>
      <c r="E150" s="664" t="s">
        <v>29</v>
      </c>
      <c r="F150" s="665"/>
      <c r="G150" s="665"/>
      <c r="H150" s="665"/>
      <c r="I150" s="665"/>
      <c r="J150" s="665"/>
      <c r="K150" s="665"/>
      <c r="L150" s="665"/>
      <c r="M150" s="666"/>
      <c r="N150" s="655"/>
      <c r="O150" s="656"/>
      <c r="P150" s="657"/>
      <c r="Q150" s="667"/>
      <c r="R150" s="689"/>
      <c r="S150" s="689"/>
      <c r="T150" s="689"/>
      <c r="U150" s="690"/>
      <c r="V150" s="42"/>
      <c r="W150" s="41"/>
      <c r="X150" s="41"/>
      <c r="Y150" s="41"/>
      <c r="Z150" s="29"/>
      <c r="AA150" s="29"/>
      <c r="AB150" s="29"/>
      <c r="AC150" s="29"/>
      <c r="AD150" s="29"/>
    </row>
    <row r="151" spans="1:30" s="488" customFormat="1" ht="41.25" hidden="1" customHeight="1">
      <c r="A151" s="492"/>
      <c r="B151" s="643"/>
      <c r="C151" s="513">
        <v>33</v>
      </c>
      <c r="D151" s="514"/>
      <c r="E151" s="670" t="s">
        <v>30</v>
      </c>
      <c r="F151" s="670"/>
      <c r="G151" s="670"/>
      <c r="H151" s="670"/>
      <c r="I151" s="670"/>
      <c r="J151" s="670"/>
      <c r="K151" s="670"/>
      <c r="L151" s="498">
        <v>147.80000000000001</v>
      </c>
      <c r="M151" s="459">
        <f>L151</f>
        <v>147.80000000000001</v>
      </c>
      <c r="N151" s="655"/>
      <c r="O151" s="656"/>
      <c r="P151" s="657"/>
      <c r="Q151" s="671"/>
      <c r="R151" s="672"/>
      <c r="S151" s="673"/>
      <c r="T151" s="457">
        <f>H148*M151*N148*O148*P148</f>
        <v>0</v>
      </c>
      <c r="U151" s="458">
        <f>T151</f>
        <v>0</v>
      </c>
      <c r="V151" s="42"/>
      <c r="W151" s="39"/>
      <c r="X151" s="41"/>
      <c r="Y151" s="41"/>
      <c r="Z151" s="43">
        <f>T151</f>
        <v>0</v>
      </c>
      <c r="AA151" s="29"/>
      <c r="AB151" s="29"/>
      <c r="AC151" s="29"/>
      <c r="AD151" s="29"/>
    </row>
    <row r="152" spans="1:30" s="488" customFormat="1" ht="41.25" hidden="1" customHeight="1">
      <c r="A152" s="492"/>
      <c r="B152" s="643"/>
      <c r="C152" s="513"/>
      <c r="D152" s="514"/>
      <c r="E152" s="670" t="s">
        <v>31</v>
      </c>
      <c r="F152" s="670"/>
      <c r="G152" s="670"/>
      <c r="H152" s="670"/>
      <c r="I152" s="670"/>
      <c r="J152" s="670"/>
      <c r="K152" s="670"/>
      <c r="L152" s="498">
        <f>ROUND((I148+J148+K148)*2.14%,2)</f>
        <v>168.13</v>
      </c>
      <c r="M152" s="459">
        <f>L152</f>
        <v>168.13</v>
      </c>
      <c r="N152" s="655"/>
      <c r="O152" s="656"/>
      <c r="P152" s="657"/>
      <c r="Q152" s="671"/>
      <c r="R152" s="672"/>
      <c r="S152" s="673"/>
      <c r="T152" s="457">
        <f>H148*M152*N148*O148*P148</f>
        <v>0</v>
      </c>
      <c r="U152" s="458">
        <f>T152</f>
        <v>0</v>
      </c>
      <c r="V152" s="42"/>
      <c r="W152" s="41"/>
      <c r="X152" s="39"/>
      <c r="Y152" s="41"/>
      <c r="Z152" s="29"/>
      <c r="AA152" s="43">
        <f>T152</f>
        <v>0</v>
      </c>
      <c r="AB152" s="29"/>
      <c r="AC152" s="29"/>
      <c r="AD152" s="29"/>
    </row>
    <row r="153" spans="1:30" s="488" customFormat="1" ht="41.25" hidden="1" customHeight="1">
      <c r="A153" s="492"/>
      <c r="B153" s="643"/>
      <c r="C153" s="515"/>
      <c r="D153" s="514"/>
      <c r="E153" s="670" t="s">
        <v>376</v>
      </c>
      <c r="F153" s="670"/>
      <c r="G153" s="670"/>
      <c r="H153" s="670"/>
      <c r="I153" s="670"/>
      <c r="J153" s="670"/>
      <c r="K153" s="670"/>
      <c r="L153" s="498">
        <f>ROUND((I148+J148+K148+L151+L152+L156)*3%,2)</f>
        <v>254.61</v>
      </c>
      <c r="M153" s="459">
        <f>L153</f>
        <v>254.61</v>
      </c>
      <c r="N153" s="655"/>
      <c r="O153" s="656"/>
      <c r="P153" s="657"/>
      <c r="Q153" s="671"/>
      <c r="R153" s="672"/>
      <c r="S153" s="673"/>
      <c r="T153" s="457">
        <f>H148*M153*N148*O148*P148</f>
        <v>0</v>
      </c>
      <c r="U153" s="458">
        <f>T153</f>
        <v>0</v>
      </c>
      <c r="V153" s="42"/>
      <c r="W153" s="41"/>
      <c r="X153" s="41"/>
      <c r="Y153" s="39"/>
      <c r="Z153" s="29"/>
      <c r="AA153" s="29"/>
      <c r="AB153" s="43">
        <f>T153</f>
        <v>0</v>
      </c>
      <c r="AC153" s="29"/>
      <c r="AD153" s="29"/>
    </row>
    <row r="154" spans="1:30" s="488" customFormat="1" ht="54.75" hidden="1" customHeight="1">
      <c r="A154" s="492"/>
      <c r="B154" s="643"/>
      <c r="C154" s="515"/>
      <c r="D154" s="514"/>
      <c r="E154" s="670" t="s">
        <v>377</v>
      </c>
      <c r="F154" s="670"/>
      <c r="G154" s="670"/>
      <c r="H154" s="670"/>
      <c r="I154" s="670"/>
      <c r="J154" s="670"/>
      <c r="K154" s="670"/>
      <c r="L154" s="498">
        <f>752.37-K148-L151-L152-L156</f>
        <v>0</v>
      </c>
      <c r="M154" s="459">
        <f>L154</f>
        <v>0</v>
      </c>
      <c r="N154" s="655"/>
      <c r="O154" s="656"/>
      <c r="P154" s="657"/>
      <c r="Q154" s="671"/>
      <c r="R154" s="672"/>
      <c r="S154" s="673"/>
      <c r="T154" s="457">
        <f>H148*M154*N148*O148*P148</f>
        <v>0</v>
      </c>
      <c r="U154" s="458">
        <f>T154</f>
        <v>0</v>
      </c>
      <c r="V154" s="42"/>
      <c r="W154" s="41"/>
      <c r="X154" s="41"/>
      <c r="Y154" s="41"/>
      <c r="Z154" s="44"/>
      <c r="AA154" s="29"/>
      <c r="AB154" s="29"/>
      <c r="AC154" s="44">
        <f>T154</f>
        <v>0</v>
      </c>
      <c r="AD154" s="29"/>
    </row>
    <row r="155" spans="1:30" s="488" customFormat="1" ht="45" hidden="1" customHeight="1">
      <c r="A155" s="492"/>
      <c r="B155" s="643"/>
      <c r="C155" s="515"/>
      <c r="D155" s="514"/>
      <c r="E155" s="674"/>
      <c r="F155" s="675"/>
      <c r="G155" s="675"/>
      <c r="H155" s="675"/>
      <c r="I155" s="675"/>
      <c r="J155" s="675"/>
      <c r="K155" s="675"/>
      <c r="L155" s="675"/>
      <c r="M155" s="676"/>
      <c r="N155" s="655"/>
      <c r="O155" s="656"/>
      <c r="P155" s="657"/>
      <c r="Q155" s="677"/>
      <c r="R155" s="678"/>
      <c r="S155" s="678"/>
      <c r="T155" s="678"/>
      <c r="U155" s="679"/>
      <c r="V155" s="45"/>
      <c r="W155" s="41"/>
      <c r="X155" s="41"/>
      <c r="Y155" s="41"/>
      <c r="Z155" s="29"/>
      <c r="AA155" s="44"/>
      <c r="AB155" s="29"/>
      <c r="AC155" s="29"/>
      <c r="AD155" s="29"/>
    </row>
    <row r="156" spans="1:30" s="488" customFormat="1" ht="45" hidden="1" customHeight="1" thickBot="1">
      <c r="A156" s="492"/>
      <c r="B156" s="644"/>
      <c r="C156" s="516"/>
      <c r="D156" s="517"/>
      <c r="E156" s="680" t="s">
        <v>369</v>
      </c>
      <c r="F156" s="680" t="s">
        <v>306</v>
      </c>
      <c r="G156" s="680"/>
      <c r="H156" s="680"/>
      <c r="I156" s="680"/>
      <c r="J156" s="680"/>
      <c r="K156" s="680"/>
      <c r="L156" s="499">
        <f>ROUND((I148+J148+K148+L151)*3.93%,2)</f>
        <v>314.57</v>
      </c>
      <c r="M156" s="46">
        <f>L156</f>
        <v>314.57</v>
      </c>
      <c r="N156" s="658"/>
      <c r="O156" s="659"/>
      <c r="P156" s="660"/>
      <c r="Q156" s="681"/>
      <c r="R156" s="682"/>
      <c r="S156" s="683"/>
      <c r="T156" s="500">
        <f>H148*M156*N148*O148*P148</f>
        <v>0</v>
      </c>
      <c r="U156" s="47">
        <f>T156</f>
        <v>0</v>
      </c>
      <c r="V156" s="48"/>
      <c r="W156" s="41"/>
      <c r="X156" s="41"/>
      <c r="Y156" s="41"/>
      <c r="Z156" s="29"/>
      <c r="AA156" s="29"/>
      <c r="AB156" s="44"/>
      <c r="AC156" s="29"/>
      <c r="AD156" s="44">
        <f>T156</f>
        <v>0</v>
      </c>
    </row>
    <row r="157" spans="1:30" s="488" customFormat="1" ht="150" hidden="1" customHeight="1">
      <c r="A157" s="492"/>
      <c r="B157" s="642">
        <v>2</v>
      </c>
      <c r="C157" s="511">
        <v>3</v>
      </c>
      <c r="D157" s="512"/>
      <c r="E157" s="493" t="s">
        <v>406</v>
      </c>
      <c r="F157" s="487" t="s">
        <v>407</v>
      </c>
      <c r="G157" s="645" t="s">
        <v>357</v>
      </c>
      <c r="H157" s="712">
        <v>0</v>
      </c>
      <c r="I157" s="494">
        <v>0</v>
      </c>
      <c r="J157" s="494">
        <v>7800.32</v>
      </c>
      <c r="K157" s="494">
        <v>121.87</v>
      </c>
      <c r="L157" s="494">
        <f>SUM(L159:L165)</f>
        <v>891.32000000000016</v>
      </c>
      <c r="M157" s="33">
        <f>SUM(I157:L157)</f>
        <v>8813.51</v>
      </c>
      <c r="N157" s="501">
        <v>1</v>
      </c>
      <c r="O157" s="502">
        <v>1</v>
      </c>
      <c r="P157" s="37">
        <v>1</v>
      </c>
      <c r="Q157" s="34">
        <f>H157*I157*N157*O157*P157</f>
        <v>0</v>
      </c>
      <c r="R157" s="35">
        <f>H157*J157*N157*O157*P157</f>
        <v>0</v>
      </c>
      <c r="S157" s="36">
        <f>H157*K157*N157*O157*P157</f>
        <v>0</v>
      </c>
      <c r="T157" s="36">
        <f>H157*L157*N157*O157*P157</f>
        <v>0</v>
      </c>
      <c r="U157" s="37">
        <f>SUM(Q157:T157)</f>
        <v>0</v>
      </c>
      <c r="V157" s="38">
        <f>(Q157+R157+S157+T161+T162+T163+T165)*'Прогнозная стоимость РСС ИП '!$M$11+T160*'Прогнозная стоимость РСС ИП '!$M$10</f>
        <v>0</v>
      </c>
      <c r="W157" s="39">
        <f>T157</f>
        <v>0</v>
      </c>
      <c r="X157" s="39">
        <f>U157</f>
        <v>0</v>
      </c>
      <c r="Y157" s="39">
        <f>V157</f>
        <v>0</v>
      </c>
      <c r="Z157" s="29"/>
      <c r="AA157" s="29"/>
      <c r="AB157" s="29"/>
      <c r="AC157" s="29"/>
      <c r="AD157" s="29"/>
    </row>
    <row r="158" spans="1:30" s="488" customFormat="1" ht="41.25" hidden="1" customHeight="1">
      <c r="A158" s="492"/>
      <c r="B158" s="643"/>
      <c r="C158" s="513"/>
      <c r="D158" s="514"/>
      <c r="E158" s="495"/>
      <c r="F158" s="496"/>
      <c r="G158" s="646"/>
      <c r="H158" s="713"/>
      <c r="I158" s="649"/>
      <c r="J158" s="650"/>
      <c r="K158" s="650"/>
      <c r="L158" s="650"/>
      <c r="M158" s="651"/>
      <c r="N158" s="652"/>
      <c r="O158" s="653"/>
      <c r="P158" s="654"/>
      <c r="Q158" s="661"/>
      <c r="R158" s="662"/>
      <c r="S158" s="662"/>
      <c r="T158" s="662"/>
      <c r="U158" s="663"/>
      <c r="V158" s="40"/>
      <c r="W158" s="41"/>
      <c r="X158" s="41"/>
      <c r="Y158" s="41"/>
      <c r="Z158" s="29"/>
      <c r="AA158" s="29"/>
      <c r="AB158" s="29"/>
      <c r="AC158" s="29"/>
      <c r="AD158" s="29"/>
    </row>
    <row r="159" spans="1:30" s="488" customFormat="1" ht="41.25" hidden="1" customHeight="1">
      <c r="A159" s="492"/>
      <c r="B159" s="643"/>
      <c r="C159" s="513"/>
      <c r="D159" s="514"/>
      <c r="E159" s="664" t="s">
        <v>29</v>
      </c>
      <c r="F159" s="665"/>
      <c r="G159" s="665"/>
      <c r="H159" s="665"/>
      <c r="I159" s="665"/>
      <c r="J159" s="665"/>
      <c r="K159" s="665"/>
      <c r="L159" s="665"/>
      <c r="M159" s="666"/>
      <c r="N159" s="655"/>
      <c r="O159" s="656"/>
      <c r="P159" s="657"/>
      <c r="Q159" s="667"/>
      <c r="R159" s="689"/>
      <c r="S159" s="689"/>
      <c r="T159" s="689"/>
      <c r="U159" s="690"/>
      <c r="V159" s="42"/>
      <c r="W159" s="41"/>
      <c r="X159" s="41"/>
      <c r="Y159" s="41"/>
      <c r="Z159" s="29"/>
      <c r="AA159" s="29"/>
      <c r="AB159" s="29"/>
      <c r="AC159" s="29"/>
      <c r="AD159" s="29"/>
    </row>
    <row r="160" spans="1:30" s="488" customFormat="1" ht="41.25" hidden="1" customHeight="1">
      <c r="A160" s="492"/>
      <c r="B160" s="643"/>
      <c r="C160" s="513">
        <v>33</v>
      </c>
      <c r="D160" s="514"/>
      <c r="E160" s="670" t="s">
        <v>30</v>
      </c>
      <c r="F160" s="670"/>
      <c r="G160" s="670"/>
      <c r="H160" s="670"/>
      <c r="I160" s="670"/>
      <c r="J160" s="670"/>
      <c r="K160" s="670"/>
      <c r="L160" s="498">
        <v>147.93</v>
      </c>
      <c r="M160" s="459">
        <f>L160</f>
        <v>147.93</v>
      </c>
      <c r="N160" s="655"/>
      <c r="O160" s="656"/>
      <c r="P160" s="657"/>
      <c r="Q160" s="671"/>
      <c r="R160" s="672"/>
      <c r="S160" s="673"/>
      <c r="T160" s="457">
        <f>H157*M160*N157*O157*P157</f>
        <v>0</v>
      </c>
      <c r="U160" s="458">
        <f>T160</f>
        <v>0</v>
      </c>
      <c r="V160" s="42"/>
      <c r="W160" s="39"/>
      <c r="X160" s="41"/>
      <c r="Y160" s="41"/>
      <c r="Z160" s="43">
        <f>T160</f>
        <v>0</v>
      </c>
      <c r="AA160" s="29"/>
      <c r="AB160" s="29"/>
      <c r="AC160" s="29"/>
      <c r="AD160" s="29"/>
    </row>
    <row r="161" spans="1:30" s="488" customFormat="1" ht="41.25" hidden="1" customHeight="1">
      <c r="A161" s="492"/>
      <c r="B161" s="643"/>
      <c r="C161" s="513"/>
      <c r="D161" s="514"/>
      <c r="E161" s="670" t="s">
        <v>31</v>
      </c>
      <c r="F161" s="670"/>
      <c r="G161" s="670"/>
      <c r="H161" s="670"/>
      <c r="I161" s="670"/>
      <c r="J161" s="670"/>
      <c r="K161" s="670"/>
      <c r="L161" s="498">
        <f>ROUND((I157+J157+K157)*2.14%,2)</f>
        <v>169.53</v>
      </c>
      <c r="M161" s="459">
        <f>L161</f>
        <v>169.53</v>
      </c>
      <c r="N161" s="655"/>
      <c r="O161" s="656"/>
      <c r="P161" s="657"/>
      <c r="Q161" s="671"/>
      <c r="R161" s="672"/>
      <c r="S161" s="673"/>
      <c r="T161" s="457">
        <f>H157*M161*N157*O157*P157</f>
        <v>0</v>
      </c>
      <c r="U161" s="458">
        <f>T161</f>
        <v>0</v>
      </c>
      <c r="V161" s="42"/>
      <c r="W161" s="41"/>
      <c r="X161" s="39"/>
      <c r="Y161" s="41"/>
      <c r="Z161" s="29"/>
      <c r="AA161" s="43">
        <f>T161</f>
        <v>0</v>
      </c>
      <c r="AB161" s="29"/>
      <c r="AC161" s="29"/>
      <c r="AD161" s="29"/>
    </row>
    <row r="162" spans="1:30" s="488" customFormat="1" ht="41.25" hidden="1" customHeight="1">
      <c r="A162" s="492"/>
      <c r="B162" s="643"/>
      <c r="C162" s="515"/>
      <c r="D162" s="514"/>
      <c r="E162" s="670" t="s">
        <v>376</v>
      </c>
      <c r="F162" s="670"/>
      <c r="G162" s="670"/>
      <c r="H162" s="670"/>
      <c r="I162" s="670"/>
      <c r="J162" s="670"/>
      <c r="K162" s="670"/>
      <c r="L162" s="498">
        <f>ROUND((I157+J157+K157+L160+L161+L165)*3%,2)</f>
        <v>256.7</v>
      </c>
      <c r="M162" s="459">
        <f>L162</f>
        <v>256.7</v>
      </c>
      <c r="N162" s="655"/>
      <c r="O162" s="656"/>
      <c r="P162" s="657"/>
      <c r="Q162" s="671"/>
      <c r="R162" s="672"/>
      <c r="S162" s="673"/>
      <c r="T162" s="457">
        <f>H157*M162*N157*O157*P157</f>
        <v>0</v>
      </c>
      <c r="U162" s="458">
        <f>T162</f>
        <v>0</v>
      </c>
      <c r="V162" s="42"/>
      <c r="W162" s="41"/>
      <c r="X162" s="41"/>
      <c r="Y162" s="39"/>
      <c r="Z162" s="29"/>
      <c r="AA162" s="29"/>
      <c r="AB162" s="43">
        <f>T162</f>
        <v>0</v>
      </c>
      <c r="AC162" s="29"/>
      <c r="AD162" s="29"/>
    </row>
    <row r="163" spans="1:30" s="488" customFormat="1" ht="54.75" hidden="1" customHeight="1">
      <c r="A163" s="492"/>
      <c r="B163" s="643"/>
      <c r="C163" s="515"/>
      <c r="D163" s="514"/>
      <c r="E163" s="670" t="s">
        <v>377</v>
      </c>
      <c r="F163" s="670"/>
      <c r="G163" s="670"/>
      <c r="H163" s="670"/>
      <c r="I163" s="670"/>
      <c r="J163" s="670"/>
      <c r="K163" s="670"/>
      <c r="L163" s="498">
        <f>756.49-K157-L160-L161-L165</f>
        <v>0</v>
      </c>
      <c r="M163" s="459">
        <f>L163</f>
        <v>0</v>
      </c>
      <c r="N163" s="655"/>
      <c r="O163" s="656"/>
      <c r="P163" s="657"/>
      <c r="Q163" s="671"/>
      <c r="R163" s="672"/>
      <c r="S163" s="673"/>
      <c r="T163" s="457">
        <f>H157*M163*N157*O157*P157</f>
        <v>0</v>
      </c>
      <c r="U163" s="458">
        <f>T163</f>
        <v>0</v>
      </c>
      <c r="V163" s="42"/>
      <c r="W163" s="41"/>
      <c r="X163" s="41"/>
      <c r="Y163" s="41"/>
      <c r="Z163" s="44"/>
      <c r="AA163" s="29"/>
      <c r="AB163" s="29"/>
      <c r="AC163" s="44">
        <f>T163</f>
        <v>0</v>
      </c>
      <c r="AD163" s="29"/>
    </row>
    <row r="164" spans="1:30" s="488" customFormat="1" ht="45" hidden="1" customHeight="1">
      <c r="A164" s="492"/>
      <c r="B164" s="643"/>
      <c r="C164" s="515"/>
      <c r="D164" s="514"/>
      <c r="E164" s="674"/>
      <c r="F164" s="675"/>
      <c r="G164" s="675"/>
      <c r="H164" s="675"/>
      <c r="I164" s="675"/>
      <c r="J164" s="675"/>
      <c r="K164" s="675"/>
      <c r="L164" s="675"/>
      <c r="M164" s="676"/>
      <c r="N164" s="655"/>
      <c r="O164" s="656"/>
      <c r="P164" s="657"/>
      <c r="Q164" s="677"/>
      <c r="R164" s="678"/>
      <c r="S164" s="678"/>
      <c r="T164" s="678"/>
      <c r="U164" s="679"/>
      <c r="V164" s="45"/>
      <c r="W164" s="41"/>
      <c r="X164" s="41"/>
      <c r="Y164" s="41"/>
      <c r="Z164" s="29"/>
      <c r="AA164" s="44"/>
      <c r="AB164" s="29"/>
      <c r="AC164" s="29"/>
      <c r="AD164" s="29"/>
    </row>
    <row r="165" spans="1:30" s="488" customFormat="1" ht="45" hidden="1" customHeight="1" thickBot="1">
      <c r="A165" s="492"/>
      <c r="B165" s="644"/>
      <c r="C165" s="516"/>
      <c r="D165" s="517"/>
      <c r="E165" s="680" t="s">
        <v>369</v>
      </c>
      <c r="F165" s="680" t="s">
        <v>306</v>
      </c>
      <c r="G165" s="680"/>
      <c r="H165" s="680"/>
      <c r="I165" s="680"/>
      <c r="J165" s="680"/>
      <c r="K165" s="680"/>
      <c r="L165" s="499">
        <f>ROUND((I157+J157+K157+L160)*3.93%,2)</f>
        <v>317.16000000000003</v>
      </c>
      <c r="M165" s="46">
        <f>L165</f>
        <v>317.16000000000003</v>
      </c>
      <c r="N165" s="658"/>
      <c r="O165" s="659"/>
      <c r="P165" s="660"/>
      <c r="Q165" s="681"/>
      <c r="R165" s="682"/>
      <c r="S165" s="683"/>
      <c r="T165" s="500">
        <f>H157*M165*N157*O157*P157</f>
        <v>0</v>
      </c>
      <c r="U165" s="47">
        <f>T165</f>
        <v>0</v>
      </c>
      <c r="V165" s="48"/>
      <c r="W165" s="41"/>
      <c r="X165" s="41"/>
      <c r="Y165" s="41"/>
      <c r="Z165" s="29"/>
      <c r="AA165" s="29"/>
      <c r="AB165" s="44"/>
      <c r="AC165" s="29"/>
      <c r="AD165" s="44">
        <f>T165</f>
        <v>0</v>
      </c>
    </row>
    <row r="166" spans="1:30" s="488" customFormat="1" ht="150" hidden="1" customHeight="1">
      <c r="A166" s="492"/>
      <c r="B166" s="642">
        <v>2</v>
      </c>
      <c r="C166" s="511">
        <v>3</v>
      </c>
      <c r="D166" s="512"/>
      <c r="E166" s="493" t="s">
        <v>408</v>
      </c>
      <c r="F166" s="487" t="s">
        <v>409</v>
      </c>
      <c r="G166" s="645" t="s">
        <v>357</v>
      </c>
      <c r="H166" s="712">
        <v>0</v>
      </c>
      <c r="I166" s="494">
        <v>0</v>
      </c>
      <c r="J166" s="494">
        <v>7880.33</v>
      </c>
      <c r="K166" s="494">
        <v>121.87</v>
      </c>
      <c r="L166" s="494">
        <f>SUM(L168:L174)</f>
        <v>898.91000000000008</v>
      </c>
      <c r="M166" s="33">
        <f>SUM(I166:L166)</f>
        <v>8901.11</v>
      </c>
      <c r="N166" s="501">
        <v>1</v>
      </c>
      <c r="O166" s="502">
        <v>1</v>
      </c>
      <c r="P166" s="37">
        <v>1</v>
      </c>
      <c r="Q166" s="34">
        <f>H166*I166*N166*O166*P166</f>
        <v>0</v>
      </c>
      <c r="R166" s="35">
        <f>H166*J166*N166*O166*P166</f>
        <v>0</v>
      </c>
      <c r="S166" s="36">
        <f>H166*K166*N166*O166*P166</f>
        <v>0</v>
      </c>
      <c r="T166" s="36">
        <f>H166*L166*N166*O166*P166</f>
        <v>0</v>
      </c>
      <c r="U166" s="37">
        <f>SUM(Q166:T166)</f>
        <v>0</v>
      </c>
      <c r="V166" s="38">
        <f>(Q166+R166+S166+T170+T171+T172+T174)*'Прогнозная стоимость РСС ИП '!$M$11+T169*'Прогнозная стоимость РСС ИП '!$M$10</f>
        <v>0</v>
      </c>
      <c r="W166" s="39">
        <f>T166</f>
        <v>0</v>
      </c>
      <c r="X166" s="39">
        <f>U166</f>
        <v>0</v>
      </c>
      <c r="Y166" s="39">
        <f>V166</f>
        <v>0</v>
      </c>
      <c r="Z166" s="29"/>
      <c r="AA166" s="29"/>
      <c r="AB166" s="29"/>
      <c r="AC166" s="29"/>
      <c r="AD166" s="29"/>
    </row>
    <row r="167" spans="1:30" s="488" customFormat="1" ht="41.25" hidden="1" customHeight="1">
      <c r="A167" s="492"/>
      <c r="B167" s="643"/>
      <c r="C167" s="513"/>
      <c r="D167" s="514"/>
      <c r="E167" s="495"/>
      <c r="F167" s="496"/>
      <c r="G167" s="646"/>
      <c r="H167" s="713"/>
      <c r="I167" s="649"/>
      <c r="J167" s="650"/>
      <c r="K167" s="650"/>
      <c r="L167" s="650"/>
      <c r="M167" s="651"/>
      <c r="N167" s="652"/>
      <c r="O167" s="653"/>
      <c r="P167" s="654"/>
      <c r="Q167" s="661"/>
      <c r="R167" s="662"/>
      <c r="S167" s="662"/>
      <c r="T167" s="662"/>
      <c r="U167" s="663"/>
      <c r="V167" s="40"/>
      <c r="W167" s="41"/>
      <c r="X167" s="41"/>
      <c r="Y167" s="41"/>
      <c r="Z167" s="29"/>
      <c r="AA167" s="29"/>
      <c r="AB167" s="29"/>
      <c r="AC167" s="29"/>
      <c r="AD167" s="29"/>
    </row>
    <row r="168" spans="1:30" s="488" customFormat="1" ht="41.25" hidden="1" customHeight="1">
      <c r="A168" s="492"/>
      <c r="B168" s="643"/>
      <c r="C168" s="513"/>
      <c r="D168" s="514"/>
      <c r="E168" s="664" t="s">
        <v>29</v>
      </c>
      <c r="F168" s="665"/>
      <c r="G168" s="665"/>
      <c r="H168" s="665"/>
      <c r="I168" s="665"/>
      <c r="J168" s="665"/>
      <c r="K168" s="665"/>
      <c r="L168" s="665"/>
      <c r="M168" s="666"/>
      <c r="N168" s="655"/>
      <c r="O168" s="656"/>
      <c r="P168" s="657"/>
      <c r="Q168" s="667"/>
      <c r="R168" s="689"/>
      <c r="S168" s="689"/>
      <c r="T168" s="689"/>
      <c r="U168" s="690"/>
      <c r="V168" s="42"/>
      <c r="W168" s="41"/>
      <c r="X168" s="41"/>
      <c r="Y168" s="41"/>
      <c r="Z168" s="29"/>
      <c r="AA168" s="29"/>
      <c r="AB168" s="29"/>
      <c r="AC168" s="29"/>
      <c r="AD168" s="29"/>
    </row>
    <row r="169" spans="1:30" s="488" customFormat="1" ht="41.25" hidden="1" customHeight="1">
      <c r="A169" s="492"/>
      <c r="B169" s="643"/>
      <c r="C169" s="513">
        <v>33</v>
      </c>
      <c r="D169" s="514"/>
      <c r="E169" s="670" t="s">
        <v>30</v>
      </c>
      <c r="F169" s="670"/>
      <c r="G169" s="670"/>
      <c r="H169" s="670"/>
      <c r="I169" s="670"/>
      <c r="J169" s="670"/>
      <c r="K169" s="670"/>
      <c r="L169" s="498">
        <v>148.09</v>
      </c>
      <c r="M169" s="459">
        <f>L169</f>
        <v>148.09</v>
      </c>
      <c r="N169" s="655"/>
      <c r="O169" s="656"/>
      <c r="P169" s="657"/>
      <c r="Q169" s="671"/>
      <c r="R169" s="672"/>
      <c r="S169" s="673"/>
      <c r="T169" s="457">
        <f>H166*M169*N166*O166*P166</f>
        <v>0</v>
      </c>
      <c r="U169" s="458">
        <f>T169</f>
        <v>0</v>
      </c>
      <c r="V169" s="42"/>
      <c r="W169" s="39"/>
      <c r="X169" s="41"/>
      <c r="Y169" s="41"/>
      <c r="Z169" s="43">
        <f>T169</f>
        <v>0</v>
      </c>
      <c r="AA169" s="29"/>
      <c r="AB169" s="29"/>
      <c r="AC169" s="29"/>
      <c r="AD169" s="29"/>
    </row>
    <row r="170" spans="1:30" s="488" customFormat="1" ht="41.25" hidden="1" customHeight="1">
      <c r="A170" s="492"/>
      <c r="B170" s="643"/>
      <c r="C170" s="513"/>
      <c r="D170" s="514"/>
      <c r="E170" s="670" t="s">
        <v>31</v>
      </c>
      <c r="F170" s="670"/>
      <c r="G170" s="670"/>
      <c r="H170" s="670"/>
      <c r="I170" s="670"/>
      <c r="J170" s="670"/>
      <c r="K170" s="670"/>
      <c r="L170" s="498">
        <f>ROUND((I166+J166+K166)*2.14%,2)</f>
        <v>171.25</v>
      </c>
      <c r="M170" s="459">
        <f>L170</f>
        <v>171.25</v>
      </c>
      <c r="N170" s="655"/>
      <c r="O170" s="656"/>
      <c r="P170" s="657"/>
      <c r="Q170" s="671"/>
      <c r="R170" s="672"/>
      <c r="S170" s="673"/>
      <c r="T170" s="457">
        <f>H166*M170*N166*O166*P166</f>
        <v>0</v>
      </c>
      <c r="U170" s="458">
        <f>T170</f>
        <v>0</v>
      </c>
      <c r="V170" s="42"/>
      <c r="W170" s="41"/>
      <c r="X170" s="39"/>
      <c r="Y170" s="41"/>
      <c r="Z170" s="29"/>
      <c r="AA170" s="43">
        <f>T170</f>
        <v>0</v>
      </c>
      <c r="AB170" s="29"/>
      <c r="AC170" s="29"/>
      <c r="AD170" s="29"/>
    </row>
    <row r="171" spans="1:30" s="488" customFormat="1" ht="41.25" hidden="1" customHeight="1">
      <c r="A171" s="492"/>
      <c r="B171" s="643"/>
      <c r="C171" s="515"/>
      <c r="D171" s="514"/>
      <c r="E171" s="670" t="s">
        <v>376</v>
      </c>
      <c r="F171" s="670"/>
      <c r="G171" s="670"/>
      <c r="H171" s="670"/>
      <c r="I171" s="670"/>
      <c r="J171" s="670"/>
      <c r="K171" s="670"/>
      <c r="L171" s="498">
        <f>ROUND((I166+J166+K166+L169+L170+L174)*3%,2)</f>
        <v>259.26</v>
      </c>
      <c r="M171" s="459">
        <f>L171</f>
        <v>259.26</v>
      </c>
      <c r="N171" s="655"/>
      <c r="O171" s="656"/>
      <c r="P171" s="657"/>
      <c r="Q171" s="671"/>
      <c r="R171" s="672"/>
      <c r="S171" s="673"/>
      <c r="T171" s="457">
        <f>H166*M171*N166*O166*P166</f>
        <v>0</v>
      </c>
      <c r="U171" s="458">
        <f>T171</f>
        <v>0</v>
      </c>
      <c r="V171" s="42"/>
      <c r="W171" s="41"/>
      <c r="X171" s="41"/>
      <c r="Y171" s="39"/>
      <c r="Z171" s="29"/>
      <c r="AA171" s="29"/>
      <c r="AB171" s="43">
        <f>T171</f>
        <v>0</v>
      </c>
      <c r="AC171" s="29"/>
      <c r="AD171" s="29"/>
    </row>
    <row r="172" spans="1:30" s="488" customFormat="1" ht="54.75" hidden="1" customHeight="1">
      <c r="A172" s="492"/>
      <c r="B172" s="643"/>
      <c r="C172" s="515"/>
      <c r="D172" s="514"/>
      <c r="E172" s="670" t="s">
        <v>377</v>
      </c>
      <c r="F172" s="670"/>
      <c r="G172" s="670"/>
      <c r="H172" s="670"/>
      <c r="I172" s="670"/>
      <c r="J172" s="670"/>
      <c r="K172" s="670"/>
      <c r="L172" s="498">
        <f>761.52-K166-L169-L170-L174</f>
        <v>0</v>
      </c>
      <c r="M172" s="459">
        <f>L172</f>
        <v>0</v>
      </c>
      <c r="N172" s="655"/>
      <c r="O172" s="656"/>
      <c r="P172" s="657"/>
      <c r="Q172" s="671"/>
      <c r="R172" s="672"/>
      <c r="S172" s="673"/>
      <c r="T172" s="457">
        <f>H166*M172*N166*O166*P166</f>
        <v>0</v>
      </c>
      <c r="U172" s="458">
        <f>T172</f>
        <v>0</v>
      </c>
      <c r="V172" s="42"/>
      <c r="W172" s="41"/>
      <c r="X172" s="41"/>
      <c r="Y172" s="41"/>
      <c r="Z172" s="44"/>
      <c r="AA172" s="29"/>
      <c r="AB172" s="29"/>
      <c r="AC172" s="44">
        <f>T172</f>
        <v>0</v>
      </c>
      <c r="AD172" s="29"/>
    </row>
    <row r="173" spans="1:30" s="488" customFormat="1" ht="45" hidden="1" customHeight="1">
      <c r="A173" s="492"/>
      <c r="B173" s="643"/>
      <c r="C173" s="515"/>
      <c r="D173" s="514"/>
      <c r="E173" s="674"/>
      <c r="F173" s="675"/>
      <c r="G173" s="675"/>
      <c r="H173" s="675"/>
      <c r="I173" s="675"/>
      <c r="J173" s="675"/>
      <c r="K173" s="675"/>
      <c r="L173" s="675"/>
      <c r="M173" s="676"/>
      <c r="N173" s="655"/>
      <c r="O173" s="656"/>
      <c r="P173" s="657"/>
      <c r="Q173" s="677"/>
      <c r="R173" s="678"/>
      <c r="S173" s="678"/>
      <c r="T173" s="678"/>
      <c r="U173" s="679"/>
      <c r="V173" s="45"/>
      <c r="W173" s="41"/>
      <c r="X173" s="41"/>
      <c r="Y173" s="41"/>
      <c r="Z173" s="29"/>
      <c r="AA173" s="44"/>
      <c r="AB173" s="29"/>
      <c r="AC173" s="29"/>
      <c r="AD173" s="29"/>
    </row>
    <row r="174" spans="1:30" s="488" customFormat="1" ht="45" hidden="1" customHeight="1" thickBot="1">
      <c r="A174" s="492"/>
      <c r="B174" s="644"/>
      <c r="C174" s="516"/>
      <c r="D174" s="517"/>
      <c r="E174" s="680" t="s">
        <v>369</v>
      </c>
      <c r="F174" s="680" t="s">
        <v>306</v>
      </c>
      <c r="G174" s="680"/>
      <c r="H174" s="680"/>
      <c r="I174" s="680"/>
      <c r="J174" s="680"/>
      <c r="K174" s="680"/>
      <c r="L174" s="499">
        <f>ROUND((I166+J166+K166+L169)*3.93%,2)</f>
        <v>320.31</v>
      </c>
      <c r="M174" s="46">
        <f>L174</f>
        <v>320.31</v>
      </c>
      <c r="N174" s="658"/>
      <c r="O174" s="659"/>
      <c r="P174" s="660"/>
      <c r="Q174" s="681"/>
      <c r="R174" s="682"/>
      <c r="S174" s="683"/>
      <c r="T174" s="500">
        <f>H166*M174*N166*O166*P166</f>
        <v>0</v>
      </c>
      <c r="U174" s="47">
        <f>T174</f>
        <v>0</v>
      </c>
      <c r="V174" s="48"/>
      <c r="W174" s="41"/>
      <c r="X174" s="41"/>
      <c r="Y174" s="41"/>
      <c r="Z174" s="29"/>
      <c r="AA174" s="29"/>
      <c r="AB174" s="44"/>
      <c r="AC174" s="29"/>
      <c r="AD174" s="44">
        <f>T174</f>
        <v>0</v>
      </c>
    </row>
    <row r="175" spans="1:30" s="488" customFormat="1" ht="150" hidden="1" customHeight="1">
      <c r="A175" s="492"/>
      <c r="B175" s="642">
        <v>2</v>
      </c>
      <c r="C175" s="511">
        <v>3</v>
      </c>
      <c r="D175" s="512"/>
      <c r="E175" s="493" t="s">
        <v>410</v>
      </c>
      <c r="F175" s="487" t="s">
        <v>411</v>
      </c>
      <c r="G175" s="645" t="s">
        <v>357</v>
      </c>
      <c r="H175" s="712">
        <v>0</v>
      </c>
      <c r="I175" s="494">
        <v>0</v>
      </c>
      <c r="J175" s="494">
        <v>7970.73</v>
      </c>
      <c r="K175" s="494">
        <v>121.87</v>
      </c>
      <c r="L175" s="494">
        <f>SUM(L177:L183)</f>
        <v>907.47</v>
      </c>
      <c r="M175" s="33">
        <f>SUM(I175:L175)</f>
        <v>9000.07</v>
      </c>
      <c r="N175" s="501">
        <v>1</v>
      </c>
      <c r="O175" s="502">
        <v>1</v>
      </c>
      <c r="P175" s="37">
        <v>1</v>
      </c>
      <c r="Q175" s="34">
        <f>H175*I175*N175*O175*P175</f>
        <v>0</v>
      </c>
      <c r="R175" s="35">
        <f>H175*J175*N175*O175*P175</f>
        <v>0</v>
      </c>
      <c r="S175" s="36">
        <f>H175*K175*N175*O175*P175</f>
        <v>0</v>
      </c>
      <c r="T175" s="36">
        <f>H175*L175*N175*O175*P175</f>
        <v>0</v>
      </c>
      <c r="U175" s="37">
        <f>SUM(Q175:T175)</f>
        <v>0</v>
      </c>
      <c r="V175" s="38">
        <f>(Q175+R175+S175+T179+T180+T181+T183)*'Прогнозная стоимость РСС ИП '!$M$11+T178*'Прогнозная стоимость РСС ИП '!$M$10</f>
        <v>0</v>
      </c>
      <c r="W175" s="39">
        <f>T175</f>
        <v>0</v>
      </c>
      <c r="X175" s="39">
        <f>U175</f>
        <v>0</v>
      </c>
      <c r="Y175" s="39">
        <f>V175</f>
        <v>0</v>
      </c>
      <c r="Z175" s="29"/>
      <c r="AA175" s="29"/>
      <c r="AB175" s="29"/>
      <c r="AC175" s="29"/>
      <c r="AD175" s="29"/>
    </row>
    <row r="176" spans="1:30" s="488" customFormat="1" ht="41.25" hidden="1" customHeight="1">
      <c r="A176" s="492"/>
      <c r="B176" s="643"/>
      <c r="C176" s="513"/>
      <c r="D176" s="514"/>
      <c r="E176" s="495"/>
      <c r="F176" s="496"/>
      <c r="G176" s="646"/>
      <c r="H176" s="713"/>
      <c r="I176" s="649"/>
      <c r="J176" s="650"/>
      <c r="K176" s="650"/>
      <c r="L176" s="650"/>
      <c r="M176" s="651"/>
      <c r="N176" s="652"/>
      <c r="O176" s="653"/>
      <c r="P176" s="654"/>
      <c r="Q176" s="661"/>
      <c r="R176" s="662"/>
      <c r="S176" s="662"/>
      <c r="T176" s="662"/>
      <c r="U176" s="663"/>
      <c r="V176" s="40"/>
      <c r="W176" s="41"/>
      <c r="X176" s="41"/>
      <c r="Y176" s="41"/>
      <c r="Z176" s="29"/>
      <c r="AA176" s="29"/>
      <c r="AB176" s="29"/>
      <c r="AC176" s="29"/>
      <c r="AD176" s="29"/>
    </row>
    <row r="177" spans="1:30" s="488" customFormat="1" ht="41.25" hidden="1" customHeight="1">
      <c r="A177" s="492"/>
      <c r="B177" s="643"/>
      <c r="C177" s="513"/>
      <c r="D177" s="514"/>
      <c r="E177" s="664" t="s">
        <v>29</v>
      </c>
      <c r="F177" s="665"/>
      <c r="G177" s="665"/>
      <c r="H177" s="665"/>
      <c r="I177" s="665"/>
      <c r="J177" s="665"/>
      <c r="K177" s="665"/>
      <c r="L177" s="665"/>
      <c r="M177" s="666"/>
      <c r="N177" s="655"/>
      <c r="O177" s="656"/>
      <c r="P177" s="657"/>
      <c r="Q177" s="667"/>
      <c r="R177" s="689"/>
      <c r="S177" s="689"/>
      <c r="T177" s="689"/>
      <c r="U177" s="690"/>
      <c r="V177" s="42"/>
      <c r="W177" s="41"/>
      <c r="X177" s="41"/>
      <c r="Y177" s="41"/>
      <c r="Z177" s="29"/>
      <c r="AA177" s="29"/>
      <c r="AB177" s="29"/>
      <c r="AC177" s="29"/>
      <c r="AD177" s="29"/>
    </row>
    <row r="178" spans="1:30" s="488" customFormat="1" ht="41.25" hidden="1" customHeight="1">
      <c r="A178" s="492"/>
      <c r="B178" s="643"/>
      <c r="C178" s="513">
        <v>33</v>
      </c>
      <c r="D178" s="514"/>
      <c r="E178" s="670" t="s">
        <v>30</v>
      </c>
      <c r="F178" s="670"/>
      <c r="G178" s="670"/>
      <c r="H178" s="670"/>
      <c r="I178" s="670"/>
      <c r="J178" s="670"/>
      <c r="K178" s="670"/>
      <c r="L178" s="498">
        <v>148.28</v>
      </c>
      <c r="M178" s="459">
        <f>L178</f>
        <v>148.28</v>
      </c>
      <c r="N178" s="655"/>
      <c r="O178" s="656"/>
      <c r="P178" s="657"/>
      <c r="Q178" s="671"/>
      <c r="R178" s="672"/>
      <c r="S178" s="673"/>
      <c r="T178" s="457">
        <f>H175*M178*N175*O175*P175</f>
        <v>0</v>
      </c>
      <c r="U178" s="458">
        <f>T178</f>
        <v>0</v>
      </c>
      <c r="V178" s="42"/>
      <c r="W178" s="39"/>
      <c r="X178" s="41"/>
      <c r="Y178" s="41"/>
      <c r="Z178" s="43">
        <f>T178</f>
        <v>0</v>
      </c>
      <c r="AA178" s="29"/>
      <c r="AB178" s="29"/>
      <c r="AC178" s="29"/>
      <c r="AD178" s="29"/>
    </row>
    <row r="179" spans="1:30" s="488" customFormat="1" ht="41.25" hidden="1" customHeight="1">
      <c r="A179" s="492"/>
      <c r="B179" s="643"/>
      <c r="C179" s="513"/>
      <c r="D179" s="514"/>
      <c r="E179" s="670" t="s">
        <v>31</v>
      </c>
      <c r="F179" s="670"/>
      <c r="G179" s="670"/>
      <c r="H179" s="670"/>
      <c r="I179" s="670"/>
      <c r="J179" s="670"/>
      <c r="K179" s="670"/>
      <c r="L179" s="498">
        <f>ROUND((I175+J175+K175)*2.14%,2)</f>
        <v>173.18</v>
      </c>
      <c r="M179" s="459">
        <f>L179</f>
        <v>173.18</v>
      </c>
      <c r="N179" s="655"/>
      <c r="O179" s="656"/>
      <c r="P179" s="657"/>
      <c r="Q179" s="671"/>
      <c r="R179" s="672"/>
      <c r="S179" s="673"/>
      <c r="T179" s="457">
        <f>H175*M179*N175*O175*P175</f>
        <v>0</v>
      </c>
      <c r="U179" s="458">
        <f>T179</f>
        <v>0</v>
      </c>
      <c r="V179" s="42"/>
      <c r="W179" s="41"/>
      <c r="X179" s="39"/>
      <c r="Y179" s="41"/>
      <c r="Z179" s="29"/>
      <c r="AA179" s="43">
        <f>T179</f>
        <v>0</v>
      </c>
      <c r="AB179" s="29"/>
      <c r="AC179" s="29"/>
      <c r="AD179" s="29"/>
    </row>
    <row r="180" spans="1:30" s="488" customFormat="1" ht="41.25" hidden="1" customHeight="1">
      <c r="A180" s="492"/>
      <c r="B180" s="643"/>
      <c r="C180" s="515"/>
      <c r="D180" s="514"/>
      <c r="E180" s="670" t="s">
        <v>376</v>
      </c>
      <c r="F180" s="670"/>
      <c r="G180" s="670"/>
      <c r="H180" s="670"/>
      <c r="I180" s="670"/>
      <c r="J180" s="670"/>
      <c r="K180" s="670"/>
      <c r="L180" s="498">
        <f>ROUND((I175+J175+K175+L178+L179+L183)*3%,2)</f>
        <v>262.14</v>
      </c>
      <c r="M180" s="459">
        <f>L180</f>
        <v>262.14</v>
      </c>
      <c r="N180" s="655"/>
      <c r="O180" s="656"/>
      <c r="P180" s="657"/>
      <c r="Q180" s="671"/>
      <c r="R180" s="672"/>
      <c r="S180" s="673"/>
      <c r="T180" s="457">
        <f>H175*M180*N175*O175*P175</f>
        <v>0</v>
      </c>
      <c r="U180" s="458">
        <f>T180</f>
        <v>0</v>
      </c>
      <c r="V180" s="42"/>
      <c r="W180" s="41"/>
      <c r="X180" s="41"/>
      <c r="Y180" s="39"/>
      <c r="Z180" s="29"/>
      <c r="AA180" s="29"/>
      <c r="AB180" s="43">
        <f>T180</f>
        <v>0</v>
      </c>
      <c r="AC180" s="29"/>
      <c r="AD180" s="29"/>
    </row>
    <row r="181" spans="1:30" s="488" customFormat="1" ht="54.75" hidden="1" customHeight="1">
      <c r="A181" s="492"/>
      <c r="B181" s="643"/>
      <c r="C181" s="515"/>
      <c r="D181" s="514"/>
      <c r="E181" s="670" t="s">
        <v>377</v>
      </c>
      <c r="F181" s="670"/>
      <c r="G181" s="670"/>
      <c r="H181" s="670"/>
      <c r="I181" s="670"/>
      <c r="J181" s="670"/>
      <c r="K181" s="670"/>
      <c r="L181" s="498">
        <f>767.2-K175-L178-L179-L183</f>
        <v>0</v>
      </c>
      <c r="M181" s="459">
        <f>L181</f>
        <v>0</v>
      </c>
      <c r="N181" s="655"/>
      <c r="O181" s="656"/>
      <c r="P181" s="657"/>
      <c r="Q181" s="671"/>
      <c r="R181" s="672"/>
      <c r="S181" s="673"/>
      <c r="T181" s="457">
        <f>H175*M181*N175*O175*P175</f>
        <v>0</v>
      </c>
      <c r="U181" s="458">
        <f>T181</f>
        <v>0</v>
      </c>
      <c r="V181" s="42"/>
      <c r="W181" s="41"/>
      <c r="X181" s="41"/>
      <c r="Y181" s="41"/>
      <c r="Z181" s="44"/>
      <c r="AA181" s="29"/>
      <c r="AB181" s="29"/>
      <c r="AC181" s="44">
        <f>T181</f>
        <v>0</v>
      </c>
      <c r="AD181" s="29"/>
    </row>
    <row r="182" spans="1:30" s="488" customFormat="1" ht="45" hidden="1" customHeight="1">
      <c r="A182" s="492"/>
      <c r="B182" s="643"/>
      <c r="C182" s="515"/>
      <c r="D182" s="514"/>
      <c r="E182" s="674"/>
      <c r="F182" s="675"/>
      <c r="G182" s="675"/>
      <c r="H182" s="675"/>
      <c r="I182" s="675"/>
      <c r="J182" s="675"/>
      <c r="K182" s="675"/>
      <c r="L182" s="675"/>
      <c r="M182" s="676"/>
      <c r="N182" s="655"/>
      <c r="O182" s="656"/>
      <c r="P182" s="657"/>
      <c r="Q182" s="677"/>
      <c r="R182" s="678"/>
      <c r="S182" s="678"/>
      <c r="T182" s="678"/>
      <c r="U182" s="679"/>
      <c r="V182" s="45"/>
      <c r="W182" s="41"/>
      <c r="X182" s="41"/>
      <c r="Y182" s="41"/>
      <c r="Z182" s="29"/>
      <c r="AA182" s="44"/>
      <c r="AB182" s="29"/>
      <c r="AC182" s="29"/>
      <c r="AD182" s="29"/>
    </row>
    <row r="183" spans="1:30" s="488" customFormat="1" ht="45" hidden="1" customHeight="1" thickBot="1">
      <c r="A183" s="492"/>
      <c r="B183" s="644"/>
      <c r="C183" s="516"/>
      <c r="D183" s="517"/>
      <c r="E183" s="680" t="s">
        <v>369</v>
      </c>
      <c r="F183" s="680" t="s">
        <v>306</v>
      </c>
      <c r="G183" s="680"/>
      <c r="H183" s="680"/>
      <c r="I183" s="680"/>
      <c r="J183" s="680"/>
      <c r="K183" s="680"/>
      <c r="L183" s="499">
        <f>ROUND((I175+J175+K175+L178)*3.93%,2)</f>
        <v>323.87</v>
      </c>
      <c r="M183" s="46">
        <f>L183</f>
        <v>323.87</v>
      </c>
      <c r="N183" s="658"/>
      <c r="O183" s="659"/>
      <c r="P183" s="660"/>
      <c r="Q183" s="681"/>
      <c r="R183" s="682"/>
      <c r="S183" s="683"/>
      <c r="T183" s="500">
        <f>H175*M183*N175*O175*P175</f>
        <v>0</v>
      </c>
      <c r="U183" s="47">
        <f>T183</f>
        <v>0</v>
      </c>
      <c r="V183" s="48"/>
      <c r="W183" s="41"/>
      <c r="X183" s="41"/>
      <c r="Y183" s="41"/>
      <c r="Z183" s="29"/>
      <c r="AA183" s="29"/>
      <c r="AB183" s="44"/>
      <c r="AC183" s="29"/>
      <c r="AD183" s="44">
        <f>T183</f>
        <v>0</v>
      </c>
    </row>
    <row r="184" spans="1:30" s="491" customFormat="1" ht="150" hidden="1" customHeight="1">
      <c r="A184" s="492"/>
      <c r="B184" s="642">
        <v>2</v>
      </c>
      <c r="C184" s="511">
        <v>3</v>
      </c>
      <c r="D184" s="512"/>
      <c r="E184" s="493" t="s">
        <v>744</v>
      </c>
      <c r="F184" s="490" t="s">
        <v>745</v>
      </c>
      <c r="G184" s="645" t="s">
        <v>357</v>
      </c>
      <c r="H184" s="712">
        <v>0</v>
      </c>
      <c r="I184" s="494">
        <v>0</v>
      </c>
      <c r="J184" s="494">
        <v>11700.28</v>
      </c>
      <c r="K184" s="494">
        <v>46.99</v>
      </c>
      <c r="L184" s="494">
        <f>SUM(L186:L192)</f>
        <v>1247.52</v>
      </c>
      <c r="M184" s="33">
        <f>SUM(I184:L184)</f>
        <v>12994.79</v>
      </c>
      <c r="N184" s="501">
        <v>1</v>
      </c>
      <c r="O184" s="502">
        <v>1</v>
      </c>
      <c r="P184" s="37">
        <v>1</v>
      </c>
      <c r="Q184" s="34">
        <f>H184*I184*N184*O184*P184</f>
        <v>0</v>
      </c>
      <c r="R184" s="35">
        <f>H184*J184*N184*O184*P184</f>
        <v>0</v>
      </c>
      <c r="S184" s="36">
        <f>H184*K184*N184*O184*P184</f>
        <v>0</v>
      </c>
      <c r="T184" s="36">
        <f>H184*L184*N184*O184*P184</f>
        <v>0</v>
      </c>
      <c r="U184" s="37">
        <f>SUM(Q184:T184)</f>
        <v>0</v>
      </c>
      <c r="V184" s="38">
        <f>(Q184+R184+S184+T188+T189+T190+T192)*'Прогнозная стоимость РСС ИП '!$M$11+T187*'Прогнозная стоимость РСС ИП '!$M$10</f>
        <v>0</v>
      </c>
      <c r="W184" s="39">
        <f>T184</f>
        <v>0</v>
      </c>
      <c r="X184" s="39">
        <f>U184</f>
        <v>0</v>
      </c>
      <c r="Y184" s="39">
        <f>V184</f>
        <v>0</v>
      </c>
      <c r="Z184" s="29"/>
      <c r="AA184" s="29"/>
      <c r="AB184" s="29"/>
      <c r="AC184" s="29"/>
      <c r="AD184" s="29"/>
    </row>
    <row r="185" spans="1:30" s="491" customFormat="1" ht="41.25" hidden="1" customHeight="1">
      <c r="A185" s="492"/>
      <c r="B185" s="643"/>
      <c r="C185" s="513"/>
      <c r="D185" s="514"/>
      <c r="E185" s="495"/>
      <c r="F185" s="496"/>
      <c r="G185" s="646"/>
      <c r="H185" s="713"/>
      <c r="I185" s="649"/>
      <c r="J185" s="650"/>
      <c r="K185" s="650"/>
      <c r="L185" s="650"/>
      <c r="M185" s="651"/>
      <c r="N185" s="652"/>
      <c r="O185" s="653"/>
      <c r="P185" s="654"/>
      <c r="Q185" s="661"/>
      <c r="R185" s="662"/>
      <c r="S185" s="662"/>
      <c r="T185" s="662"/>
      <c r="U185" s="663"/>
      <c r="V185" s="40"/>
      <c r="W185" s="41"/>
      <c r="X185" s="41"/>
      <c r="Y185" s="41"/>
      <c r="Z185" s="29"/>
      <c r="AA185" s="29"/>
      <c r="AB185" s="29"/>
      <c r="AC185" s="29"/>
      <c r="AD185" s="29"/>
    </row>
    <row r="186" spans="1:30" s="491" customFormat="1" ht="41.25" hidden="1" customHeight="1">
      <c r="A186" s="492"/>
      <c r="B186" s="643"/>
      <c r="C186" s="513"/>
      <c r="D186" s="514"/>
      <c r="E186" s="664" t="s">
        <v>29</v>
      </c>
      <c r="F186" s="665"/>
      <c r="G186" s="665"/>
      <c r="H186" s="665"/>
      <c r="I186" s="665"/>
      <c r="J186" s="665"/>
      <c r="K186" s="665"/>
      <c r="L186" s="665"/>
      <c r="M186" s="666"/>
      <c r="N186" s="655"/>
      <c r="O186" s="656"/>
      <c r="P186" s="657"/>
      <c r="Q186" s="667"/>
      <c r="R186" s="689"/>
      <c r="S186" s="689"/>
      <c r="T186" s="689"/>
      <c r="U186" s="690"/>
      <c r="V186" s="42"/>
      <c r="W186" s="41"/>
      <c r="X186" s="41"/>
      <c r="Y186" s="41"/>
      <c r="Z186" s="29"/>
      <c r="AA186" s="29"/>
      <c r="AB186" s="29"/>
      <c r="AC186" s="29"/>
      <c r="AD186" s="29"/>
    </row>
    <row r="187" spans="1:30" s="491" customFormat="1" ht="41.25" hidden="1" customHeight="1">
      <c r="A187" s="492"/>
      <c r="B187" s="643"/>
      <c r="C187" s="513">
        <v>33</v>
      </c>
      <c r="D187" s="514"/>
      <c r="E187" s="670" t="s">
        <v>30</v>
      </c>
      <c r="F187" s="670"/>
      <c r="G187" s="670"/>
      <c r="H187" s="670"/>
      <c r="I187" s="670"/>
      <c r="J187" s="670"/>
      <c r="K187" s="670"/>
      <c r="L187" s="498">
        <v>150.08000000000001</v>
      </c>
      <c r="M187" s="459">
        <f>L187</f>
        <v>150.08000000000001</v>
      </c>
      <c r="N187" s="655"/>
      <c r="O187" s="656"/>
      <c r="P187" s="657"/>
      <c r="Q187" s="671"/>
      <c r="R187" s="672"/>
      <c r="S187" s="673"/>
      <c r="T187" s="497">
        <f>H184*M187*N184*O184*P184</f>
        <v>0</v>
      </c>
      <c r="U187" s="458">
        <f>T187</f>
        <v>0</v>
      </c>
      <c r="V187" s="42"/>
      <c r="W187" s="39"/>
      <c r="X187" s="41"/>
      <c r="Y187" s="41"/>
      <c r="Z187" s="43">
        <f>T187</f>
        <v>0</v>
      </c>
      <c r="AA187" s="29"/>
      <c r="AB187" s="29"/>
      <c r="AC187" s="29"/>
      <c r="AD187" s="29"/>
    </row>
    <row r="188" spans="1:30" s="491" customFormat="1" ht="41.25" hidden="1" customHeight="1">
      <c r="A188" s="492"/>
      <c r="B188" s="643"/>
      <c r="C188" s="513"/>
      <c r="D188" s="514"/>
      <c r="E188" s="670" t="s">
        <v>31</v>
      </c>
      <c r="F188" s="670"/>
      <c r="G188" s="670"/>
      <c r="H188" s="670"/>
      <c r="I188" s="670"/>
      <c r="J188" s="670"/>
      <c r="K188" s="670"/>
      <c r="L188" s="498">
        <f>ROUND((I184+J184+K184)*2.14%,2)</f>
        <v>251.39</v>
      </c>
      <c r="M188" s="459">
        <f>L188</f>
        <v>251.39</v>
      </c>
      <c r="N188" s="655"/>
      <c r="O188" s="656"/>
      <c r="P188" s="657"/>
      <c r="Q188" s="671"/>
      <c r="R188" s="672"/>
      <c r="S188" s="673"/>
      <c r="T188" s="497">
        <f>H184*M188*N184*O184*P184</f>
        <v>0</v>
      </c>
      <c r="U188" s="458">
        <f>T188</f>
        <v>0</v>
      </c>
      <c r="V188" s="42"/>
      <c r="W188" s="41"/>
      <c r="X188" s="39"/>
      <c r="Y188" s="41"/>
      <c r="Z188" s="29"/>
      <c r="AA188" s="43">
        <f>T188</f>
        <v>0</v>
      </c>
      <c r="AB188" s="29"/>
      <c r="AC188" s="29"/>
      <c r="AD188" s="29"/>
    </row>
    <row r="189" spans="1:30" s="491" customFormat="1" ht="41.25" hidden="1" customHeight="1">
      <c r="A189" s="492"/>
      <c r="B189" s="643"/>
      <c r="C189" s="515"/>
      <c r="D189" s="514"/>
      <c r="E189" s="670" t="s">
        <v>376</v>
      </c>
      <c r="F189" s="670"/>
      <c r="G189" s="670"/>
      <c r="H189" s="670"/>
      <c r="I189" s="670"/>
      <c r="J189" s="670"/>
      <c r="K189" s="670"/>
      <c r="L189" s="498">
        <f>ROUND((I184+J184+K184+L187+L188+L192)*3%,2)-0.01</f>
        <v>378.48</v>
      </c>
      <c r="M189" s="459">
        <f>L189</f>
        <v>378.48</v>
      </c>
      <c r="N189" s="655"/>
      <c r="O189" s="656"/>
      <c r="P189" s="657"/>
      <c r="Q189" s="671"/>
      <c r="R189" s="672"/>
      <c r="S189" s="673"/>
      <c r="T189" s="497">
        <f>H184*M189*N184*O184*P184</f>
        <v>0</v>
      </c>
      <c r="U189" s="458">
        <f>T189</f>
        <v>0</v>
      </c>
      <c r="V189" s="42"/>
      <c r="W189" s="41"/>
      <c r="X189" s="41"/>
      <c r="Y189" s="39"/>
      <c r="Z189" s="29"/>
      <c r="AA189" s="29"/>
      <c r="AB189" s="43">
        <f>T189</f>
        <v>0</v>
      </c>
      <c r="AC189" s="29"/>
      <c r="AD189" s="29"/>
    </row>
    <row r="190" spans="1:30" s="491" customFormat="1" ht="54.75" hidden="1" customHeight="1">
      <c r="A190" s="492"/>
      <c r="B190" s="643"/>
      <c r="C190" s="515"/>
      <c r="D190" s="514"/>
      <c r="E190" s="670" t="s">
        <v>377</v>
      </c>
      <c r="F190" s="670"/>
      <c r="G190" s="670"/>
      <c r="H190" s="670"/>
      <c r="I190" s="670"/>
      <c r="J190" s="670"/>
      <c r="K190" s="670"/>
      <c r="L190" s="498">
        <f>916.03-K184-L187-L188-L192</f>
        <v>0</v>
      </c>
      <c r="M190" s="459">
        <f>L190</f>
        <v>0</v>
      </c>
      <c r="N190" s="655"/>
      <c r="O190" s="656"/>
      <c r="P190" s="657"/>
      <c r="Q190" s="671"/>
      <c r="R190" s="672"/>
      <c r="S190" s="673"/>
      <c r="T190" s="497">
        <f>H184*M190*N184*O184*P184</f>
        <v>0</v>
      </c>
      <c r="U190" s="458">
        <f>T190</f>
        <v>0</v>
      </c>
      <c r="V190" s="42"/>
      <c r="W190" s="41"/>
      <c r="X190" s="41"/>
      <c r="Y190" s="41"/>
      <c r="Z190" s="44"/>
      <c r="AA190" s="29"/>
      <c r="AB190" s="29"/>
      <c r="AC190" s="44">
        <f>T190</f>
        <v>0</v>
      </c>
      <c r="AD190" s="29"/>
    </row>
    <row r="191" spans="1:30" s="491" customFormat="1" ht="45" hidden="1" customHeight="1">
      <c r="A191" s="492"/>
      <c r="B191" s="643"/>
      <c r="C191" s="515"/>
      <c r="D191" s="514"/>
      <c r="E191" s="674"/>
      <c r="F191" s="675"/>
      <c r="G191" s="675"/>
      <c r="H191" s="675"/>
      <c r="I191" s="675"/>
      <c r="J191" s="675"/>
      <c r="K191" s="675"/>
      <c r="L191" s="675"/>
      <c r="M191" s="676"/>
      <c r="N191" s="655"/>
      <c r="O191" s="656"/>
      <c r="P191" s="657"/>
      <c r="Q191" s="677"/>
      <c r="R191" s="678"/>
      <c r="S191" s="678"/>
      <c r="T191" s="678"/>
      <c r="U191" s="679"/>
      <c r="V191" s="45"/>
      <c r="W191" s="41"/>
      <c r="X191" s="41"/>
      <c r="Y191" s="41"/>
      <c r="Z191" s="29"/>
      <c r="AA191" s="44"/>
      <c r="AB191" s="29"/>
      <c r="AC191" s="29"/>
      <c r="AD191" s="29"/>
    </row>
    <row r="192" spans="1:30" s="491" customFormat="1" ht="45" hidden="1" customHeight="1" thickBot="1">
      <c r="A192" s="492"/>
      <c r="B192" s="644"/>
      <c r="C192" s="516"/>
      <c r="D192" s="517"/>
      <c r="E192" s="680" t="s">
        <v>369</v>
      </c>
      <c r="F192" s="680" t="s">
        <v>306</v>
      </c>
      <c r="G192" s="680"/>
      <c r="H192" s="680"/>
      <c r="I192" s="680"/>
      <c r="J192" s="680"/>
      <c r="K192" s="680"/>
      <c r="L192" s="499">
        <f>ROUND((I184+J184+K184+L187)*3.93%,2)</f>
        <v>467.57</v>
      </c>
      <c r="M192" s="46">
        <f>L192</f>
        <v>467.57</v>
      </c>
      <c r="N192" s="658"/>
      <c r="O192" s="659"/>
      <c r="P192" s="660"/>
      <c r="Q192" s="681"/>
      <c r="R192" s="682"/>
      <c r="S192" s="683"/>
      <c r="T192" s="500">
        <f>H184*M192*N184*O184*P184</f>
        <v>0</v>
      </c>
      <c r="U192" s="47">
        <f>T192</f>
        <v>0</v>
      </c>
      <c r="V192" s="48"/>
      <c r="W192" s="41"/>
      <c r="X192" s="41"/>
      <c r="Y192" s="41"/>
      <c r="Z192" s="29"/>
      <c r="AA192" s="29"/>
      <c r="AB192" s="44"/>
      <c r="AC192" s="29"/>
      <c r="AD192" s="44">
        <f>T192</f>
        <v>0</v>
      </c>
    </row>
    <row r="193" spans="1:30" s="491" customFormat="1" ht="150" hidden="1" customHeight="1">
      <c r="A193" s="492"/>
      <c r="B193" s="642">
        <v>2</v>
      </c>
      <c r="C193" s="511">
        <v>3</v>
      </c>
      <c r="D193" s="512"/>
      <c r="E193" s="493" t="s">
        <v>747</v>
      </c>
      <c r="F193" s="490" t="s">
        <v>746</v>
      </c>
      <c r="G193" s="645" t="s">
        <v>357</v>
      </c>
      <c r="H193" s="712">
        <v>0</v>
      </c>
      <c r="I193" s="494">
        <v>0</v>
      </c>
      <c r="J193" s="494">
        <v>11830.22</v>
      </c>
      <c r="K193" s="494">
        <v>46.99</v>
      </c>
      <c r="L193" s="494">
        <f>SUM(L195:L201)</f>
        <v>1259.82</v>
      </c>
      <c r="M193" s="33">
        <f>SUM(I193:L193)</f>
        <v>13137.029999999999</v>
      </c>
      <c r="N193" s="501">
        <v>1</v>
      </c>
      <c r="O193" s="502">
        <v>1</v>
      </c>
      <c r="P193" s="37">
        <v>1</v>
      </c>
      <c r="Q193" s="34">
        <f>H193*I193*N193*O193*P193</f>
        <v>0</v>
      </c>
      <c r="R193" s="35">
        <f>H193*J193*N193*O193*P193</f>
        <v>0</v>
      </c>
      <c r="S193" s="36">
        <f>H193*K193*N193*O193*P193</f>
        <v>0</v>
      </c>
      <c r="T193" s="36">
        <f>H193*L193*N193*O193*P193</f>
        <v>0</v>
      </c>
      <c r="U193" s="37">
        <f>SUM(Q193:T193)</f>
        <v>0</v>
      </c>
      <c r="V193" s="38">
        <f>(Q193+R193+S193+T197+T198+T199+T201)*'Прогнозная стоимость РСС ИП '!$M$11+T196*'Прогнозная стоимость РСС ИП '!$M$10</f>
        <v>0</v>
      </c>
      <c r="W193" s="39">
        <f>T193</f>
        <v>0</v>
      </c>
      <c r="X193" s="39">
        <f>U193</f>
        <v>0</v>
      </c>
      <c r="Y193" s="39">
        <f>V193</f>
        <v>0</v>
      </c>
      <c r="Z193" s="29"/>
      <c r="AA193" s="29"/>
      <c r="AB193" s="29"/>
      <c r="AC193" s="29"/>
      <c r="AD193" s="29"/>
    </row>
    <row r="194" spans="1:30" s="491" customFormat="1" ht="41.25" hidden="1" customHeight="1">
      <c r="A194" s="492"/>
      <c r="B194" s="643"/>
      <c r="C194" s="513"/>
      <c r="D194" s="514"/>
      <c r="E194" s="495"/>
      <c r="F194" s="496"/>
      <c r="G194" s="646"/>
      <c r="H194" s="713"/>
      <c r="I194" s="649"/>
      <c r="J194" s="650"/>
      <c r="K194" s="650"/>
      <c r="L194" s="650"/>
      <c r="M194" s="651"/>
      <c r="N194" s="652"/>
      <c r="O194" s="653"/>
      <c r="P194" s="654"/>
      <c r="Q194" s="661"/>
      <c r="R194" s="662"/>
      <c r="S194" s="662"/>
      <c r="T194" s="662"/>
      <c r="U194" s="663"/>
      <c r="V194" s="40"/>
      <c r="W194" s="41"/>
      <c r="X194" s="41"/>
      <c r="Y194" s="41"/>
      <c r="Z194" s="29"/>
      <c r="AA194" s="29"/>
      <c r="AB194" s="29"/>
      <c r="AC194" s="29"/>
      <c r="AD194" s="29"/>
    </row>
    <row r="195" spans="1:30" s="491" customFormat="1" ht="41.25" hidden="1" customHeight="1">
      <c r="A195" s="492"/>
      <c r="B195" s="643"/>
      <c r="C195" s="513"/>
      <c r="D195" s="514"/>
      <c r="E195" s="664" t="s">
        <v>29</v>
      </c>
      <c r="F195" s="665"/>
      <c r="G195" s="665"/>
      <c r="H195" s="665"/>
      <c r="I195" s="665"/>
      <c r="J195" s="665"/>
      <c r="K195" s="665"/>
      <c r="L195" s="665"/>
      <c r="M195" s="666"/>
      <c r="N195" s="655"/>
      <c r="O195" s="656"/>
      <c r="P195" s="657"/>
      <c r="Q195" s="667"/>
      <c r="R195" s="689"/>
      <c r="S195" s="689"/>
      <c r="T195" s="689"/>
      <c r="U195" s="690"/>
      <c r="V195" s="42"/>
      <c r="W195" s="41"/>
      <c r="X195" s="41"/>
      <c r="Y195" s="41"/>
      <c r="Z195" s="29"/>
      <c r="AA195" s="29"/>
      <c r="AB195" s="29"/>
      <c r="AC195" s="29"/>
      <c r="AD195" s="29"/>
    </row>
    <row r="196" spans="1:30" s="491" customFormat="1" ht="41.25" hidden="1" customHeight="1">
      <c r="A196" s="492"/>
      <c r="B196" s="643"/>
      <c r="C196" s="513">
        <v>33</v>
      </c>
      <c r="D196" s="514"/>
      <c r="E196" s="670" t="s">
        <v>30</v>
      </c>
      <c r="F196" s="670"/>
      <c r="G196" s="670"/>
      <c r="H196" s="670"/>
      <c r="I196" s="670"/>
      <c r="J196" s="670"/>
      <c r="K196" s="670"/>
      <c r="L196" s="498">
        <v>150.34</v>
      </c>
      <c r="M196" s="459">
        <f>L196</f>
        <v>150.34</v>
      </c>
      <c r="N196" s="655"/>
      <c r="O196" s="656"/>
      <c r="P196" s="657"/>
      <c r="Q196" s="671"/>
      <c r="R196" s="672"/>
      <c r="S196" s="673"/>
      <c r="T196" s="497">
        <f>H193*M196*N193*O193*P193</f>
        <v>0</v>
      </c>
      <c r="U196" s="458">
        <f>T196</f>
        <v>0</v>
      </c>
      <c r="V196" s="42"/>
      <c r="W196" s="39"/>
      <c r="X196" s="41"/>
      <c r="Y196" s="41"/>
      <c r="Z196" s="43">
        <f>T196</f>
        <v>0</v>
      </c>
      <c r="AA196" s="29"/>
      <c r="AB196" s="29"/>
      <c r="AC196" s="29"/>
      <c r="AD196" s="29"/>
    </row>
    <row r="197" spans="1:30" s="491" customFormat="1" ht="41.25" hidden="1" customHeight="1">
      <c r="A197" s="492"/>
      <c r="B197" s="643"/>
      <c r="C197" s="513"/>
      <c r="D197" s="514"/>
      <c r="E197" s="670" t="s">
        <v>31</v>
      </c>
      <c r="F197" s="670"/>
      <c r="G197" s="670"/>
      <c r="H197" s="670"/>
      <c r="I197" s="670"/>
      <c r="J197" s="670"/>
      <c r="K197" s="670"/>
      <c r="L197" s="498">
        <f>ROUND((I193+J193+K193)*2.14%,2)</f>
        <v>254.17</v>
      </c>
      <c r="M197" s="459">
        <f>L197</f>
        <v>254.17</v>
      </c>
      <c r="N197" s="655"/>
      <c r="O197" s="656"/>
      <c r="P197" s="657"/>
      <c r="Q197" s="671"/>
      <c r="R197" s="672"/>
      <c r="S197" s="673"/>
      <c r="T197" s="497">
        <f>H193*M197*N193*O193*P193</f>
        <v>0</v>
      </c>
      <c r="U197" s="458">
        <f>T197</f>
        <v>0</v>
      </c>
      <c r="V197" s="42"/>
      <c r="W197" s="41"/>
      <c r="X197" s="39"/>
      <c r="Y197" s="41"/>
      <c r="Z197" s="29"/>
      <c r="AA197" s="43">
        <f>T197</f>
        <v>0</v>
      </c>
      <c r="AB197" s="29"/>
      <c r="AC197" s="29"/>
      <c r="AD197" s="29"/>
    </row>
    <row r="198" spans="1:30" s="491" customFormat="1" ht="41.25" hidden="1" customHeight="1">
      <c r="A198" s="492"/>
      <c r="B198" s="643"/>
      <c r="C198" s="515"/>
      <c r="D198" s="514"/>
      <c r="E198" s="670" t="s">
        <v>376</v>
      </c>
      <c r="F198" s="670"/>
      <c r="G198" s="670"/>
      <c r="H198" s="670"/>
      <c r="I198" s="670"/>
      <c r="J198" s="670"/>
      <c r="K198" s="670"/>
      <c r="L198" s="498">
        <f>ROUND((I193+J193+K193+L196+L197+L201)*3%,2)</f>
        <v>382.63</v>
      </c>
      <c r="M198" s="459">
        <f>L198</f>
        <v>382.63</v>
      </c>
      <c r="N198" s="655"/>
      <c r="O198" s="656"/>
      <c r="P198" s="657"/>
      <c r="Q198" s="671"/>
      <c r="R198" s="672"/>
      <c r="S198" s="673"/>
      <c r="T198" s="497">
        <f>H193*M198*N193*O193*P193</f>
        <v>0</v>
      </c>
      <c r="U198" s="458">
        <f>T198</f>
        <v>0</v>
      </c>
      <c r="V198" s="42"/>
      <c r="W198" s="41"/>
      <c r="X198" s="41"/>
      <c r="Y198" s="39"/>
      <c r="Z198" s="29"/>
      <c r="AA198" s="29"/>
      <c r="AB198" s="43">
        <f>T198</f>
        <v>0</v>
      </c>
      <c r="AC198" s="29"/>
      <c r="AD198" s="29"/>
    </row>
    <row r="199" spans="1:30" s="491" customFormat="1" ht="54.75" hidden="1" customHeight="1">
      <c r="A199" s="492"/>
      <c r="B199" s="643"/>
      <c r="C199" s="515"/>
      <c r="D199" s="514"/>
      <c r="E199" s="670" t="s">
        <v>377</v>
      </c>
      <c r="F199" s="670"/>
      <c r="G199" s="670"/>
      <c r="H199" s="670"/>
      <c r="I199" s="670"/>
      <c r="J199" s="670"/>
      <c r="K199" s="670"/>
      <c r="L199" s="498">
        <f>924.18-K193-L196-L197-L201</f>
        <v>0</v>
      </c>
      <c r="M199" s="459">
        <f>L199</f>
        <v>0</v>
      </c>
      <c r="N199" s="655"/>
      <c r="O199" s="656"/>
      <c r="P199" s="657"/>
      <c r="Q199" s="671"/>
      <c r="R199" s="672"/>
      <c r="S199" s="673"/>
      <c r="T199" s="497">
        <f>H193*M199*N193*O193*P193</f>
        <v>0</v>
      </c>
      <c r="U199" s="458">
        <f>T199</f>
        <v>0</v>
      </c>
      <c r="V199" s="42"/>
      <c r="W199" s="41"/>
      <c r="X199" s="41"/>
      <c r="Y199" s="41"/>
      <c r="Z199" s="44"/>
      <c r="AA199" s="29"/>
      <c r="AB199" s="29"/>
      <c r="AC199" s="44">
        <f>T199</f>
        <v>0</v>
      </c>
      <c r="AD199" s="29"/>
    </row>
    <row r="200" spans="1:30" s="491" customFormat="1" ht="45" hidden="1" customHeight="1">
      <c r="A200" s="492"/>
      <c r="B200" s="643"/>
      <c r="C200" s="515"/>
      <c r="D200" s="514"/>
      <c r="E200" s="674"/>
      <c r="F200" s="675"/>
      <c r="G200" s="675"/>
      <c r="H200" s="675"/>
      <c r="I200" s="675"/>
      <c r="J200" s="675"/>
      <c r="K200" s="675"/>
      <c r="L200" s="675"/>
      <c r="M200" s="676"/>
      <c r="N200" s="655"/>
      <c r="O200" s="656"/>
      <c r="P200" s="657"/>
      <c r="Q200" s="677"/>
      <c r="R200" s="678"/>
      <c r="S200" s="678"/>
      <c r="T200" s="678"/>
      <c r="U200" s="679"/>
      <c r="V200" s="45"/>
      <c r="W200" s="41"/>
      <c r="X200" s="41"/>
      <c r="Y200" s="41"/>
      <c r="Z200" s="29"/>
      <c r="AA200" s="44"/>
      <c r="AB200" s="29"/>
      <c r="AC200" s="29"/>
      <c r="AD200" s="29"/>
    </row>
    <row r="201" spans="1:30" s="491" customFormat="1" ht="45" hidden="1" customHeight="1" thickBot="1">
      <c r="A201" s="492"/>
      <c r="B201" s="644"/>
      <c r="C201" s="516"/>
      <c r="D201" s="517"/>
      <c r="E201" s="680" t="s">
        <v>369</v>
      </c>
      <c r="F201" s="680" t="s">
        <v>306</v>
      </c>
      <c r="G201" s="680"/>
      <c r="H201" s="680"/>
      <c r="I201" s="680"/>
      <c r="J201" s="680"/>
      <c r="K201" s="680"/>
      <c r="L201" s="499">
        <f>ROUND((I193+J193+K193+L196)*3.93%,2)</f>
        <v>472.68</v>
      </c>
      <c r="M201" s="46">
        <f>L201</f>
        <v>472.68</v>
      </c>
      <c r="N201" s="658"/>
      <c r="O201" s="659"/>
      <c r="P201" s="660"/>
      <c r="Q201" s="681"/>
      <c r="R201" s="682"/>
      <c r="S201" s="683"/>
      <c r="T201" s="500">
        <f>H193*M201*N193*O193*P193</f>
        <v>0</v>
      </c>
      <c r="U201" s="47">
        <f>T201</f>
        <v>0</v>
      </c>
      <c r="V201" s="48"/>
      <c r="W201" s="41"/>
      <c r="X201" s="41"/>
      <c r="Y201" s="41"/>
      <c r="Z201" s="29"/>
      <c r="AA201" s="29"/>
      <c r="AB201" s="44"/>
      <c r="AC201" s="29"/>
      <c r="AD201" s="44">
        <f>T201</f>
        <v>0</v>
      </c>
    </row>
    <row r="202" spans="1:30" s="491" customFormat="1" ht="150" hidden="1" customHeight="1">
      <c r="A202" s="492"/>
      <c r="B202" s="642">
        <v>2</v>
      </c>
      <c r="C202" s="511">
        <v>3</v>
      </c>
      <c r="D202" s="512"/>
      <c r="E202" s="493" t="s">
        <v>749</v>
      </c>
      <c r="F202" s="490" t="s">
        <v>748</v>
      </c>
      <c r="G202" s="645" t="s">
        <v>357</v>
      </c>
      <c r="H202" s="712">
        <v>0</v>
      </c>
      <c r="I202" s="494">
        <v>0</v>
      </c>
      <c r="J202" s="494">
        <v>11966.88</v>
      </c>
      <c r="K202" s="494">
        <v>46.99</v>
      </c>
      <c r="L202" s="494">
        <f>SUM(L204:L210)</f>
        <v>1272.76</v>
      </c>
      <c r="M202" s="33">
        <f>SUM(I202:L202)</f>
        <v>13286.63</v>
      </c>
      <c r="N202" s="501">
        <v>1</v>
      </c>
      <c r="O202" s="502">
        <v>1</v>
      </c>
      <c r="P202" s="37">
        <v>1</v>
      </c>
      <c r="Q202" s="34">
        <f>H202*I202*N202*O202*P202</f>
        <v>0</v>
      </c>
      <c r="R202" s="35">
        <f>H202*J202*N202*O202*P202</f>
        <v>0</v>
      </c>
      <c r="S202" s="36">
        <f>H202*K202*N202*O202*P202</f>
        <v>0</v>
      </c>
      <c r="T202" s="36">
        <f>H202*L202*N202*O202*P202</f>
        <v>0</v>
      </c>
      <c r="U202" s="37">
        <f>SUM(Q202:T202)</f>
        <v>0</v>
      </c>
      <c r="V202" s="38">
        <f>(Q202+R202+S202+T206+T207+T208+T210)*'Прогнозная стоимость РСС ИП '!$M$11+T205*'Прогнозная стоимость РСС ИП '!$M$10</f>
        <v>0</v>
      </c>
      <c r="W202" s="39">
        <f>T202</f>
        <v>0</v>
      </c>
      <c r="X202" s="39">
        <f>U202</f>
        <v>0</v>
      </c>
      <c r="Y202" s="39">
        <f>V202</f>
        <v>0</v>
      </c>
      <c r="Z202" s="29"/>
      <c r="AA202" s="29"/>
      <c r="AB202" s="29"/>
      <c r="AC202" s="29"/>
      <c r="AD202" s="29"/>
    </row>
    <row r="203" spans="1:30" s="491" customFormat="1" ht="41.25" hidden="1" customHeight="1">
      <c r="A203" s="492"/>
      <c r="B203" s="643"/>
      <c r="C203" s="513"/>
      <c r="D203" s="514"/>
      <c r="E203" s="495"/>
      <c r="F203" s="496"/>
      <c r="G203" s="646"/>
      <c r="H203" s="713"/>
      <c r="I203" s="649"/>
      <c r="J203" s="650"/>
      <c r="K203" s="650"/>
      <c r="L203" s="650"/>
      <c r="M203" s="651"/>
      <c r="N203" s="652"/>
      <c r="O203" s="653"/>
      <c r="P203" s="654"/>
      <c r="Q203" s="661"/>
      <c r="R203" s="662"/>
      <c r="S203" s="662"/>
      <c r="T203" s="662"/>
      <c r="U203" s="663"/>
      <c r="V203" s="40"/>
      <c r="W203" s="41"/>
      <c r="X203" s="41"/>
      <c r="Y203" s="41"/>
      <c r="Z203" s="29"/>
      <c r="AA203" s="29"/>
      <c r="AB203" s="29"/>
      <c r="AC203" s="29"/>
      <c r="AD203" s="29"/>
    </row>
    <row r="204" spans="1:30" s="491" customFormat="1" ht="41.25" hidden="1" customHeight="1">
      <c r="A204" s="492"/>
      <c r="B204" s="643"/>
      <c r="C204" s="513"/>
      <c r="D204" s="514"/>
      <c r="E204" s="664" t="s">
        <v>29</v>
      </c>
      <c r="F204" s="665"/>
      <c r="G204" s="665"/>
      <c r="H204" s="665"/>
      <c r="I204" s="665"/>
      <c r="J204" s="665"/>
      <c r="K204" s="665"/>
      <c r="L204" s="665"/>
      <c r="M204" s="666"/>
      <c r="N204" s="655"/>
      <c r="O204" s="656"/>
      <c r="P204" s="657"/>
      <c r="Q204" s="667"/>
      <c r="R204" s="689"/>
      <c r="S204" s="689"/>
      <c r="T204" s="689"/>
      <c r="U204" s="690"/>
      <c r="V204" s="42"/>
      <c r="W204" s="41"/>
      <c r="X204" s="41"/>
      <c r="Y204" s="41"/>
      <c r="Z204" s="29"/>
      <c r="AA204" s="29"/>
      <c r="AB204" s="29"/>
      <c r="AC204" s="29"/>
      <c r="AD204" s="29"/>
    </row>
    <row r="205" spans="1:30" s="491" customFormat="1" ht="41.25" hidden="1" customHeight="1">
      <c r="A205" s="492"/>
      <c r="B205" s="643"/>
      <c r="C205" s="513">
        <v>33</v>
      </c>
      <c r="D205" s="514"/>
      <c r="E205" s="670" t="s">
        <v>30</v>
      </c>
      <c r="F205" s="670"/>
      <c r="G205" s="670"/>
      <c r="H205" s="670"/>
      <c r="I205" s="670"/>
      <c r="J205" s="670"/>
      <c r="K205" s="670"/>
      <c r="L205" s="498">
        <v>150.62</v>
      </c>
      <c r="M205" s="459">
        <f>L205</f>
        <v>150.62</v>
      </c>
      <c r="N205" s="655"/>
      <c r="O205" s="656"/>
      <c r="P205" s="657"/>
      <c r="Q205" s="671"/>
      <c r="R205" s="672"/>
      <c r="S205" s="673"/>
      <c r="T205" s="497">
        <f>H202*M205*N202*O202*P202</f>
        <v>0</v>
      </c>
      <c r="U205" s="458">
        <f>T205</f>
        <v>0</v>
      </c>
      <c r="V205" s="42"/>
      <c r="W205" s="39"/>
      <c r="X205" s="41"/>
      <c r="Y205" s="41"/>
      <c r="Z205" s="43">
        <f>T205</f>
        <v>0</v>
      </c>
      <c r="AA205" s="29"/>
      <c r="AB205" s="29"/>
      <c r="AC205" s="29"/>
      <c r="AD205" s="29"/>
    </row>
    <row r="206" spans="1:30" s="491" customFormat="1" ht="41.25" hidden="1" customHeight="1">
      <c r="A206" s="492"/>
      <c r="B206" s="643"/>
      <c r="C206" s="513"/>
      <c r="D206" s="514"/>
      <c r="E206" s="670" t="s">
        <v>31</v>
      </c>
      <c r="F206" s="670"/>
      <c r="G206" s="670"/>
      <c r="H206" s="670"/>
      <c r="I206" s="670"/>
      <c r="J206" s="670"/>
      <c r="K206" s="670"/>
      <c r="L206" s="498">
        <f>ROUND((I202+J202+K202)*2.14%,2)</f>
        <v>257.10000000000002</v>
      </c>
      <c r="M206" s="459">
        <f>L206</f>
        <v>257.10000000000002</v>
      </c>
      <c r="N206" s="655"/>
      <c r="O206" s="656"/>
      <c r="P206" s="657"/>
      <c r="Q206" s="671"/>
      <c r="R206" s="672"/>
      <c r="S206" s="673"/>
      <c r="T206" s="497">
        <f>H202*M206*N202*O202*P202</f>
        <v>0</v>
      </c>
      <c r="U206" s="458">
        <f>T206</f>
        <v>0</v>
      </c>
      <c r="V206" s="42"/>
      <c r="W206" s="41"/>
      <c r="X206" s="39"/>
      <c r="Y206" s="41"/>
      <c r="Z206" s="29"/>
      <c r="AA206" s="43">
        <f>T206</f>
        <v>0</v>
      </c>
      <c r="AB206" s="29"/>
      <c r="AC206" s="29"/>
      <c r="AD206" s="29"/>
    </row>
    <row r="207" spans="1:30" s="491" customFormat="1" ht="41.25" hidden="1" customHeight="1">
      <c r="A207" s="492"/>
      <c r="B207" s="643"/>
      <c r="C207" s="515"/>
      <c r="D207" s="514"/>
      <c r="E207" s="670" t="s">
        <v>376</v>
      </c>
      <c r="F207" s="670"/>
      <c r="G207" s="670"/>
      <c r="H207" s="670"/>
      <c r="I207" s="670"/>
      <c r="J207" s="670"/>
      <c r="K207" s="670"/>
      <c r="L207" s="498">
        <f>ROUND((I202+J202+K202+L205+L206+L210)*3%,2)-0.01</f>
        <v>386.98</v>
      </c>
      <c r="M207" s="459">
        <f>L207</f>
        <v>386.98</v>
      </c>
      <c r="N207" s="655"/>
      <c r="O207" s="656"/>
      <c r="P207" s="657"/>
      <c r="Q207" s="671"/>
      <c r="R207" s="672"/>
      <c r="S207" s="673"/>
      <c r="T207" s="497">
        <f>H202*M207*N202*O202*P202</f>
        <v>0</v>
      </c>
      <c r="U207" s="458">
        <f>T207</f>
        <v>0</v>
      </c>
      <c r="V207" s="42"/>
      <c r="W207" s="41"/>
      <c r="X207" s="41"/>
      <c r="Y207" s="39"/>
      <c r="Z207" s="29"/>
      <c r="AA207" s="29"/>
      <c r="AB207" s="43">
        <f>T207</f>
        <v>0</v>
      </c>
      <c r="AC207" s="29"/>
      <c r="AD207" s="29"/>
    </row>
    <row r="208" spans="1:30" s="491" customFormat="1" ht="54.75" hidden="1" customHeight="1">
      <c r="A208" s="492"/>
      <c r="B208" s="643"/>
      <c r="C208" s="515"/>
      <c r="D208" s="514"/>
      <c r="E208" s="670" t="s">
        <v>377</v>
      </c>
      <c r="F208" s="670"/>
      <c r="G208" s="670"/>
      <c r="H208" s="670"/>
      <c r="I208" s="670"/>
      <c r="J208" s="670"/>
      <c r="K208" s="670"/>
      <c r="L208" s="498">
        <f>932.77-K202-L205-L206-L210</f>
        <v>0</v>
      </c>
      <c r="M208" s="459">
        <f>L208</f>
        <v>0</v>
      </c>
      <c r="N208" s="655"/>
      <c r="O208" s="656"/>
      <c r="P208" s="657"/>
      <c r="Q208" s="671"/>
      <c r="R208" s="672"/>
      <c r="S208" s="673"/>
      <c r="T208" s="497">
        <f>H202*M208*N202*O202*P202</f>
        <v>0</v>
      </c>
      <c r="U208" s="458">
        <f>T208</f>
        <v>0</v>
      </c>
      <c r="V208" s="42"/>
      <c r="W208" s="41"/>
      <c r="X208" s="41"/>
      <c r="Y208" s="41"/>
      <c r="Z208" s="44"/>
      <c r="AA208" s="29"/>
      <c r="AB208" s="29"/>
      <c r="AC208" s="44">
        <f>T208</f>
        <v>0</v>
      </c>
      <c r="AD208" s="29"/>
    </row>
    <row r="209" spans="1:30" s="491" customFormat="1" ht="45" hidden="1" customHeight="1">
      <c r="A209" s="492"/>
      <c r="B209" s="643"/>
      <c r="C209" s="515"/>
      <c r="D209" s="514"/>
      <c r="E209" s="674"/>
      <c r="F209" s="675"/>
      <c r="G209" s="675"/>
      <c r="H209" s="675"/>
      <c r="I209" s="675"/>
      <c r="J209" s="675"/>
      <c r="K209" s="675"/>
      <c r="L209" s="675"/>
      <c r="M209" s="676"/>
      <c r="N209" s="655"/>
      <c r="O209" s="656"/>
      <c r="P209" s="657"/>
      <c r="Q209" s="677"/>
      <c r="R209" s="678"/>
      <c r="S209" s="678"/>
      <c r="T209" s="678"/>
      <c r="U209" s="679"/>
      <c r="V209" s="45"/>
      <c r="W209" s="41"/>
      <c r="X209" s="41"/>
      <c r="Y209" s="41"/>
      <c r="Z209" s="29"/>
      <c r="AA209" s="44"/>
      <c r="AB209" s="29"/>
      <c r="AC209" s="29"/>
      <c r="AD209" s="29"/>
    </row>
    <row r="210" spans="1:30" s="491" customFormat="1" ht="45" hidden="1" customHeight="1" thickBot="1">
      <c r="A210" s="492"/>
      <c r="B210" s="644"/>
      <c r="C210" s="516"/>
      <c r="D210" s="517"/>
      <c r="E210" s="680" t="s">
        <v>369</v>
      </c>
      <c r="F210" s="680" t="s">
        <v>306</v>
      </c>
      <c r="G210" s="680"/>
      <c r="H210" s="680"/>
      <c r="I210" s="680"/>
      <c r="J210" s="680"/>
      <c r="K210" s="680"/>
      <c r="L210" s="499">
        <f>ROUND((I202+J202+K202+L205)*3.93%,2)</f>
        <v>478.06</v>
      </c>
      <c r="M210" s="46">
        <f>L210</f>
        <v>478.06</v>
      </c>
      <c r="N210" s="658"/>
      <c r="O210" s="659"/>
      <c r="P210" s="660"/>
      <c r="Q210" s="681"/>
      <c r="R210" s="682"/>
      <c r="S210" s="683"/>
      <c r="T210" s="500">
        <f>H202*M210*N202*O202*P202</f>
        <v>0</v>
      </c>
      <c r="U210" s="47">
        <f>T210</f>
        <v>0</v>
      </c>
      <c r="V210" s="48"/>
      <c r="W210" s="41"/>
      <c r="X210" s="41"/>
      <c r="Y210" s="41"/>
      <c r="Z210" s="29"/>
      <c r="AA210" s="29"/>
      <c r="AB210" s="44"/>
      <c r="AC210" s="29"/>
      <c r="AD210" s="44">
        <f>T210</f>
        <v>0</v>
      </c>
    </row>
    <row r="211" spans="1:30" s="491" customFormat="1" ht="150" hidden="1" customHeight="1">
      <c r="A211" s="492"/>
      <c r="B211" s="642">
        <v>2</v>
      </c>
      <c r="C211" s="511">
        <v>3</v>
      </c>
      <c r="D211" s="512"/>
      <c r="E211" s="493" t="s">
        <v>750</v>
      </c>
      <c r="F211" s="490" t="s">
        <v>751</v>
      </c>
      <c r="G211" s="645" t="s">
        <v>357</v>
      </c>
      <c r="H211" s="712">
        <v>0</v>
      </c>
      <c r="I211" s="494">
        <v>0</v>
      </c>
      <c r="J211" s="494">
        <v>12135.21</v>
      </c>
      <c r="K211" s="494">
        <v>46.99</v>
      </c>
      <c r="L211" s="494">
        <f>SUM(L213:L219)</f>
        <v>1288.69</v>
      </c>
      <c r="M211" s="33">
        <f>SUM(I211:L211)</f>
        <v>13470.89</v>
      </c>
      <c r="N211" s="501">
        <v>1</v>
      </c>
      <c r="O211" s="502">
        <v>1</v>
      </c>
      <c r="P211" s="37">
        <v>1</v>
      </c>
      <c r="Q211" s="34">
        <f>H211*I211*N211*O211*P211</f>
        <v>0</v>
      </c>
      <c r="R211" s="35">
        <f>H211*J211*N211*O211*P211</f>
        <v>0</v>
      </c>
      <c r="S211" s="36">
        <f>H211*K211*N211*O211*P211</f>
        <v>0</v>
      </c>
      <c r="T211" s="36">
        <f>H211*L211*N211*O211*P211</f>
        <v>0</v>
      </c>
      <c r="U211" s="37">
        <f>SUM(Q211:T211)</f>
        <v>0</v>
      </c>
      <c r="V211" s="38">
        <f>(Q211+R211+S211+T215+T216+T217+T219)*'Прогнозная стоимость РСС ИП '!$M$11+T214*'Прогнозная стоимость РСС ИП '!$M$10</f>
        <v>0</v>
      </c>
      <c r="W211" s="39">
        <f>T211</f>
        <v>0</v>
      </c>
      <c r="X211" s="39">
        <f>U211</f>
        <v>0</v>
      </c>
      <c r="Y211" s="39">
        <f>V211</f>
        <v>0</v>
      </c>
      <c r="Z211" s="29"/>
      <c r="AA211" s="29"/>
      <c r="AB211" s="29"/>
      <c r="AC211" s="29"/>
      <c r="AD211" s="29"/>
    </row>
    <row r="212" spans="1:30" s="491" customFormat="1" ht="41.25" hidden="1" customHeight="1">
      <c r="A212" s="492"/>
      <c r="B212" s="643"/>
      <c r="C212" s="513"/>
      <c r="D212" s="514"/>
      <c r="E212" s="495"/>
      <c r="F212" s="496"/>
      <c r="G212" s="646"/>
      <c r="H212" s="713"/>
      <c r="I212" s="649"/>
      <c r="J212" s="650"/>
      <c r="K212" s="650"/>
      <c r="L212" s="650"/>
      <c r="M212" s="651"/>
      <c r="N212" s="652"/>
      <c r="O212" s="653"/>
      <c r="P212" s="654"/>
      <c r="Q212" s="661"/>
      <c r="R212" s="662"/>
      <c r="S212" s="662"/>
      <c r="T212" s="662"/>
      <c r="U212" s="663"/>
      <c r="V212" s="40"/>
      <c r="W212" s="41"/>
      <c r="X212" s="41"/>
      <c r="Y212" s="41"/>
      <c r="Z212" s="29"/>
      <c r="AA212" s="29"/>
      <c r="AB212" s="29"/>
      <c r="AC212" s="29"/>
      <c r="AD212" s="29"/>
    </row>
    <row r="213" spans="1:30" s="491" customFormat="1" ht="41.25" hidden="1" customHeight="1">
      <c r="A213" s="492"/>
      <c r="B213" s="643"/>
      <c r="C213" s="513"/>
      <c r="D213" s="514"/>
      <c r="E213" s="664" t="s">
        <v>29</v>
      </c>
      <c r="F213" s="665"/>
      <c r="G213" s="665"/>
      <c r="H213" s="665"/>
      <c r="I213" s="665"/>
      <c r="J213" s="665"/>
      <c r="K213" s="665"/>
      <c r="L213" s="665"/>
      <c r="M213" s="666"/>
      <c r="N213" s="655"/>
      <c r="O213" s="656"/>
      <c r="P213" s="657"/>
      <c r="Q213" s="667"/>
      <c r="R213" s="689"/>
      <c r="S213" s="689"/>
      <c r="T213" s="689"/>
      <c r="U213" s="690"/>
      <c r="V213" s="42"/>
      <c r="W213" s="41"/>
      <c r="X213" s="41"/>
      <c r="Y213" s="41"/>
      <c r="Z213" s="29"/>
      <c r="AA213" s="29"/>
      <c r="AB213" s="29"/>
      <c r="AC213" s="29"/>
      <c r="AD213" s="29"/>
    </row>
    <row r="214" spans="1:30" s="491" customFormat="1" ht="41.25" hidden="1" customHeight="1">
      <c r="A214" s="492"/>
      <c r="B214" s="643"/>
      <c r="C214" s="513">
        <v>33</v>
      </c>
      <c r="D214" s="514"/>
      <c r="E214" s="670" t="s">
        <v>30</v>
      </c>
      <c r="F214" s="670"/>
      <c r="G214" s="670"/>
      <c r="H214" s="670"/>
      <c r="I214" s="670"/>
      <c r="J214" s="670"/>
      <c r="K214" s="670"/>
      <c r="L214" s="498">
        <v>150.94999999999999</v>
      </c>
      <c r="M214" s="459">
        <f>L214</f>
        <v>150.94999999999999</v>
      </c>
      <c r="N214" s="655"/>
      <c r="O214" s="656"/>
      <c r="P214" s="657"/>
      <c r="Q214" s="671"/>
      <c r="R214" s="672"/>
      <c r="S214" s="673"/>
      <c r="T214" s="497">
        <f>H211*M214*N211*O211*P211</f>
        <v>0</v>
      </c>
      <c r="U214" s="458">
        <f>T214</f>
        <v>0</v>
      </c>
      <c r="V214" s="42"/>
      <c r="W214" s="39"/>
      <c r="X214" s="41"/>
      <c r="Y214" s="41"/>
      <c r="Z214" s="43">
        <f>T214</f>
        <v>0</v>
      </c>
      <c r="AA214" s="29"/>
      <c r="AB214" s="29"/>
      <c r="AC214" s="29"/>
      <c r="AD214" s="29"/>
    </row>
    <row r="215" spans="1:30" s="491" customFormat="1" ht="41.25" hidden="1" customHeight="1">
      <c r="A215" s="492"/>
      <c r="B215" s="643"/>
      <c r="C215" s="513"/>
      <c r="D215" s="514"/>
      <c r="E215" s="670" t="s">
        <v>31</v>
      </c>
      <c r="F215" s="670"/>
      <c r="G215" s="670"/>
      <c r="H215" s="670"/>
      <c r="I215" s="670"/>
      <c r="J215" s="670"/>
      <c r="K215" s="670"/>
      <c r="L215" s="498">
        <f>ROUND((I211+J211+K211)*2.14%,2)</f>
        <v>260.7</v>
      </c>
      <c r="M215" s="459">
        <f>L215</f>
        <v>260.7</v>
      </c>
      <c r="N215" s="655"/>
      <c r="O215" s="656"/>
      <c r="P215" s="657"/>
      <c r="Q215" s="671"/>
      <c r="R215" s="672"/>
      <c r="S215" s="673"/>
      <c r="T215" s="497">
        <f>H211*M215*N211*O211*P211</f>
        <v>0</v>
      </c>
      <c r="U215" s="458">
        <f>T215</f>
        <v>0</v>
      </c>
      <c r="V215" s="42"/>
      <c r="W215" s="41"/>
      <c r="X215" s="39"/>
      <c r="Y215" s="41"/>
      <c r="Z215" s="29"/>
      <c r="AA215" s="43">
        <f>T215</f>
        <v>0</v>
      </c>
      <c r="AB215" s="29"/>
      <c r="AC215" s="29"/>
      <c r="AD215" s="29"/>
    </row>
    <row r="216" spans="1:30" s="491" customFormat="1" ht="41.25" hidden="1" customHeight="1">
      <c r="A216" s="492"/>
      <c r="B216" s="643"/>
      <c r="C216" s="515"/>
      <c r="D216" s="514"/>
      <c r="E216" s="670" t="s">
        <v>376</v>
      </c>
      <c r="F216" s="670"/>
      <c r="G216" s="670"/>
      <c r="H216" s="670"/>
      <c r="I216" s="670"/>
      <c r="J216" s="670"/>
      <c r="K216" s="670"/>
      <c r="L216" s="498">
        <f>ROUND((I211+J211+K211+L214+L215+L219)*3%,2)-0.01</f>
        <v>392.35</v>
      </c>
      <c r="M216" s="459">
        <f>L216</f>
        <v>392.35</v>
      </c>
      <c r="N216" s="655"/>
      <c r="O216" s="656"/>
      <c r="P216" s="657"/>
      <c r="Q216" s="671"/>
      <c r="R216" s="672"/>
      <c r="S216" s="673"/>
      <c r="T216" s="497">
        <f>H211*M216*N211*O211*P211</f>
        <v>0</v>
      </c>
      <c r="U216" s="458">
        <f>T216</f>
        <v>0</v>
      </c>
      <c r="V216" s="42"/>
      <c r="W216" s="41"/>
      <c r="X216" s="41"/>
      <c r="Y216" s="39"/>
      <c r="Z216" s="29"/>
      <c r="AA216" s="29"/>
      <c r="AB216" s="43">
        <f>T216</f>
        <v>0</v>
      </c>
      <c r="AC216" s="29"/>
      <c r="AD216" s="29"/>
    </row>
    <row r="217" spans="1:30" s="491" customFormat="1" ht="54.75" hidden="1" customHeight="1">
      <c r="A217" s="492"/>
      <c r="B217" s="643"/>
      <c r="C217" s="515"/>
      <c r="D217" s="514"/>
      <c r="E217" s="670" t="s">
        <v>377</v>
      </c>
      <c r="F217" s="670"/>
      <c r="G217" s="670"/>
      <c r="H217" s="670"/>
      <c r="I217" s="670"/>
      <c r="J217" s="670"/>
      <c r="K217" s="670"/>
      <c r="L217" s="498">
        <f>943.33-K211-L214-L215-L219</f>
        <v>0</v>
      </c>
      <c r="M217" s="459">
        <f>L217</f>
        <v>0</v>
      </c>
      <c r="N217" s="655"/>
      <c r="O217" s="656"/>
      <c r="P217" s="657"/>
      <c r="Q217" s="671"/>
      <c r="R217" s="672"/>
      <c r="S217" s="673"/>
      <c r="T217" s="497">
        <f>H211*M217*N211*O211*P211</f>
        <v>0</v>
      </c>
      <c r="U217" s="458">
        <f>T217</f>
        <v>0</v>
      </c>
      <c r="V217" s="42"/>
      <c r="W217" s="41"/>
      <c r="X217" s="41"/>
      <c r="Y217" s="41"/>
      <c r="Z217" s="44"/>
      <c r="AA217" s="29"/>
      <c r="AB217" s="29"/>
      <c r="AC217" s="44">
        <f>T217</f>
        <v>0</v>
      </c>
      <c r="AD217" s="29"/>
    </row>
    <row r="218" spans="1:30" s="491" customFormat="1" ht="45" hidden="1" customHeight="1">
      <c r="A218" s="492"/>
      <c r="B218" s="643"/>
      <c r="C218" s="515"/>
      <c r="D218" s="514"/>
      <c r="E218" s="674"/>
      <c r="F218" s="675"/>
      <c r="G218" s="675"/>
      <c r="H218" s="675"/>
      <c r="I218" s="675"/>
      <c r="J218" s="675"/>
      <c r="K218" s="675"/>
      <c r="L218" s="675"/>
      <c r="M218" s="676"/>
      <c r="N218" s="655"/>
      <c r="O218" s="656"/>
      <c r="P218" s="657"/>
      <c r="Q218" s="677"/>
      <c r="R218" s="678"/>
      <c r="S218" s="678"/>
      <c r="T218" s="678"/>
      <c r="U218" s="679"/>
      <c r="V218" s="45"/>
      <c r="W218" s="41"/>
      <c r="X218" s="41"/>
      <c r="Y218" s="41"/>
      <c r="Z218" s="29"/>
      <c r="AA218" s="44"/>
      <c r="AB218" s="29"/>
      <c r="AC218" s="29"/>
      <c r="AD218" s="29"/>
    </row>
    <row r="219" spans="1:30" s="491" customFormat="1" ht="45" hidden="1" customHeight="1" thickBot="1">
      <c r="A219" s="492"/>
      <c r="B219" s="644"/>
      <c r="C219" s="516"/>
      <c r="D219" s="517"/>
      <c r="E219" s="680" t="s">
        <v>369</v>
      </c>
      <c r="F219" s="680" t="s">
        <v>306</v>
      </c>
      <c r="G219" s="680"/>
      <c r="H219" s="680"/>
      <c r="I219" s="680"/>
      <c r="J219" s="680"/>
      <c r="K219" s="680"/>
      <c r="L219" s="499">
        <f>ROUND((I211+J211+K211+L214)*3.93%,2)</f>
        <v>484.69</v>
      </c>
      <c r="M219" s="46">
        <f>L219</f>
        <v>484.69</v>
      </c>
      <c r="N219" s="658"/>
      <c r="O219" s="659"/>
      <c r="P219" s="660"/>
      <c r="Q219" s="681"/>
      <c r="R219" s="682"/>
      <c r="S219" s="683"/>
      <c r="T219" s="500">
        <f>H211*M219*N211*O211*P211</f>
        <v>0</v>
      </c>
      <c r="U219" s="47">
        <f>T219</f>
        <v>0</v>
      </c>
      <c r="V219" s="48"/>
      <c r="W219" s="41"/>
      <c r="X219" s="41"/>
      <c r="Y219" s="41"/>
      <c r="Z219" s="29"/>
      <c r="AA219" s="29"/>
      <c r="AB219" s="44"/>
      <c r="AC219" s="29"/>
      <c r="AD219" s="44">
        <f>T219</f>
        <v>0</v>
      </c>
    </row>
    <row r="220" spans="1:30" s="509" customFormat="1" ht="150" hidden="1" customHeight="1">
      <c r="A220" s="492"/>
      <c r="B220" s="642">
        <v>2</v>
      </c>
      <c r="C220" s="511">
        <v>3</v>
      </c>
      <c r="D220" s="512"/>
      <c r="E220" s="493" t="s">
        <v>412</v>
      </c>
      <c r="F220" s="487" t="s">
        <v>413</v>
      </c>
      <c r="G220" s="645" t="s">
        <v>357</v>
      </c>
      <c r="H220" s="712">
        <v>0</v>
      </c>
      <c r="I220" s="494">
        <v>0</v>
      </c>
      <c r="J220" s="494">
        <v>347.33000000000004</v>
      </c>
      <c r="K220" s="494">
        <v>0</v>
      </c>
      <c r="L220" s="494">
        <f>SUM(L222:L228)</f>
        <v>37.033547999999996</v>
      </c>
      <c r="M220" s="33">
        <f>SUM(I220:L220)</f>
        <v>384.36354800000004</v>
      </c>
      <c r="N220" s="501">
        <v>1</v>
      </c>
      <c r="O220" s="502">
        <v>1</v>
      </c>
      <c r="P220" s="37">
        <v>1</v>
      </c>
      <c r="Q220" s="34">
        <f>H220*I220*N220*O220*P220</f>
        <v>0</v>
      </c>
      <c r="R220" s="35">
        <f>H220*J220*N220*O220*P220</f>
        <v>0</v>
      </c>
      <c r="S220" s="36">
        <f>H220*K220*N220*O220*P220</f>
        <v>0</v>
      </c>
      <c r="T220" s="36">
        <f>H220*L220*N220*O220*P220</f>
        <v>0</v>
      </c>
      <c r="U220" s="37">
        <f>SUM(Q220:T220)</f>
        <v>0</v>
      </c>
      <c r="V220" s="38">
        <f>(Q220+R220+S220+T224+T225+T226+T228)*'Прогнозная стоимость РСС ИП '!$M$11+T223*'Прогнозная стоимость РСС ИП '!$M$10</f>
        <v>0</v>
      </c>
      <c r="W220" s="507">
        <f>T220</f>
        <v>0</v>
      </c>
      <c r="X220" s="507">
        <f>U220</f>
        <v>0</v>
      </c>
      <c r="Y220" s="507">
        <f>V220</f>
        <v>0</v>
      </c>
      <c r="Z220" s="508"/>
      <c r="AA220" s="508"/>
      <c r="AB220" s="508"/>
      <c r="AC220" s="508"/>
      <c r="AD220" s="508"/>
    </row>
    <row r="221" spans="1:30" s="488" customFormat="1" ht="41.25" hidden="1" customHeight="1">
      <c r="A221" s="492"/>
      <c r="B221" s="643"/>
      <c r="C221" s="513"/>
      <c r="D221" s="514"/>
      <c r="E221" s="495"/>
      <c r="F221" s="496"/>
      <c r="G221" s="646"/>
      <c r="H221" s="713"/>
      <c r="I221" s="649"/>
      <c r="J221" s="650"/>
      <c r="K221" s="650"/>
      <c r="L221" s="650"/>
      <c r="M221" s="651"/>
      <c r="N221" s="652"/>
      <c r="O221" s="653"/>
      <c r="P221" s="654"/>
      <c r="Q221" s="661"/>
      <c r="R221" s="662"/>
      <c r="S221" s="662"/>
      <c r="T221" s="662"/>
      <c r="U221" s="663"/>
      <c r="V221" s="40"/>
      <c r="W221" s="41"/>
      <c r="X221" s="41"/>
      <c r="Y221" s="41"/>
      <c r="Z221" s="29"/>
      <c r="AA221" s="29"/>
      <c r="AB221" s="29"/>
      <c r="AC221" s="29"/>
      <c r="AD221" s="29"/>
    </row>
    <row r="222" spans="1:30" s="488" customFormat="1" ht="41.25" hidden="1" customHeight="1">
      <c r="A222" s="492"/>
      <c r="B222" s="643"/>
      <c r="C222" s="513"/>
      <c r="D222" s="514"/>
      <c r="E222" s="664" t="s">
        <v>29</v>
      </c>
      <c r="F222" s="665"/>
      <c r="G222" s="665"/>
      <c r="H222" s="665"/>
      <c r="I222" s="665"/>
      <c r="J222" s="665"/>
      <c r="K222" s="665"/>
      <c r="L222" s="665"/>
      <c r="M222" s="666"/>
      <c r="N222" s="655"/>
      <c r="O222" s="656"/>
      <c r="P222" s="657"/>
      <c r="Q222" s="667"/>
      <c r="R222" s="668"/>
      <c r="S222" s="668"/>
      <c r="T222" s="668"/>
      <c r="U222" s="669"/>
      <c r="V222" s="42"/>
      <c r="W222" s="41"/>
      <c r="X222" s="41"/>
      <c r="Y222" s="41"/>
      <c r="Z222" s="29"/>
      <c r="AA222" s="29"/>
      <c r="AB222" s="29"/>
      <c r="AC222" s="29"/>
      <c r="AD222" s="29"/>
    </row>
    <row r="223" spans="1:30" s="488" customFormat="1" ht="41.25" hidden="1" customHeight="1">
      <c r="A223" s="492"/>
      <c r="B223" s="643"/>
      <c r="C223" s="513">
        <v>33</v>
      </c>
      <c r="D223" s="514"/>
      <c r="E223" s="670" t="s">
        <v>30</v>
      </c>
      <c r="F223" s="670"/>
      <c r="G223" s="670"/>
      <c r="H223" s="670"/>
      <c r="I223" s="670"/>
      <c r="J223" s="670"/>
      <c r="K223" s="670"/>
      <c r="L223" s="498">
        <v>4.5735479999999997</v>
      </c>
      <c r="M223" s="459">
        <f>L223</f>
        <v>4.5735479999999997</v>
      </c>
      <c r="N223" s="655"/>
      <c r="O223" s="656"/>
      <c r="P223" s="657"/>
      <c r="Q223" s="671"/>
      <c r="R223" s="672"/>
      <c r="S223" s="673"/>
      <c r="T223" s="457">
        <f>H220*M223*N220*O220*P220</f>
        <v>0</v>
      </c>
      <c r="U223" s="458">
        <f>T223</f>
        <v>0</v>
      </c>
      <c r="V223" s="42"/>
      <c r="W223" s="39"/>
      <c r="X223" s="41"/>
      <c r="Y223" s="41"/>
      <c r="Z223" s="43">
        <f>T223</f>
        <v>0</v>
      </c>
      <c r="AA223" s="29"/>
      <c r="AB223" s="29"/>
      <c r="AC223" s="29"/>
      <c r="AD223" s="29"/>
    </row>
    <row r="224" spans="1:30" s="488" customFormat="1" ht="41.25" hidden="1" customHeight="1">
      <c r="A224" s="492"/>
      <c r="B224" s="643"/>
      <c r="C224" s="513"/>
      <c r="D224" s="514"/>
      <c r="E224" s="670" t="s">
        <v>31</v>
      </c>
      <c r="F224" s="670"/>
      <c r="G224" s="670"/>
      <c r="H224" s="670"/>
      <c r="I224" s="670"/>
      <c r="J224" s="670"/>
      <c r="K224" s="670"/>
      <c r="L224" s="498">
        <f>ROUND((I220+J220+K220)*2.14%,2)</f>
        <v>7.43</v>
      </c>
      <c r="M224" s="459">
        <f>L224</f>
        <v>7.43</v>
      </c>
      <c r="N224" s="655"/>
      <c r="O224" s="656"/>
      <c r="P224" s="657"/>
      <c r="Q224" s="671"/>
      <c r="R224" s="672"/>
      <c r="S224" s="673"/>
      <c r="T224" s="457">
        <f>H220*M224*N220*O220*P220</f>
        <v>0</v>
      </c>
      <c r="U224" s="458">
        <f>T224</f>
        <v>0</v>
      </c>
      <c r="V224" s="42"/>
      <c r="W224" s="41"/>
      <c r="X224" s="39"/>
      <c r="Y224" s="41"/>
      <c r="Z224" s="29"/>
      <c r="AA224" s="43">
        <f>T224</f>
        <v>0</v>
      </c>
      <c r="AB224" s="29"/>
      <c r="AC224" s="29"/>
      <c r="AD224" s="29"/>
    </row>
    <row r="225" spans="1:30" s="488" customFormat="1" ht="41.25" hidden="1" customHeight="1">
      <c r="A225" s="492"/>
      <c r="B225" s="643"/>
      <c r="C225" s="515"/>
      <c r="D225" s="514"/>
      <c r="E225" s="670" t="s">
        <v>376</v>
      </c>
      <c r="F225" s="670"/>
      <c r="G225" s="670"/>
      <c r="H225" s="670"/>
      <c r="I225" s="670"/>
      <c r="J225" s="670"/>
      <c r="K225" s="670"/>
      <c r="L225" s="498">
        <f>ROUND((I220+J220+K220+L223+L224+L228)*3%,2)+0.01</f>
        <v>11.2</v>
      </c>
      <c r="M225" s="459">
        <f>L225</f>
        <v>11.2</v>
      </c>
      <c r="N225" s="655"/>
      <c r="O225" s="656"/>
      <c r="P225" s="657"/>
      <c r="Q225" s="671"/>
      <c r="R225" s="672"/>
      <c r="S225" s="673"/>
      <c r="T225" s="457">
        <f>H220*M225*N220*O220*P220</f>
        <v>0</v>
      </c>
      <c r="U225" s="458">
        <f>T225</f>
        <v>0</v>
      </c>
      <c r="V225" s="42"/>
      <c r="W225" s="41"/>
      <c r="X225" s="41"/>
      <c r="Y225" s="39"/>
      <c r="Z225" s="29"/>
      <c r="AA225" s="29"/>
      <c r="AB225" s="43">
        <f>T225</f>
        <v>0</v>
      </c>
      <c r="AC225" s="29"/>
      <c r="AD225" s="29"/>
    </row>
    <row r="226" spans="1:30" s="488" customFormat="1" ht="54.75" hidden="1" customHeight="1">
      <c r="A226" s="492"/>
      <c r="B226" s="643"/>
      <c r="C226" s="515"/>
      <c r="D226" s="514"/>
      <c r="E226" s="670" t="s">
        <v>377</v>
      </c>
      <c r="F226" s="670"/>
      <c r="G226" s="670"/>
      <c r="H226" s="670"/>
      <c r="I226" s="670"/>
      <c r="J226" s="670"/>
      <c r="K226" s="670"/>
      <c r="L226" s="498">
        <f>25.833548-K220-L223-L224-L228</f>
        <v>0</v>
      </c>
      <c r="M226" s="459">
        <f>L226</f>
        <v>0</v>
      </c>
      <c r="N226" s="655"/>
      <c r="O226" s="656"/>
      <c r="P226" s="657"/>
      <c r="Q226" s="671"/>
      <c r="R226" s="672"/>
      <c r="S226" s="673"/>
      <c r="T226" s="457">
        <f>H220*M226*N220*O220*P220</f>
        <v>0</v>
      </c>
      <c r="U226" s="458">
        <f>T226</f>
        <v>0</v>
      </c>
      <c r="V226" s="42"/>
      <c r="W226" s="41"/>
      <c r="X226" s="41"/>
      <c r="Y226" s="41"/>
      <c r="Z226" s="44"/>
      <c r="AA226" s="29"/>
      <c r="AB226" s="29"/>
      <c r="AC226" s="44">
        <f>T226</f>
        <v>0</v>
      </c>
      <c r="AD226" s="29"/>
    </row>
    <row r="227" spans="1:30" s="488" customFormat="1" ht="45" hidden="1" customHeight="1">
      <c r="A227" s="492"/>
      <c r="B227" s="643"/>
      <c r="C227" s="515"/>
      <c r="D227" s="514"/>
      <c r="E227" s="674"/>
      <c r="F227" s="675"/>
      <c r="G227" s="675"/>
      <c r="H227" s="675"/>
      <c r="I227" s="675"/>
      <c r="J227" s="675"/>
      <c r="K227" s="675"/>
      <c r="L227" s="675"/>
      <c r="M227" s="676"/>
      <c r="N227" s="655"/>
      <c r="O227" s="656"/>
      <c r="P227" s="657"/>
      <c r="Q227" s="677"/>
      <c r="R227" s="678"/>
      <c r="S227" s="678"/>
      <c r="T227" s="678"/>
      <c r="U227" s="679"/>
      <c r="V227" s="45"/>
      <c r="W227" s="41"/>
      <c r="X227" s="41"/>
      <c r="Y227" s="41"/>
      <c r="Z227" s="29"/>
      <c r="AA227" s="44"/>
      <c r="AB227" s="29"/>
      <c r="AC227" s="29"/>
      <c r="AD227" s="29"/>
    </row>
    <row r="228" spans="1:30" s="488" customFormat="1" ht="45" hidden="1" customHeight="1" thickBot="1">
      <c r="A228" s="492"/>
      <c r="B228" s="644"/>
      <c r="C228" s="516"/>
      <c r="D228" s="517"/>
      <c r="E228" s="680" t="s">
        <v>369</v>
      </c>
      <c r="F228" s="680" t="s">
        <v>306</v>
      </c>
      <c r="G228" s="680"/>
      <c r="H228" s="680"/>
      <c r="I228" s="680"/>
      <c r="J228" s="680"/>
      <c r="K228" s="680"/>
      <c r="L228" s="499">
        <f>ROUND((I220+J220+K220+L223)*3.93%,2)</f>
        <v>13.83</v>
      </c>
      <c r="M228" s="46">
        <f>L228</f>
        <v>13.83</v>
      </c>
      <c r="N228" s="658"/>
      <c r="O228" s="659"/>
      <c r="P228" s="660"/>
      <c r="Q228" s="681"/>
      <c r="R228" s="682"/>
      <c r="S228" s="683"/>
      <c r="T228" s="500">
        <f>H220*M228*N220*O220*P220</f>
        <v>0</v>
      </c>
      <c r="U228" s="47">
        <f>T228</f>
        <v>0</v>
      </c>
      <c r="V228" s="48"/>
      <c r="W228" s="41"/>
      <c r="X228" s="41"/>
      <c r="Y228" s="41"/>
      <c r="Z228" s="29"/>
      <c r="AA228" s="29"/>
      <c r="AB228" s="44"/>
      <c r="AC228" s="29"/>
      <c r="AD228" s="44">
        <f>T228</f>
        <v>0</v>
      </c>
    </row>
    <row r="229" spans="1:30" s="509" customFormat="1" ht="150" hidden="1" customHeight="1">
      <c r="A229" s="492"/>
      <c r="B229" s="642">
        <v>2</v>
      </c>
      <c r="C229" s="511">
        <v>3</v>
      </c>
      <c r="D229" s="512"/>
      <c r="E229" s="493" t="s">
        <v>414</v>
      </c>
      <c r="F229" s="487" t="s">
        <v>415</v>
      </c>
      <c r="G229" s="645" t="s">
        <v>357</v>
      </c>
      <c r="H229" s="712">
        <v>0</v>
      </c>
      <c r="I229" s="494">
        <v>0</v>
      </c>
      <c r="J229" s="494">
        <v>250.02999999999997</v>
      </c>
      <c r="K229" s="494">
        <v>0</v>
      </c>
      <c r="L229" s="494">
        <f>SUM(L231:L237)</f>
        <v>29.554010000000005</v>
      </c>
      <c r="M229" s="33">
        <f>SUM(I229:L229)</f>
        <v>279.58400999999998</v>
      </c>
      <c r="N229" s="501">
        <v>1</v>
      </c>
      <c r="O229" s="502">
        <v>1</v>
      </c>
      <c r="P229" s="37">
        <v>1</v>
      </c>
      <c r="Q229" s="34">
        <f>H229*I229*N229*O229*P229</f>
        <v>0</v>
      </c>
      <c r="R229" s="35">
        <f>H229*J229*N229*O229*P229</f>
        <v>0</v>
      </c>
      <c r="S229" s="36">
        <f>H229*K229*N229*O229*P229</f>
        <v>0</v>
      </c>
      <c r="T229" s="36">
        <f>H229*L229*N229*O229*P229</f>
        <v>0</v>
      </c>
      <c r="U229" s="37">
        <f>SUM(Q229:T229)</f>
        <v>0</v>
      </c>
      <c r="V229" s="38">
        <f>(Q229+R229+S229+T233+T234+T235+T237)*'Прогнозная стоимость РСС ИП '!$M$11+T232*'Прогнозная стоимость РСС ИП '!$M$10</f>
        <v>0</v>
      </c>
      <c r="W229" s="507">
        <f>T229</f>
        <v>0</v>
      </c>
      <c r="X229" s="507">
        <f>U229</f>
        <v>0</v>
      </c>
      <c r="Y229" s="507">
        <f>V229</f>
        <v>0</v>
      </c>
      <c r="Z229" s="508"/>
      <c r="AA229" s="508"/>
      <c r="AB229" s="508"/>
      <c r="AC229" s="508"/>
      <c r="AD229" s="508"/>
    </row>
    <row r="230" spans="1:30" s="488" customFormat="1" ht="41.25" hidden="1" customHeight="1">
      <c r="A230" s="492"/>
      <c r="B230" s="643"/>
      <c r="C230" s="513"/>
      <c r="D230" s="514"/>
      <c r="E230" s="495"/>
      <c r="F230" s="496"/>
      <c r="G230" s="646"/>
      <c r="H230" s="713"/>
      <c r="I230" s="649"/>
      <c r="J230" s="650"/>
      <c r="K230" s="650"/>
      <c r="L230" s="650"/>
      <c r="M230" s="651"/>
      <c r="N230" s="652"/>
      <c r="O230" s="653"/>
      <c r="P230" s="654"/>
      <c r="Q230" s="661"/>
      <c r="R230" s="662"/>
      <c r="S230" s="662"/>
      <c r="T230" s="662"/>
      <c r="U230" s="663"/>
      <c r="V230" s="40"/>
      <c r="W230" s="41"/>
      <c r="X230" s="41"/>
      <c r="Y230" s="41"/>
      <c r="Z230" s="29"/>
      <c r="AA230" s="29"/>
      <c r="AB230" s="29"/>
      <c r="AC230" s="29"/>
      <c r="AD230" s="29"/>
    </row>
    <row r="231" spans="1:30" s="488" customFormat="1" ht="41.25" hidden="1" customHeight="1">
      <c r="A231" s="492"/>
      <c r="B231" s="643"/>
      <c r="C231" s="513"/>
      <c r="D231" s="514"/>
      <c r="E231" s="664" t="s">
        <v>29</v>
      </c>
      <c r="F231" s="665"/>
      <c r="G231" s="665"/>
      <c r="H231" s="665"/>
      <c r="I231" s="665"/>
      <c r="J231" s="665"/>
      <c r="K231" s="665"/>
      <c r="L231" s="665"/>
      <c r="M231" s="666"/>
      <c r="N231" s="655"/>
      <c r="O231" s="656"/>
      <c r="P231" s="657"/>
      <c r="Q231" s="667"/>
      <c r="R231" s="668"/>
      <c r="S231" s="668"/>
      <c r="T231" s="668"/>
      <c r="U231" s="669"/>
      <c r="V231" s="42"/>
      <c r="W231" s="41"/>
      <c r="X231" s="41"/>
      <c r="Y231" s="41"/>
      <c r="Z231" s="29"/>
      <c r="AA231" s="29"/>
      <c r="AB231" s="29"/>
      <c r="AC231" s="29"/>
      <c r="AD231" s="29"/>
    </row>
    <row r="232" spans="1:30" s="488" customFormat="1" ht="41.25" hidden="1" customHeight="1">
      <c r="A232" s="492"/>
      <c r="B232" s="643"/>
      <c r="C232" s="513">
        <v>33</v>
      </c>
      <c r="D232" s="514"/>
      <c r="E232" s="670" t="s">
        <v>30</v>
      </c>
      <c r="F232" s="670"/>
      <c r="G232" s="670"/>
      <c r="H232" s="670"/>
      <c r="I232" s="670"/>
      <c r="J232" s="670"/>
      <c r="K232" s="670"/>
      <c r="L232" s="498">
        <v>6.004010000000001</v>
      </c>
      <c r="M232" s="459">
        <f>L232</f>
        <v>6.004010000000001</v>
      </c>
      <c r="N232" s="655"/>
      <c r="O232" s="656"/>
      <c r="P232" s="657"/>
      <c r="Q232" s="671"/>
      <c r="R232" s="672"/>
      <c r="S232" s="673"/>
      <c r="T232" s="457">
        <f>H229*M232*N229*O229*P229</f>
        <v>0</v>
      </c>
      <c r="U232" s="458">
        <f>T232</f>
        <v>0</v>
      </c>
      <c r="V232" s="42"/>
      <c r="W232" s="39"/>
      <c r="X232" s="41"/>
      <c r="Y232" s="41"/>
      <c r="Z232" s="43">
        <f>T232</f>
        <v>0</v>
      </c>
      <c r="AA232" s="29"/>
      <c r="AB232" s="29"/>
      <c r="AC232" s="29"/>
      <c r="AD232" s="29"/>
    </row>
    <row r="233" spans="1:30" s="488" customFormat="1" ht="41.25" hidden="1" customHeight="1">
      <c r="A233" s="492"/>
      <c r="B233" s="643"/>
      <c r="C233" s="513"/>
      <c r="D233" s="514"/>
      <c r="E233" s="670" t="s">
        <v>31</v>
      </c>
      <c r="F233" s="670"/>
      <c r="G233" s="670"/>
      <c r="H233" s="670"/>
      <c r="I233" s="670"/>
      <c r="J233" s="670"/>
      <c r="K233" s="670"/>
      <c r="L233" s="498">
        <f>ROUND((I229+J229+K229)*2.14%,2)</f>
        <v>5.35</v>
      </c>
      <c r="M233" s="459">
        <f>L233</f>
        <v>5.35</v>
      </c>
      <c r="N233" s="655"/>
      <c r="O233" s="656"/>
      <c r="P233" s="657"/>
      <c r="Q233" s="671"/>
      <c r="R233" s="672"/>
      <c r="S233" s="673"/>
      <c r="T233" s="457">
        <f>H229*M233*N229*O229*P229</f>
        <v>0</v>
      </c>
      <c r="U233" s="458">
        <f>T233</f>
        <v>0</v>
      </c>
      <c r="V233" s="42"/>
      <c r="W233" s="41"/>
      <c r="X233" s="39"/>
      <c r="Y233" s="41"/>
      <c r="Z233" s="29"/>
      <c r="AA233" s="43">
        <f>T233</f>
        <v>0</v>
      </c>
      <c r="AB233" s="29"/>
      <c r="AC233" s="29"/>
      <c r="AD233" s="29"/>
    </row>
    <row r="234" spans="1:30" s="488" customFormat="1" ht="41.25" hidden="1" customHeight="1">
      <c r="A234" s="492"/>
      <c r="B234" s="643"/>
      <c r="C234" s="515"/>
      <c r="D234" s="514"/>
      <c r="E234" s="670" t="s">
        <v>376</v>
      </c>
      <c r="F234" s="670"/>
      <c r="G234" s="670"/>
      <c r="H234" s="670"/>
      <c r="I234" s="670"/>
      <c r="J234" s="670"/>
      <c r="K234" s="670"/>
      <c r="L234" s="498">
        <f>ROUND((I229+J229+K229+L232+L233+L237)*3%,2)</f>
        <v>8.14</v>
      </c>
      <c r="M234" s="459">
        <f>L234</f>
        <v>8.14</v>
      </c>
      <c r="N234" s="655"/>
      <c r="O234" s="656"/>
      <c r="P234" s="657"/>
      <c r="Q234" s="671"/>
      <c r="R234" s="672"/>
      <c r="S234" s="673"/>
      <c r="T234" s="457">
        <f>H229*M234*N229*O229*P229</f>
        <v>0</v>
      </c>
      <c r="U234" s="458">
        <f>T234</f>
        <v>0</v>
      </c>
      <c r="V234" s="42"/>
      <c r="W234" s="41"/>
      <c r="X234" s="41"/>
      <c r="Y234" s="39"/>
      <c r="Z234" s="29"/>
      <c r="AA234" s="29"/>
      <c r="AB234" s="43">
        <f>T234</f>
        <v>0</v>
      </c>
      <c r="AC234" s="29"/>
      <c r="AD234" s="29"/>
    </row>
    <row r="235" spans="1:30" s="488" customFormat="1" ht="54.75" hidden="1" customHeight="1">
      <c r="A235" s="492"/>
      <c r="B235" s="643"/>
      <c r="C235" s="515"/>
      <c r="D235" s="514"/>
      <c r="E235" s="670" t="s">
        <v>377</v>
      </c>
      <c r="F235" s="670"/>
      <c r="G235" s="670"/>
      <c r="H235" s="670"/>
      <c r="I235" s="670"/>
      <c r="J235" s="670"/>
      <c r="K235" s="670"/>
      <c r="L235" s="498">
        <f>21.41401-K229-L232-L233-L237</f>
        <v>0</v>
      </c>
      <c r="M235" s="459">
        <f>L235</f>
        <v>0</v>
      </c>
      <c r="N235" s="655"/>
      <c r="O235" s="656"/>
      <c r="P235" s="657"/>
      <c r="Q235" s="671"/>
      <c r="R235" s="672"/>
      <c r="S235" s="673"/>
      <c r="T235" s="457">
        <f>H229*M235*N229*O229*P229</f>
        <v>0</v>
      </c>
      <c r="U235" s="458">
        <f>T235</f>
        <v>0</v>
      </c>
      <c r="V235" s="42"/>
      <c r="W235" s="41"/>
      <c r="X235" s="41"/>
      <c r="Y235" s="41"/>
      <c r="Z235" s="44"/>
      <c r="AA235" s="29"/>
      <c r="AB235" s="29"/>
      <c r="AC235" s="44">
        <f>T235</f>
        <v>0</v>
      </c>
      <c r="AD235" s="29"/>
    </row>
    <row r="236" spans="1:30" s="488" customFormat="1" ht="45" hidden="1" customHeight="1">
      <c r="A236" s="492"/>
      <c r="B236" s="643"/>
      <c r="C236" s="515"/>
      <c r="D236" s="514"/>
      <c r="E236" s="674"/>
      <c r="F236" s="675"/>
      <c r="G236" s="675"/>
      <c r="H236" s="675"/>
      <c r="I236" s="675"/>
      <c r="J236" s="675"/>
      <c r="K236" s="675"/>
      <c r="L236" s="675"/>
      <c r="M236" s="676"/>
      <c r="N236" s="655"/>
      <c r="O236" s="656"/>
      <c r="P236" s="657"/>
      <c r="Q236" s="677"/>
      <c r="R236" s="678"/>
      <c r="S236" s="678"/>
      <c r="T236" s="678"/>
      <c r="U236" s="679"/>
      <c r="V236" s="45"/>
      <c r="W236" s="41"/>
      <c r="X236" s="41"/>
      <c r="Y236" s="41"/>
      <c r="Z236" s="29"/>
      <c r="AA236" s="44"/>
      <c r="AB236" s="29"/>
      <c r="AC236" s="29"/>
      <c r="AD236" s="29"/>
    </row>
    <row r="237" spans="1:30" s="488" customFormat="1" ht="45" hidden="1" customHeight="1" thickBot="1">
      <c r="A237" s="492"/>
      <c r="B237" s="644"/>
      <c r="C237" s="516"/>
      <c r="D237" s="517"/>
      <c r="E237" s="680" t="s">
        <v>369</v>
      </c>
      <c r="F237" s="680" t="s">
        <v>306</v>
      </c>
      <c r="G237" s="680"/>
      <c r="H237" s="680"/>
      <c r="I237" s="680"/>
      <c r="J237" s="680"/>
      <c r="K237" s="680"/>
      <c r="L237" s="499">
        <f>ROUND((I229+J229+K229+L232)*3.93%,2)</f>
        <v>10.06</v>
      </c>
      <c r="M237" s="46">
        <f>L237</f>
        <v>10.06</v>
      </c>
      <c r="N237" s="658"/>
      <c r="O237" s="659"/>
      <c r="P237" s="660"/>
      <c r="Q237" s="681"/>
      <c r="R237" s="682"/>
      <c r="S237" s="683"/>
      <c r="T237" s="500">
        <f>H229*M237*N229*O229*P229</f>
        <v>0</v>
      </c>
      <c r="U237" s="47">
        <f>T237</f>
        <v>0</v>
      </c>
      <c r="V237" s="48"/>
      <c r="W237" s="41"/>
      <c r="X237" s="41"/>
      <c r="Y237" s="41"/>
      <c r="Z237" s="29"/>
      <c r="AA237" s="29"/>
      <c r="AB237" s="44"/>
      <c r="AC237" s="29"/>
      <c r="AD237" s="44">
        <f>T237</f>
        <v>0</v>
      </c>
    </row>
    <row r="238" spans="1:30" s="488" customFormat="1" ht="150" hidden="1" customHeight="1" thickBot="1">
      <c r="A238" s="492"/>
      <c r="B238" s="642">
        <v>1</v>
      </c>
      <c r="C238" s="511">
        <v>10</v>
      </c>
      <c r="D238" s="512"/>
      <c r="E238" s="493" t="s">
        <v>370</v>
      </c>
      <c r="F238" s="487" t="s">
        <v>416</v>
      </c>
      <c r="G238" s="645" t="s">
        <v>388</v>
      </c>
      <c r="H238" s="688">
        <v>0</v>
      </c>
      <c r="I238" s="494">
        <v>31.38</v>
      </c>
      <c r="J238" s="494">
        <v>4.6500000000000004</v>
      </c>
      <c r="K238" s="494">
        <v>9.68</v>
      </c>
      <c r="L238" s="494">
        <f>SUM(L240:L246)</f>
        <v>7.27</v>
      </c>
      <c r="M238" s="33">
        <f>SUM(I238:L238)</f>
        <v>52.980000000000004</v>
      </c>
      <c r="N238" s="501">
        <v>1</v>
      </c>
      <c r="O238" s="502">
        <v>1</v>
      </c>
      <c r="P238" s="37">
        <v>1</v>
      </c>
      <c r="Q238" s="34">
        <f>H238*I238*N238*O238*P238</f>
        <v>0</v>
      </c>
      <c r="R238" s="35">
        <f>H238*J238*N238*O238*P238</f>
        <v>0</v>
      </c>
      <c r="S238" s="36">
        <f>H238*K238*N238*O238*P238</f>
        <v>0</v>
      </c>
      <c r="T238" s="36">
        <f>H238*L238*N238*O238*P238</f>
        <v>0</v>
      </c>
      <c r="U238" s="37">
        <f>SUM(Q238:T238)</f>
        <v>0</v>
      </c>
      <c r="V238" s="38">
        <f>(Q238+R238+S238+T242+T243+T244+T246)*'Прогнозная стоимость РСС ИП '!$M$11+T241*'Прогнозная стоимость РСС ИП '!$M$10</f>
        <v>0</v>
      </c>
      <c r="W238" s="39">
        <f>T238</f>
        <v>0</v>
      </c>
      <c r="X238" s="39">
        <f>U238</f>
        <v>0</v>
      </c>
      <c r="Y238" s="39">
        <f>V238</f>
        <v>0</v>
      </c>
      <c r="Z238" s="29"/>
      <c r="AA238" s="29"/>
      <c r="AB238" s="29"/>
      <c r="AC238" s="29"/>
      <c r="AD238" s="29"/>
    </row>
    <row r="239" spans="1:30" s="488" customFormat="1" ht="41.25" hidden="1" customHeight="1">
      <c r="A239" s="492"/>
      <c r="B239" s="643"/>
      <c r="C239" s="513"/>
      <c r="D239" s="514"/>
      <c r="E239" s="495"/>
      <c r="F239" s="496"/>
      <c r="G239" s="646"/>
      <c r="H239" s="688"/>
      <c r="I239" s="649"/>
      <c r="J239" s="650"/>
      <c r="K239" s="650"/>
      <c r="L239" s="650"/>
      <c r="M239" s="651"/>
      <c r="N239" s="652"/>
      <c r="O239" s="653"/>
      <c r="P239" s="654"/>
      <c r="Q239" s="661"/>
      <c r="R239" s="662"/>
      <c r="S239" s="662"/>
      <c r="T239" s="662"/>
      <c r="U239" s="663"/>
      <c r="V239" s="40"/>
      <c r="W239" s="41"/>
      <c r="X239" s="41"/>
      <c r="Y239" s="41"/>
      <c r="Z239" s="29"/>
      <c r="AA239" s="29"/>
      <c r="AB239" s="29"/>
      <c r="AC239" s="29"/>
      <c r="AD239" s="29"/>
    </row>
    <row r="240" spans="1:30" s="488" customFormat="1" ht="41.25" hidden="1" customHeight="1">
      <c r="A240" s="492"/>
      <c r="B240" s="643"/>
      <c r="C240" s="513"/>
      <c r="D240" s="514"/>
      <c r="E240" s="664" t="s">
        <v>29</v>
      </c>
      <c r="F240" s="665"/>
      <c r="G240" s="665"/>
      <c r="H240" s="665"/>
      <c r="I240" s="665"/>
      <c r="J240" s="665"/>
      <c r="K240" s="665"/>
      <c r="L240" s="665"/>
      <c r="M240" s="666"/>
      <c r="N240" s="655"/>
      <c r="O240" s="656"/>
      <c r="P240" s="657"/>
      <c r="Q240" s="667"/>
      <c r="R240" s="689"/>
      <c r="S240" s="689"/>
      <c r="T240" s="689"/>
      <c r="U240" s="690"/>
      <c r="V240" s="42"/>
      <c r="W240" s="41"/>
      <c r="X240" s="41"/>
      <c r="Y240" s="41"/>
      <c r="Z240" s="29"/>
      <c r="AA240" s="29"/>
      <c r="AB240" s="29"/>
      <c r="AC240" s="29"/>
      <c r="AD240" s="29"/>
    </row>
    <row r="241" spans="1:30" s="488" customFormat="1" ht="41.25" hidden="1" customHeight="1">
      <c r="A241" s="492"/>
      <c r="B241" s="643"/>
      <c r="C241" s="513">
        <v>1010</v>
      </c>
      <c r="D241" s="514"/>
      <c r="E241" s="670" t="s">
        <v>30</v>
      </c>
      <c r="F241" s="670"/>
      <c r="G241" s="670"/>
      <c r="H241" s="670"/>
      <c r="I241" s="670"/>
      <c r="J241" s="670"/>
      <c r="K241" s="670"/>
      <c r="L241" s="498">
        <v>2.84</v>
      </c>
      <c r="M241" s="459">
        <f>L241</f>
        <v>2.84</v>
      </c>
      <c r="N241" s="655"/>
      <c r="O241" s="656"/>
      <c r="P241" s="657"/>
      <c r="Q241" s="671"/>
      <c r="R241" s="672"/>
      <c r="S241" s="673"/>
      <c r="T241" s="457">
        <f>H238*M241*N238*O238*P238</f>
        <v>0</v>
      </c>
      <c r="U241" s="458">
        <f>T241</f>
        <v>0</v>
      </c>
      <c r="V241" s="42"/>
      <c r="W241" s="39"/>
      <c r="X241" s="41"/>
      <c r="Y241" s="41"/>
      <c r="Z241" s="43">
        <f>T241</f>
        <v>0</v>
      </c>
      <c r="AA241" s="29"/>
      <c r="AB241" s="29"/>
      <c r="AC241" s="29"/>
      <c r="AD241" s="29"/>
    </row>
    <row r="242" spans="1:30" s="488" customFormat="1" ht="41.25" hidden="1" customHeight="1">
      <c r="A242" s="492"/>
      <c r="B242" s="643"/>
      <c r="C242" s="513"/>
      <c r="D242" s="514"/>
      <c r="E242" s="670" t="s">
        <v>31</v>
      </c>
      <c r="F242" s="670"/>
      <c r="G242" s="670"/>
      <c r="H242" s="670"/>
      <c r="I242" s="670"/>
      <c r="J242" s="670"/>
      <c r="K242" s="670"/>
      <c r="L242" s="498">
        <f>ROUND((I238+J238+K238)*2.14%,2)</f>
        <v>0.98</v>
      </c>
      <c r="M242" s="459">
        <f>L242</f>
        <v>0.98</v>
      </c>
      <c r="N242" s="655"/>
      <c r="O242" s="656"/>
      <c r="P242" s="657"/>
      <c r="Q242" s="671"/>
      <c r="R242" s="672"/>
      <c r="S242" s="673"/>
      <c r="T242" s="457">
        <f>H238*M242*N238*O238*P238</f>
        <v>0</v>
      </c>
      <c r="U242" s="458">
        <f>T242</f>
        <v>0</v>
      </c>
      <c r="V242" s="42"/>
      <c r="W242" s="41"/>
      <c r="X242" s="39"/>
      <c r="Y242" s="41"/>
      <c r="Z242" s="29"/>
      <c r="AA242" s="43">
        <f>T242</f>
        <v>0</v>
      </c>
      <c r="AB242" s="29"/>
      <c r="AC242" s="29"/>
      <c r="AD242" s="29"/>
    </row>
    <row r="243" spans="1:30" s="488" customFormat="1" ht="41.25" hidden="1" customHeight="1">
      <c r="A243" s="492"/>
      <c r="B243" s="643"/>
      <c r="C243" s="515"/>
      <c r="D243" s="514"/>
      <c r="E243" s="670" t="s">
        <v>376</v>
      </c>
      <c r="F243" s="670"/>
      <c r="G243" s="670"/>
      <c r="H243" s="670"/>
      <c r="I243" s="670"/>
      <c r="J243" s="670"/>
      <c r="K243" s="670"/>
      <c r="L243" s="498">
        <f>ROUND((I238+J238+K238+L241+L242+L246)*3%,2)</f>
        <v>1.54</v>
      </c>
      <c r="M243" s="459">
        <f>L243</f>
        <v>1.54</v>
      </c>
      <c r="N243" s="655"/>
      <c r="O243" s="656"/>
      <c r="P243" s="657"/>
      <c r="Q243" s="671"/>
      <c r="R243" s="672"/>
      <c r="S243" s="673"/>
      <c r="T243" s="457">
        <f>H238*M243*N238*O238*P238</f>
        <v>0</v>
      </c>
      <c r="U243" s="458">
        <f>T243</f>
        <v>0</v>
      </c>
      <c r="V243" s="42"/>
      <c r="W243" s="41"/>
      <c r="X243" s="41"/>
      <c r="Y243" s="39"/>
      <c r="Z243" s="29"/>
      <c r="AA243" s="29"/>
      <c r="AB243" s="43">
        <f>T243</f>
        <v>0</v>
      </c>
      <c r="AC243" s="29"/>
      <c r="AD243" s="29"/>
    </row>
    <row r="244" spans="1:30" s="488" customFormat="1" ht="54.75" hidden="1" customHeight="1">
      <c r="A244" s="492"/>
      <c r="B244" s="643"/>
      <c r="C244" s="515"/>
      <c r="D244" s="514"/>
      <c r="E244" s="670" t="s">
        <v>377</v>
      </c>
      <c r="F244" s="670"/>
      <c r="G244" s="670"/>
      <c r="H244" s="670"/>
      <c r="I244" s="670"/>
      <c r="J244" s="670"/>
      <c r="K244" s="670"/>
      <c r="L244" s="498">
        <f>15.41-K238-L241-L242-L246</f>
        <v>0</v>
      </c>
      <c r="M244" s="459">
        <f>L244</f>
        <v>0</v>
      </c>
      <c r="N244" s="655"/>
      <c r="O244" s="656"/>
      <c r="P244" s="657"/>
      <c r="Q244" s="671"/>
      <c r="R244" s="672"/>
      <c r="S244" s="673"/>
      <c r="T244" s="457">
        <f>H238*M244*N238*O238*P238</f>
        <v>0</v>
      </c>
      <c r="U244" s="458">
        <f>T244</f>
        <v>0</v>
      </c>
      <c r="V244" s="42"/>
      <c r="W244" s="41"/>
      <c r="X244" s="41"/>
      <c r="Y244" s="41"/>
      <c r="Z244" s="44"/>
      <c r="AA244" s="29"/>
      <c r="AB244" s="29"/>
      <c r="AC244" s="44">
        <f>T244</f>
        <v>0</v>
      </c>
      <c r="AD244" s="29"/>
    </row>
    <row r="245" spans="1:30" s="488" customFormat="1" ht="45" hidden="1" customHeight="1">
      <c r="A245" s="492"/>
      <c r="B245" s="643"/>
      <c r="C245" s="515"/>
      <c r="D245" s="514"/>
      <c r="E245" s="674"/>
      <c r="F245" s="675"/>
      <c r="G245" s="675"/>
      <c r="H245" s="675"/>
      <c r="I245" s="675"/>
      <c r="J245" s="675"/>
      <c r="K245" s="675"/>
      <c r="L245" s="675"/>
      <c r="M245" s="676"/>
      <c r="N245" s="655"/>
      <c r="O245" s="656"/>
      <c r="P245" s="657"/>
      <c r="Q245" s="677"/>
      <c r="R245" s="678"/>
      <c r="S245" s="678"/>
      <c r="T245" s="678"/>
      <c r="U245" s="679"/>
      <c r="V245" s="45"/>
      <c r="W245" s="41"/>
      <c r="X245" s="41"/>
      <c r="Y245" s="41"/>
      <c r="Z245" s="29"/>
      <c r="AA245" s="44"/>
      <c r="AB245" s="29"/>
      <c r="AC245" s="29"/>
      <c r="AD245" s="29"/>
    </row>
    <row r="246" spans="1:30" s="488" customFormat="1" ht="45" hidden="1" customHeight="1" thickBot="1">
      <c r="A246" s="492"/>
      <c r="B246" s="644"/>
      <c r="C246" s="516"/>
      <c r="D246" s="517"/>
      <c r="E246" s="680" t="s">
        <v>369</v>
      </c>
      <c r="F246" s="680" t="s">
        <v>306</v>
      </c>
      <c r="G246" s="680"/>
      <c r="H246" s="680"/>
      <c r="I246" s="680"/>
      <c r="J246" s="680"/>
      <c r="K246" s="680"/>
      <c r="L246" s="499">
        <f>ROUND((I238+J238+K238+L241)*3.93%,2)</f>
        <v>1.91</v>
      </c>
      <c r="M246" s="46">
        <f>L246</f>
        <v>1.91</v>
      </c>
      <c r="N246" s="658"/>
      <c r="O246" s="659"/>
      <c r="P246" s="660"/>
      <c r="Q246" s="681"/>
      <c r="R246" s="682"/>
      <c r="S246" s="683"/>
      <c r="T246" s="500">
        <f>H238*M246*N238*O238*P238</f>
        <v>0</v>
      </c>
      <c r="U246" s="47">
        <f>T246</f>
        <v>0</v>
      </c>
      <c r="V246" s="48"/>
      <c r="W246" s="41"/>
      <c r="X246" s="41"/>
      <c r="Y246" s="41"/>
      <c r="Z246" s="29"/>
      <c r="AA246" s="29"/>
      <c r="AB246" s="44"/>
      <c r="AC246" s="29"/>
      <c r="AD246" s="44">
        <f>T246</f>
        <v>0</v>
      </c>
    </row>
    <row r="247" spans="1:30" s="505" customFormat="1" ht="150" hidden="1" customHeight="1" thickBot="1">
      <c r="A247" s="510"/>
      <c r="B247" s="642">
        <v>1</v>
      </c>
      <c r="C247" s="511">
        <v>10</v>
      </c>
      <c r="D247" s="512"/>
      <c r="E247" s="493" t="s">
        <v>779</v>
      </c>
      <c r="F247" s="550" t="s">
        <v>780</v>
      </c>
      <c r="G247" s="645" t="s">
        <v>388</v>
      </c>
      <c r="H247" s="688">
        <v>0</v>
      </c>
      <c r="I247" s="494">
        <v>0</v>
      </c>
      <c r="J247" s="494">
        <v>0.78</v>
      </c>
      <c r="K247" s="494">
        <v>0</v>
      </c>
      <c r="L247" s="494">
        <f>SUM(L249:L255)</f>
        <v>0.1</v>
      </c>
      <c r="M247" s="33">
        <f>SUM(I247:L247)</f>
        <v>0.88</v>
      </c>
      <c r="N247" s="501">
        <v>1</v>
      </c>
      <c r="O247" s="502">
        <v>1</v>
      </c>
      <c r="P247" s="37">
        <v>1</v>
      </c>
      <c r="Q247" s="34">
        <f>H247*I247*N247*O247*P247</f>
        <v>0</v>
      </c>
      <c r="R247" s="35">
        <f>H247*J247*N247*O247*P247</f>
        <v>0</v>
      </c>
      <c r="S247" s="36">
        <f>H247*K247*N247*O247*P247</f>
        <v>0</v>
      </c>
      <c r="T247" s="36">
        <f>H247*L247*N247*O247*P247</f>
        <v>0</v>
      </c>
      <c r="U247" s="37">
        <f>SUM(Q247:T247)</f>
        <v>0</v>
      </c>
      <c r="V247" s="38">
        <f>(Q247+R247+S247+T251+T252+T253+T255)*'Прогнозная стоимость РСС ИП '!$M$11+T250*'Прогнозная стоимость РСС ИП '!$M$10</f>
        <v>0</v>
      </c>
      <c r="W247" s="503">
        <f>T247</f>
        <v>0</v>
      </c>
      <c r="X247" s="503">
        <f>U247</f>
        <v>0</v>
      </c>
      <c r="Y247" s="503">
        <f>V247</f>
        <v>0</v>
      </c>
      <c r="Z247" s="504"/>
      <c r="AA247" s="504"/>
      <c r="AB247" s="504"/>
      <c r="AC247" s="504"/>
      <c r="AD247" s="504"/>
    </row>
    <row r="248" spans="1:30" s="551" customFormat="1" ht="41.25" hidden="1" customHeight="1">
      <c r="A248" s="492"/>
      <c r="B248" s="643"/>
      <c r="C248" s="513"/>
      <c r="D248" s="514"/>
      <c r="E248" s="495"/>
      <c r="F248" s="496"/>
      <c r="G248" s="646"/>
      <c r="H248" s="688"/>
      <c r="I248" s="649"/>
      <c r="J248" s="650"/>
      <c r="K248" s="650"/>
      <c r="L248" s="650"/>
      <c r="M248" s="651"/>
      <c r="N248" s="652"/>
      <c r="O248" s="653"/>
      <c r="P248" s="654"/>
      <c r="Q248" s="661"/>
      <c r="R248" s="662"/>
      <c r="S248" s="662"/>
      <c r="T248" s="662"/>
      <c r="U248" s="663"/>
      <c r="V248" s="40"/>
      <c r="W248" s="41"/>
      <c r="X248" s="41"/>
      <c r="Y248" s="41"/>
      <c r="Z248" s="29"/>
      <c r="AA248" s="29"/>
      <c r="AB248" s="29"/>
      <c r="AC248" s="29"/>
      <c r="AD248" s="29"/>
    </row>
    <row r="249" spans="1:30" s="551" customFormat="1" ht="41.25" hidden="1" customHeight="1">
      <c r="A249" s="492"/>
      <c r="B249" s="643"/>
      <c r="C249" s="513"/>
      <c r="D249" s="514"/>
      <c r="E249" s="664" t="s">
        <v>29</v>
      </c>
      <c r="F249" s="665"/>
      <c r="G249" s="665"/>
      <c r="H249" s="665"/>
      <c r="I249" s="665"/>
      <c r="J249" s="665"/>
      <c r="K249" s="665"/>
      <c r="L249" s="665"/>
      <c r="M249" s="666"/>
      <c r="N249" s="655"/>
      <c r="O249" s="656"/>
      <c r="P249" s="657"/>
      <c r="Q249" s="667"/>
      <c r="R249" s="689"/>
      <c r="S249" s="689"/>
      <c r="T249" s="689"/>
      <c r="U249" s="690"/>
      <c r="V249" s="42"/>
      <c r="W249" s="41"/>
      <c r="X249" s="41"/>
      <c r="Y249" s="41"/>
      <c r="Z249" s="29"/>
      <c r="AA249" s="29"/>
      <c r="AB249" s="29"/>
      <c r="AC249" s="29"/>
      <c r="AD249" s="29"/>
    </row>
    <row r="250" spans="1:30" s="551" customFormat="1" ht="41.25" hidden="1" customHeight="1">
      <c r="A250" s="492"/>
      <c r="B250" s="643"/>
      <c r="C250" s="513">
        <v>1010</v>
      </c>
      <c r="D250" s="514"/>
      <c r="E250" s="670" t="s">
        <v>30</v>
      </c>
      <c r="F250" s="670"/>
      <c r="G250" s="670"/>
      <c r="H250" s="670"/>
      <c r="I250" s="670"/>
      <c r="J250" s="670"/>
      <c r="K250" s="670"/>
      <c r="L250" s="498">
        <v>0.03</v>
      </c>
      <c r="M250" s="459">
        <f>L250</f>
        <v>0.03</v>
      </c>
      <c r="N250" s="655"/>
      <c r="O250" s="656"/>
      <c r="P250" s="657"/>
      <c r="Q250" s="671"/>
      <c r="R250" s="672"/>
      <c r="S250" s="673"/>
      <c r="T250" s="549">
        <f>H247*M250*N247*O247*P247</f>
        <v>0</v>
      </c>
      <c r="U250" s="458">
        <f>T250</f>
        <v>0</v>
      </c>
      <c r="V250" s="42"/>
      <c r="W250" s="39"/>
      <c r="X250" s="41"/>
      <c r="Y250" s="41"/>
      <c r="Z250" s="43">
        <f>T250</f>
        <v>0</v>
      </c>
      <c r="AA250" s="29"/>
      <c r="AB250" s="29"/>
      <c r="AC250" s="29"/>
      <c r="AD250" s="29"/>
    </row>
    <row r="251" spans="1:30" s="551" customFormat="1" ht="41.25" hidden="1" customHeight="1">
      <c r="A251" s="492"/>
      <c r="B251" s="643"/>
      <c r="C251" s="513"/>
      <c r="D251" s="514"/>
      <c r="E251" s="670" t="s">
        <v>31</v>
      </c>
      <c r="F251" s="670"/>
      <c r="G251" s="670"/>
      <c r="H251" s="670"/>
      <c r="I251" s="670"/>
      <c r="J251" s="670"/>
      <c r="K251" s="670"/>
      <c r="L251" s="498">
        <f>ROUND((I247+J247+K247)*2.14%,2)</f>
        <v>0.02</v>
      </c>
      <c r="M251" s="459">
        <f>L251</f>
        <v>0.02</v>
      </c>
      <c r="N251" s="655"/>
      <c r="O251" s="656"/>
      <c r="P251" s="657"/>
      <c r="Q251" s="671"/>
      <c r="R251" s="672"/>
      <c r="S251" s="673"/>
      <c r="T251" s="549">
        <f>H247*M251*N247*O247*P247</f>
        <v>0</v>
      </c>
      <c r="U251" s="458">
        <f>T251</f>
        <v>0</v>
      </c>
      <c r="V251" s="42"/>
      <c r="W251" s="41"/>
      <c r="X251" s="39"/>
      <c r="Y251" s="41"/>
      <c r="Z251" s="29"/>
      <c r="AA251" s="43">
        <f>T251</f>
        <v>0</v>
      </c>
      <c r="AB251" s="29"/>
      <c r="AC251" s="29"/>
      <c r="AD251" s="29"/>
    </row>
    <row r="252" spans="1:30" s="551" customFormat="1" ht="41.25" hidden="1" customHeight="1">
      <c r="A252" s="492"/>
      <c r="B252" s="643"/>
      <c r="C252" s="515"/>
      <c r="D252" s="514"/>
      <c r="E252" s="670" t="s">
        <v>376</v>
      </c>
      <c r="F252" s="670"/>
      <c r="G252" s="670"/>
      <c r="H252" s="670"/>
      <c r="I252" s="670"/>
      <c r="J252" s="670"/>
      <c r="K252" s="670"/>
      <c r="L252" s="498">
        <f>ROUND((I247+J247+K247+L250+L251+L255)*3%,2)-0.01</f>
        <v>1.9999999999999997E-2</v>
      </c>
      <c r="M252" s="459">
        <f>L252</f>
        <v>1.9999999999999997E-2</v>
      </c>
      <c r="N252" s="655"/>
      <c r="O252" s="656"/>
      <c r="P252" s="657"/>
      <c r="Q252" s="671"/>
      <c r="R252" s="672"/>
      <c r="S252" s="673"/>
      <c r="T252" s="549">
        <f>H247*M252*N247*O247*P247</f>
        <v>0</v>
      </c>
      <c r="U252" s="458">
        <f>T252</f>
        <v>0</v>
      </c>
      <c r="V252" s="42"/>
      <c r="W252" s="41"/>
      <c r="X252" s="41"/>
      <c r="Y252" s="39"/>
      <c r="Z252" s="29"/>
      <c r="AA252" s="29"/>
      <c r="AB252" s="43">
        <f>T252</f>
        <v>0</v>
      </c>
      <c r="AC252" s="29"/>
      <c r="AD252" s="29"/>
    </row>
    <row r="253" spans="1:30" s="551" customFormat="1" ht="54.75" hidden="1" customHeight="1">
      <c r="A253" s="492"/>
      <c r="B253" s="643"/>
      <c r="C253" s="515"/>
      <c r="D253" s="514"/>
      <c r="E253" s="670" t="s">
        <v>377</v>
      </c>
      <c r="F253" s="670"/>
      <c r="G253" s="670"/>
      <c r="H253" s="670"/>
      <c r="I253" s="670"/>
      <c r="J253" s="670"/>
      <c r="K253" s="670"/>
      <c r="L253" s="498">
        <f>0.08-K247-L250-L251-L255</f>
        <v>0</v>
      </c>
      <c r="M253" s="459">
        <f>L253</f>
        <v>0</v>
      </c>
      <c r="N253" s="655"/>
      <c r="O253" s="656"/>
      <c r="P253" s="657"/>
      <c r="Q253" s="671"/>
      <c r="R253" s="672"/>
      <c r="S253" s="673"/>
      <c r="T253" s="549">
        <f>H247*M253*N247*O247*P247</f>
        <v>0</v>
      </c>
      <c r="U253" s="458">
        <f>T253</f>
        <v>0</v>
      </c>
      <c r="V253" s="42"/>
      <c r="W253" s="41"/>
      <c r="X253" s="41"/>
      <c r="Y253" s="41"/>
      <c r="Z253" s="44"/>
      <c r="AA253" s="29"/>
      <c r="AB253" s="29"/>
      <c r="AC253" s="44">
        <f>T253</f>
        <v>0</v>
      </c>
      <c r="AD253" s="29"/>
    </row>
    <row r="254" spans="1:30" s="551" customFormat="1" ht="45" hidden="1" customHeight="1">
      <c r="A254" s="492"/>
      <c r="B254" s="643"/>
      <c r="C254" s="515"/>
      <c r="D254" s="514"/>
      <c r="E254" s="674"/>
      <c r="F254" s="675"/>
      <c r="G254" s="675"/>
      <c r="H254" s="675"/>
      <c r="I254" s="675"/>
      <c r="J254" s="675"/>
      <c r="K254" s="675"/>
      <c r="L254" s="675"/>
      <c r="M254" s="676"/>
      <c r="N254" s="655"/>
      <c r="O254" s="656"/>
      <c r="P254" s="657"/>
      <c r="Q254" s="677"/>
      <c r="R254" s="678"/>
      <c r="S254" s="678"/>
      <c r="T254" s="678"/>
      <c r="U254" s="679"/>
      <c r="V254" s="45"/>
      <c r="W254" s="41"/>
      <c r="X254" s="41"/>
      <c r="Y254" s="41"/>
      <c r="Z254" s="29"/>
      <c r="AA254" s="44"/>
      <c r="AB254" s="29"/>
      <c r="AC254" s="29"/>
      <c r="AD254" s="29"/>
    </row>
    <row r="255" spans="1:30" s="551" customFormat="1" ht="45" hidden="1" customHeight="1" thickBot="1">
      <c r="A255" s="492"/>
      <c r="B255" s="644"/>
      <c r="C255" s="516"/>
      <c r="D255" s="517"/>
      <c r="E255" s="680" t="s">
        <v>369</v>
      </c>
      <c r="F255" s="680" t="s">
        <v>306</v>
      </c>
      <c r="G255" s="680"/>
      <c r="H255" s="680"/>
      <c r="I255" s="680"/>
      <c r="J255" s="680"/>
      <c r="K255" s="680"/>
      <c r="L255" s="499">
        <f>ROUND((I247+J247+K247+L250)*3.93%,2)</f>
        <v>0.03</v>
      </c>
      <c r="M255" s="46">
        <f>L255</f>
        <v>0.03</v>
      </c>
      <c r="N255" s="658"/>
      <c r="O255" s="659"/>
      <c r="P255" s="660"/>
      <c r="Q255" s="681"/>
      <c r="R255" s="682"/>
      <c r="S255" s="683"/>
      <c r="T255" s="500">
        <f>H247*M255*N247*O247*P247</f>
        <v>0</v>
      </c>
      <c r="U255" s="47">
        <f>T255</f>
        <v>0</v>
      </c>
      <c r="V255" s="48"/>
      <c r="W255" s="41"/>
      <c r="X255" s="41"/>
      <c r="Y255" s="41"/>
      <c r="Z255" s="29"/>
      <c r="AA255" s="29"/>
      <c r="AB255" s="44"/>
      <c r="AC255" s="29"/>
      <c r="AD255" s="44">
        <f>T255</f>
        <v>0</v>
      </c>
    </row>
    <row r="256" spans="1:30" s="505" customFormat="1" ht="150" hidden="1" customHeight="1" thickBot="1">
      <c r="A256" s="510"/>
      <c r="B256" s="642">
        <v>1</v>
      </c>
      <c r="C256" s="511">
        <v>10</v>
      </c>
      <c r="D256" s="512"/>
      <c r="E256" s="493" t="s">
        <v>417</v>
      </c>
      <c r="F256" s="487" t="s">
        <v>418</v>
      </c>
      <c r="G256" s="645" t="s">
        <v>388</v>
      </c>
      <c r="H256" s="688">
        <v>0</v>
      </c>
      <c r="I256" s="494">
        <v>0</v>
      </c>
      <c r="J256" s="494">
        <v>5.86</v>
      </c>
      <c r="K256" s="494">
        <v>0</v>
      </c>
      <c r="L256" s="494">
        <f>SUM(L258:L264)</f>
        <v>1.18</v>
      </c>
      <c r="M256" s="33">
        <f>SUM(I256:L256)</f>
        <v>7.04</v>
      </c>
      <c r="N256" s="501">
        <v>1</v>
      </c>
      <c r="O256" s="502">
        <v>1</v>
      </c>
      <c r="P256" s="37">
        <v>1</v>
      </c>
      <c r="Q256" s="34">
        <f>H256*I256*N256*O256*P256</f>
        <v>0</v>
      </c>
      <c r="R256" s="35">
        <f>H256*J256*N256*O256*P256</f>
        <v>0</v>
      </c>
      <c r="S256" s="36">
        <f>H256*K256*N256*O256*P256</f>
        <v>0</v>
      </c>
      <c r="T256" s="36">
        <f>H256*L256*N256*O256*P256</f>
        <v>0</v>
      </c>
      <c r="U256" s="37">
        <f>SUM(Q256:T256)</f>
        <v>0</v>
      </c>
      <c r="V256" s="38">
        <f>(Q256+R256+S256+T260+T261+T262+T264)*'Прогнозная стоимость РСС ИП '!$M$11+T259*'Прогнозная стоимость РСС ИП '!$M$10</f>
        <v>0</v>
      </c>
      <c r="W256" s="503">
        <f>T256</f>
        <v>0</v>
      </c>
      <c r="X256" s="503">
        <f>U256</f>
        <v>0</v>
      </c>
      <c r="Y256" s="503">
        <f>V256</f>
        <v>0</v>
      </c>
      <c r="Z256" s="504"/>
      <c r="AA256" s="504"/>
      <c r="AB256" s="504"/>
      <c r="AC256" s="504"/>
      <c r="AD256" s="504"/>
    </row>
    <row r="257" spans="1:30" s="488" customFormat="1" ht="41.25" hidden="1" customHeight="1">
      <c r="A257" s="492"/>
      <c r="B257" s="643"/>
      <c r="C257" s="513"/>
      <c r="D257" s="514"/>
      <c r="E257" s="495"/>
      <c r="F257" s="496"/>
      <c r="G257" s="646"/>
      <c r="H257" s="688"/>
      <c r="I257" s="649"/>
      <c r="J257" s="650"/>
      <c r="K257" s="650"/>
      <c r="L257" s="650"/>
      <c r="M257" s="651"/>
      <c r="N257" s="652"/>
      <c r="O257" s="653"/>
      <c r="P257" s="654"/>
      <c r="Q257" s="661"/>
      <c r="R257" s="662"/>
      <c r="S257" s="662"/>
      <c r="T257" s="662"/>
      <c r="U257" s="663"/>
      <c r="V257" s="40"/>
      <c r="W257" s="41"/>
      <c r="X257" s="41"/>
      <c r="Y257" s="41"/>
      <c r="Z257" s="29"/>
      <c r="AA257" s="29"/>
      <c r="AB257" s="29"/>
      <c r="AC257" s="29"/>
      <c r="AD257" s="29"/>
    </row>
    <row r="258" spans="1:30" s="488" customFormat="1" ht="41.25" hidden="1" customHeight="1">
      <c r="A258" s="492"/>
      <c r="B258" s="643"/>
      <c r="C258" s="513"/>
      <c r="D258" s="514"/>
      <c r="E258" s="664" t="s">
        <v>29</v>
      </c>
      <c r="F258" s="665"/>
      <c r="G258" s="665"/>
      <c r="H258" s="665"/>
      <c r="I258" s="665"/>
      <c r="J258" s="665"/>
      <c r="K258" s="665"/>
      <c r="L258" s="665"/>
      <c r="M258" s="666"/>
      <c r="N258" s="655"/>
      <c r="O258" s="656"/>
      <c r="P258" s="657"/>
      <c r="Q258" s="667"/>
      <c r="R258" s="689"/>
      <c r="S258" s="689"/>
      <c r="T258" s="689"/>
      <c r="U258" s="690"/>
      <c r="V258" s="42"/>
      <c r="W258" s="41"/>
      <c r="X258" s="41"/>
      <c r="Y258" s="41"/>
      <c r="Z258" s="29"/>
      <c r="AA258" s="29"/>
      <c r="AB258" s="29"/>
      <c r="AC258" s="29"/>
      <c r="AD258" s="29"/>
    </row>
    <row r="259" spans="1:30" s="488" customFormat="1" ht="41.25" hidden="1" customHeight="1">
      <c r="A259" s="492"/>
      <c r="B259" s="643"/>
      <c r="C259" s="513">
        <v>1010</v>
      </c>
      <c r="D259" s="514"/>
      <c r="E259" s="670" t="s">
        <v>30</v>
      </c>
      <c r="F259" s="670"/>
      <c r="G259" s="670"/>
      <c r="H259" s="670"/>
      <c r="I259" s="670"/>
      <c r="J259" s="670"/>
      <c r="K259" s="670"/>
      <c r="L259" s="498">
        <v>0.6</v>
      </c>
      <c r="M259" s="459">
        <f>L259</f>
        <v>0.6</v>
      </c>
      <c r="N259" s="655"/>
      <c r="O259" s="656"/>
      <c r="P259" s="657"/>
      <c r="Q259" s="671"/>
      <c r="R259" s="672"/>
      <c r="S259" s="673"/>
      <c r="T259" s="457">
        <f>H256*M259*N256*O256*P256</f>
        <v>0</v>
      </c>
      <c r="U259" s="458">
        <f>T259</f>
        <v>0</v>
      </c>
      <c r="V259" s="42"/>
      <c r="W259" s="39"/>
      <c r="X259" s="41"/>
      <c r="Y259" s="41"/>
      <c r="Z259" s="43">
        <f>T259</f>
        <v>0</v>
      </c>
      <c r="AA259" s="29"/>
      <c r="AB259" s="29"/>
      <c r="AC259" s="29"/>
      <c r="AD259" s="29"/>
    </row>
    <row r="260" spans="1:30" s="488" customFormat="1" ht="41.25" hidden="1" customHeight="1">
      <c r="A260" s="492"/>
      <c r="B260" s="643"/>
      <c r="C260" s="513"/>
      <c r="D260" s="514"/>
      <c r="E260" s="670" t="s">
        <v>31</v>
      </c>
      <c r="F260" s="670"/>
      <c r="G260" s="670"/>
      <c r="H260" s="670"/>
      <c r="I260" s="670"/>
      <c r="J260" s="670"/>
      <c r="K260" s="670"/>
      <c r="L260" s="498">
        <f>ROUND((I256+J256+K256)*2.14%,2)</f>
        <v>0.13</v>
      </c>
      <c r="M260" s="459">
        <f>L260</f>
        <v>0.13</v>
      </c>
      <c r="N260" s="655"/>
      <c r="O260" s="656"/>
      <c r="P260" s="657"/>
      <c r="Q260" s="671"/>
      <c r="R260" s="672"/>
      <c r="S260" s="673"/>
      <c r="T260" s="457">
        <f>H256*M260*N256*O256*P256</f>
        <v>0</v>
      </c>
      <c r="U260" s="458">
        <f>T260</f>
        <v>0</v>
      </c>
      <c r="V260" s="42"/>
      <c r="W260" s="41"/>
      <c r="X260" s="39"/>
      <c r="Y260" s="41"/>
      <c r="Z260" s="29"/>
      <c r="AA260" s="43">
        <f>T260</f>
        <v>0</v>
      </c>
      <c r="AB260" s="29"/>
      <c r="AC260" s="29"/>
      <c r="AD260" s="29"/>
    </row>
    <row r="261" spans="1:30" s="488" customFormat="1" ht="41.25" hidden="1" customHeight="1">
      <c r="A261" s="492"/>
      <c r="B261" s="643"/>
      <c r="C261" s="515"/>
      <c r="D261" s="514"/>
      <c r="E261" s="670" t="s">
        <v>376</v>
      </c>
      <c r="F261" s="670"/>
      <c r="G261" s="670"/>
      <c r="H261" s="670"/>
      <c r="I261" s="670"/>
      <c r="J261" s="670"/>
      <c r="K261" s="670"/>
      <c r="L261" s="498">
        <f>ROUND((I256+J256+K256+L259+L260+L264)*3%,2)-0.01</f>
        <v>0.19999999999999998</v>
      </c>
      <c r="M261" s="459">
        <f>L261</f>
        <v>0.19999999999999998</v>
      </c>
      <c r="N261" s="655"/>
      <c r="O261" s="656"/>
      <c r="P261" s="657"/>
      <c r="Q261" s="671"/>
      <c r="R261" s="672"/>
      <c r="S261" s="673"/>
      <c r="T261" s="457">
        <f>H256*M261*N256*O256*P256</f>
        <v>0</v>
      </c>
      <c r="U261" s="458">
        <f>T261</f>
        <v>0</v>
      </c>
      <c r="V261" s="42"/>
      <c r="W261" s="41"/>
      <c r="X261" s="41"/>
      <c r="Y261" s="39"/>
      <c r="Z261" s="29"/>
      <c r="AA261" s="29"/>
      <c r="AB261" s="43">
        <f>T261</f>
        <v>0</v>
      </c>
      <c r="AC261" s="29"/>
      <c r="AD261" s="29"/>
    </row>
    <row r="262" spans="1:30" s="488" customFormat="1" ht="54.75" hidden="1" customHeight="1">
      <c r="A262" s="492"/>
      <c r="B262" s="643"/>
      <c r="C262" s="515"/>
      <c r="D262" s="514"/>
      <c r="E262" s="670" t="s">
        <v>377</v>
      </c>
      <c r="F262" s="670"/>
      <c r="G262" s="670"/>
      <c r="H262" s="670"/>
      <c r="I262" s="670"/>
      <c r="J262" s="670"/>
      <c r="K262" s="670"/>
      <c r="L262" s="498">
        <f>0.98-K256-L259-L260-L264</f>
        <v>0</v>
      </c>
      <c r="M262" s="459">
        <f>L262</f>
        <v>0</v>
      </c>
      <c r="N262" s="655"/>
      <c r="O262" s="656"/>
      <c r="P262" s="657"/>
      <c r="Q262" s="671"/>
      <c r="R262" s="672"/>
      <c r="S262" s="673"/>
      <c r="T262" s="457">
        <f>H256*M262*N256*O256*P256</f>
        <v>0</v>
      </c>
      <c r="U262" s="458">
        <f>T262</f>
        <v>0</v>
      </c>
      <c r="V262" s="42"/>
      <c r="W262" s="41"/>
      <c r="X262" s="41"/>
      <c r="Y262" s="41"/>
      <c r="Z262" s="44"/>
      <c r="AA262" s="29"/>
      <c r="AB262" s="29"/>
      <c r="AC262" s="44">
        <f>T262</f>
        <v>0</v>
      </c>
      <c r="AD262" s="29"/>
    </row>
    <row r="263" spans="1:30" s="488" customFormat="1" ht="45" hidden="1" customHeight="1">
      <c r="A263" s="492"/>
      <c r="B263" s="643"/>
      <c r="C263" s="515"/>
      <c r="D263" s="514"/>
      <c r="E263" s="674"/>
      <c r="F263" s="675"/>
      <c r="G263" s="675"/>
      <c r="H263" s="675"/>
      <c r="I263" s="675"/>
      <c r="J263" s="675"/>
      <c r="K263" s="675"/>
      <c r="L263" s="675"/>
      <c r="M263" s="676"/>
      <c r="N263" s="655"/>
      <c r="O263" s="656"/>
      <c r="P263" s="657"/>
      <c r="Q263" s="677"/>
      <c r="R263" s="678"/>
      <c r="S263" s="678"/>
      <c r="T263" s="678"/>
      <c r="U263" s="679"/>
      <c r="V263" s="45"/>
      <c r="W263" s="41"/>
      <c r="X263" s="41"/>
      <c r="Y263" s="41"/>
      <c r="Z263" s="29"/>
      <c r="AA263" s="44"/>
      <c r="AB263" s="29"/>
      <c r="AC263" s="29"/>
      <c r="AD263" s="29"/>
    </row>
    <row r="264" spans="1:30" s="488" customFormat="1" ht="45" hidden="1" customHeight="1" thickBot="1">
      <c r="A264" s="492"/>
      <c r="B264" s="644"/>
      <c r="C264" s="516"/>
      <c r="D264" s="517"/>
      <c r="E264" s="680" t="s">
        <v>369</v>
      </c>
      <c r="F264" s="680" t="s">
        <v>306</v>
      </c>
      <c r="G264" s="680"/>
      <c r="H264" s="680"/>
      <c r="I264" s="680"/>
      <c r="J264" s="680"/>
      <c r="K264" s="680"/>
      <c r="L264" s="499">
        <f>ROUND((I256+J256+K256+L259)*3.93%,2)</f>
        <v>0.25</v>
      </c>
      <c r="M264" s="46">
        <f>L264</f>
        <v>0.25</v>
      </c>
      <c r="N264" s="658"/>
      <c r="O264" s="659"/>
      <c r="P264" s="660"/>
      <c r="Q264" s="681"/>
      <c r="R264" s="682"/>
      <c r="S264" s="683"/>
      <c r="T264" s="500">
        <f>H256*M264*N256*O256*P256</f>
        <v>0</v>
      </c>
      <c r="U264" s="47">
        <f>T264</f>
        <v>0</v>
      </c>
      <c r="V264" s="48"/>
      <c r="W264" s="41"/>
      <c r="X264" s="41"/>
      <c r="Y264" s="41"/>
      <c r="Z264" s="29"/>
      <c r="AA264" s="29"/>
      <c r="AB264" s="44"/>
      <c r="AC264" s="29"/>
      <c r="AD264" s="44">
        <f>T264</f>
        <v>0</v>
      </c>
    </row>
    <row r="265" spans="1:30" s="505" customFormat="1" ht="150" hidden="1" customHeight="1" thickBot="1">
      <c r="A265" s="510"/>
      <c r="B265" s="642">
        <v>1</v>
      </c>
      <c r="C265" s="511">
        <v>10</v>
      </c>
      <c r="D265" s="512"/>
      <c r="E265" s="493" t="s">
        <v>419</v>
      </c>
      <c r="F265" s="487" t="s">
        <v>420</v>
      </c>
      <c r="G265" s="645" t="s">
        <v>388</v>
      </c>
      <c r="H265" s="688">
        <v>0</v>
      </c>
      <c r="I265" s="494">
        <v>0</v>
      </c>
      <c r="J265" s="494">
        <v>8.33</v>
      </c>
      <c r="K265" s="494">
        <v>0</v>
      </c>
      <c r="L265" s="494">
        <f>SUM(L267:L273)</f>
        <v>1.4185622138126801</v>
      </c>
      <c r="M265" s="33">
        <f>SUM(I265:L265)</f>
        <v>9.7485622138126793</v>
      </c>
      <c r="N265" s="501">
        <v>1</v>
      </c>
      <c r="O265" s="502">
        <v>1</v>
      </c>
      <c r="P265" s="37">
        <v>1</v>
      </c>
      <c r="Q265" s="34">
        <f>H265*I265*N265*O265*P265</f>
        <v>0</v>
      </c>
      <c r="R265" s="35">
        <f>H265*J265*N265*O265*P265</f>
        <v>0</v>
      </c>
      <c r="S265" s="36">
        <f>H265*K265*N265*O265*P265</f>
        <v>0</v>
      </c>
      <c r="T265" s="36">
        <f>H265*L265*N265*O265*P265</f>
        <v>0</v>
      </c>
      <c r="U265" s="37">
        <f>SUM(Q265:T265)</f>
        <v>0</v>
      </c>
      <c r="V265" s="38">
        <f>(Q265+R265+S265+T269+T270+T271+T273)*'Прогнозная стоимость РСС ИП '!$M$11+T268*'Прогнозная стоимость РСС ИП '!$M$10</f>
        <v>0</v>
      </c>
      <c r="W265" s="503">
        <f>T265</f>
        <v>0</v>
      </c>
      <c r="X265" s="503">
        <f>U265</f>
        <v>0</v>
      </c>
      <c r="Y265" s="503">
        <f>V265</f>
        <v>0</v>
      </c>
      <c r="Z265" s="504"/>
      <c r="AA265" s="504"/>
      <c r="AB265" s="504"/>
      <c r="AC265" s="504"/>
      <c r="AD265" s="504"/>
    </row>
    <row r="266" spans="1:30" s="488" customFormat="1" ht="41.25" hidden="1" customHeight="1">
      <c r="A266" s="492"/>
      <c r="B266" s="643"/>
      <c r="C266" s="513"/>
      <c r="D266" s="514"/>
      <c r="E266" s="495"/>
      <c r="F266" s="496"/>
      <c r="G266" s="646"/>
      <c r="H266" s="688"/>
      <c r="I266" s="649"/>
      <c r="J266" s="650"/>
      <c r="K266" s="650"/>
      <c r="L266" s="650"/>
      <c r="M266" s="651"/>
      <c r="N266" s="652"/>
      <c r="O266" s="653"/>
      <c r="P266" s="654"/>
      <c r="Q266" s="661"/>
      <c r="R266" s="662"/>
      <c r="S266" s="662"/>
      <c r="T266" s="662"/>
      <c r="U266" s="663"/>
      <c r="V266" s="40"/>
      <c r="W266" s="41"/>
      <c r="X266" s="41"/>
      <c r="Y266" s="41"/>
      <c r="Z266" s="29"/>
      <c r="AA266" s="29"/>
      <c r="AB266" s="29"/>
      <c r="AC266" s="29"/>
      <c r="AD266" s="29"/>
    </row>
    <row r="267" spans="1:30" s="488" customFormat="1" ht="41.25" hidden="1" customHeight="1">
      <c r="A267" s="492"/>
      <c r="B267" s="643"/>
      <c r="C267" s="513"/>
      <c r="D267" s="514"/>
      <c r="E267" s="664" t="s">
        <v>29</v>
      </c>
      <c r="F267" s="665"/>
      <c r="G267" s="665"/>
      <c r="H267" s="665"/>
      <c r="I267" s="665"/>
      <c r="J267" s="665"/>
      <c r="K267" s="665"/>
      <c r="L267" s="665"/>
      <c r="M267" s="666"/>
      <c r="N267" s="655"/>
      <c r="O267" s="656"/>
      <c r="P267" s="657"/>
      <c r="Q267" s="667"/>
      <c r="R267" s="689"/>
      <c r="S267" s="689"/>
      <c r="T267" s="689"/>
      <c r="U267" s="690"/>
      <c r="V267" s="42"/>
      <c r="W267" s="41"/>
      <c r="X267" s="41"/>
      <c r="Y267" s="41"/>
      <c r="Z267" s="29"/>
      <c r="AA267" s="29"/>
      <c r="AB267" s="29"/>
      <c r="AC267" s="29"/>
      <c r="AD267" s="29"/>
    </row>
    <row r="268" spans="1:30" s="488" customFormat="1" ht="41.25" hidden="1" customHeight="1">
      <c r="A268" s="492"/>
      <c r="B268" s="643"/>
      <c r="C268" s="513">
        <v>1010</v>
      </c>
      <c r="D268" s="514"/>
      <c r="E268" s="670" t="s">
        <v>30</v>
      </c>
      <c r="F268" s="670"/>
      <c r="G268" s="670"/>
      <c r="H268" s="670"/>
      <c r="I268" s="670"/>
      <c r="J268" s="670"/>
      <c r="K268" s="670"/>
      <c r="L268" s="498">
        <v>0.60856221381267728</v>
      </c>
      <c r="M268" s="459">
        <f>L268</f>
        <v>0.60856221381267728</v>
      </c>
      <c r="N268" s="655"/>
      <c r="O268" s="656"/>
      <c r="P268" s="657"/>
      <c r="Q268" s="671"/>
      <c r="R268" s="672"/>
      <c r="S268" s="673"/>
      <c r="T268" s="457">
        <f>H265*M268*N265*O265*P265</f>
        <v>0</v>
      </c>
      <c r="U268" s="458">
        <f>T268</f>
        <v>0</v>
      </c>
      <c r="V268" s="42"/>
      <c r="W268" s="39"/>
      <c r="X268" s="41"/>
      <c r="Y268" s="41"/>
      <c r="Z268" s="43">
        <f>T268</f>
        <v>0</v>
      </c>
      <c r="AA268" s="29"/>
      <c r="AB268" s="29"/>
      <c r="AC268" s="29"/>
      <c r="AD268" s="29"/>
    </row>
    <row r="269" spans="1:30" s="488" customFormat="1" ht="41.25" hidden="1" customHeight="1">
      <c r="A269" s="492"/>
      <c r="B269" s="643"/>
      <c r="C269" s="513"/>
      <c r="D269" s="514"/>
      <c r="E269" s="670" t="s">
        <v>31</v>
      </c>
      <c r="F269" s="670"/>
      <c r="G269" s="670"/>
      <c r="H269" s="670"/>
      <c r="I269" s="670"/>
      <c r="J269" s="670"/>
      <c r="K269" s="670"/>
      <c r="L269" s="498">
        <f>ROUND((I265+J265+K265)*2.14%,2)</f>
        <v>0.18</v>
      </c>
      <c r="M269" s="459">
        <f>L269</f>
        <v>0.18</v>
      </c>
      <c r="N269" s="655"/>
      <c r="O269" s="656"/>
      <c r="P269" s="657"/>
      <c r="Q269" s="671"/>
      <c r="R269" s="672"/>
      <c r="S269" s="673"/>
      <c r="T269" s="457">
        <f>H265*M269*N265*O265*P265</f>
        <v>0</v>
      </c>
      <c r="U269" s="458">
        <f>T269</f>
        <v>0</v>
      </c>
      <c r="V269" s="42"/>
      <c r="W269" s="41"/>
      <c r="X269" s="39"/>
      <c r="Y269" s="41"/>
      <c r="Z269" s="29"/>
      <c r="AA269" s="43">
        <f>T269</f>
        <v>0</v>
      </c>
      <c r="AB269" s="29"/>
      <c r="AC269" s="29"/>
      <c r="AD269" s="29"/>
    </row>
    <row r="270" spans="1:30" s="488" customFormat="1" ht="41.25" hidden="1" customHeight="1">
      <c r="A270" s="492"/>
      <c r="B270" s="643"/>
      <c r="C270" s="515"/>
      <c r="D270" s="514"/>
      <c r="E270" s="670" t="s">
        <v>376</v>
      </c>
      <c r="F270" s="670"/>
      <c r="G270" s="670"/>
      <c r="H270" s="670"/>
      <c r="I270" s="670"/>
      <c r="J270" s="670"/>
      <c r="K270" s="670"/>
      <c r="L270" s="498">
        <f>ROUND((I265+J265+K265+L268+L269+L273)*3%,2)</f>
        <v>0.28000000000000003</v>
      </c>
      <c r="M270" s="459">
        <f>L270</f>
        <v>0.28000000000000003</v>
      </c>
      <c r="N270" s="655"/>
      <c r="O270" s="656"/>
      <c r="P270" s="657"/>
      <c r="Q270" s="671"/>
      <c r="R270" s="672"/>
      <c r="S270" s="673"/>
      <c r="T270" s="457">
        <f>H265*M270*N265*O265*P265</f>
        <v>0</v>
      </c>
      <c r="U270" s="458">
        <f>T270</f>
        <v>0</v>
      </c>
      <c r="V270" s="42"/>
      <c r="W270" s="41"/>
      <c r="X270" s="41"/>
      <c r="Y270" s="39"/>
      <c r="Z270" s="29"/>
      <c r="AA270" s="29"/>
      <c r="AB270" s="43">
        <f>T270</f>
        <v>0</v>
      </c>
      <c r="AC270" s="29"/>
      <c r="AD270" s="29"/>
    </row>
    <row r="271" spans="1:30" s="488" customFormat="1" ht="54.75" hidden="1" customHeight="1">
      <c r="A271" s="492"/>
      <c r="B271" s="643"/>
      <c r="C271" s="515"/>
      <c r="D271" s="514"/>
      <c r="E271" s="670" t="s">
        <v>377</v>
      </c>
      <c r="F271" s="670"/>
      <c r="G271" s="670"/>
      <c r="H271" s="670"/>
      <c r="I271" s="670"/>
      <c r="J271" s="670"/>
      <c r="K271" s="670"/>
      <c r="L271" s="498">
        <f>1.13856221381268-K265-L268-L269-L273</f>
        <v>2.8310687127941492E-15</v>
      </c>
      <c r="M271" s="459">
        <f>L271</f>
        <v>2.8310687127941492E-15</v>
      </c>
      <c r="N271" s="655"/>
      <c r="O271" s="656"/>
      <c r="P271" s="657"/>
      <c r="Q271" s="671"/>
      <c r="R271" s="672"/>
      <c r="S271" s="673"/>
      <c r="T271" s="457">
        <f>H265*M271*N265*O265*P265</f>
        <v>0</v>
      </c>
      <c r="U271" s="458">
        <f>T271</f>
        <v>0</v>
      </c>
      <c r="V271" s="42"/>
      <c r="W271" s="41"/>
      <c r="X271" s="41"/>
      <c r="Y271" s="41"/>
      <c r="Z271" s="44"/>
      <c r="AA271" s="29"/>
      <c r="AB271" s="29"/>
      <c r="AC271" s="44">
        <f>T271</f>
        <v>0</v>
      </c>
      <c r="AD271" s="29"/>
    </row>
    <row r="272" spans="1:30" s="488" customFormat="1" ht="45" hidden="1" customHeight="1">
      <c r="A272" s="492"/>
      <c r="B272" s="643"/>
      <c r="C272" s="515"/>
      <c r="D272" s="514"/>
      <c r="E272" s="674"/>
      <c r="F272" s="675"/>
      <c r="G272" s="675"/>
      <c r="H272" s="675"/>
      <c r="I272" s="675"/>
      <c r="J272" s="675"/>
      <c r="K272" s="675"/>
      <c r="L272" s="675"/>
      <c r="M272" s="676"/>
      <c r="N272" s="655"/>
      <c r="O272" s="656"/>
      <c r="P272" s="657"/>
      <c r="Q272" s="677"/>
      <c r="R272" s="678"/>
      <c r="S272" s="678"/>
      <c r="T272" s="678"/>
      <c r="U272" s="679"/>
      <c r="V272" s="45"/>
      <c r="W272" s="41"/>
      <c r="X272" s="41"/>
      <c r="Y272" s="41"/>
      <c r="Z272" s="29"/>
      <c r="AA272" s="44"/>
      <c r="AB272" s="29"/>
      <c r="AC272" s="29"/>
      <c r="AD272" s="29"/>
    </row>
    <row r="273" spans="1:30" s="488" customFormat="1" ht="45" hidden="1" customHeight="1" thickBot="1">
      <c r="A273" s="492"/>
      <c r="B273" s="644"/>
      <c r="C273" s="516"/>
      <c r="D273" s="517"/>
      <c r="E273" s="680" t="s">
        <v>369</v>
      </c>
      <c r="F273" s="680" t="s">
        <v>306</v>
      </c>
      <c r="G273" s="680"/>
      <c r="H273" s="680"/>
      <c r="I273" s="680"/>
      <c r="J273" s="680"/>
      <c r="K273" s="680"/>
      <c r="L273" s="499">
        <f>ROUND((I265+J265+K265+L268)*3.93%,2)</f>
        <v>0.35</v>
      </c>
      <c r="M273" s="46">
        <f>L273</f>
        <v>0.35</v>
      </c>
      <c r="N273" s="658"/>
      <c r="O273" s="659"/>
      <c r="P273" s="660"/>
      <c r="Q273" s="681"/>
      <c r="R273" s="682"/>
      <c r="S273" s="683"/>
      <c r="T273" s="500">
        <f>H265*M273*N265*O265*P265</f>
        <v>0</v>
      </c>
      <c r="U273" s="47">
        <f>T273</f>
        <v>0</v>
      </c>
      <c r="V273" s="48"/>
      <c r="W273" s="41"/>
      <c r="X273" s="41"/>
      <c r="Y273" s="41"/>
      <c r="Z273" s="29"/>
      <c r="AA273" s="29"/>
      <c r="AB273" s="44"/>
      <c r="AC273" s="29"/>
      <c r="AD273" s="44">
        <f>T273</f>
        <v>0</v>
      </c>
    </row>
    <row r="274" spans="1:30" s="488" customFormat="1" ht="150" hidden="1" customHeight="1" thickBot="1">
      <c r="A274" s="492"/>
      <c r="B274" s="642">
        <v>1</v>
      </c>
      <c r="C274" s="511">
        <v>10</v>
      </c>
      <c r="D274" s="512"/>
      <c r="E274" s="493" t="s">
        <v>421</v>
      </c>
      <c r="F274" s="487" t="s">
        <v>422</v>
      </c>
      <c r="G274" s="645" t="s">
        <v>388</v>
      </c>
      <c r="H274" s="688">
        <v>0</v>
      </c>
      <c r="I274" s="494">
        <v>18.28</v>
      </c>
      <c r="J274" s="494">
        <v>7.14</v>
      </c>
      <c r="K274" s="494">
        <v>14.01</v>
      </c>
      <c r="L274" s="494">
        <f>SUM(L276:L282)</f>
        <v>6.2733875128341019</v>
      </c>
      <c r="M274" s="33">
        <f>SUM(I274:L274)</f>
        <v>45.703387512834098</v>
      </c>
      <c r="N274" s="501">
        <v>1</v>
      </c>
      <c r="O274" s="502">
        <v>1</v>
      </c>
      <c r="P274" s="37">
        <v>1</v>
      </c>
      <c r="Q274" s="34">
        <f>H274*I274*N274*O274*P274</f>
        <v>0</v>
      </c>
      <c r="R274" s="35">
        <f>H274*J274*N274*O274*P274</f>
        <v>0</v>
      </c>
      <c r="S274" s="36">
        <f>H274*K274*N274*O274*P274</f>
        <v>0</v>
      </c>
      <c r="T274" s="36">
        <f>H274*L274*N274*O274*P274</f>
        <v>0</v>
      </c>
      <c r="U274" s="37">
        <f>SUM(Q274:T274)</f>
        <v>0</v>
      </c>
      <c r="V274" s="38">
        <f>(Q274+R274+S274+T278+T279+T280+T282)*'Прогнозная стоимость РСС ИП '!$M$11+T277*'Прогнозная стоимость РСС ИП '!$M$10</f>
        <v>0</v>
      </c>
      <c r="W274" s="39">
        <f>T274</f>
        <v>0</v>
      </c>
      <c r="X274" s="39">
        <f>U274</f>
        <v>0</v>
      </c>
      <c r="Y274" s="39">
        <f>V274</f>
        <v>0</v>
      </c>
      <c r="Z274" s="29"/>
      <c r="AA274" s="29"/>
      <c r="AB274" s="29"/>
      <c r="AC274" s="29"/>
      <c r="AD274" s="29"/>
    </row>
    <row r="275" spans="1:30" s="488" customFormat="1" ht="41.25" hidden="1" customHeight="1">
      <c r="A275" s="492"/>
      <c r="B275" s="643"/>
      <c r="C275" s="513"/>
      <c r="D275" s="514"/>
      <c r="E275" s="495"/>
      <c r="F275" s="496"/>
      <c r="G275" s="646"/>
      <c r="H275" s="688"/>
      <c r="I275" s="649"/>
      <c r="J275" s="650"/>
      <c r="K275" s="650"/>
      <c r="L275" s="650"/>
      <c r="M275" s="651"/>
      <c r="N275" s="652"/>
      <c r="O275" s="653"/>
      <c r="P275" s="654"/>
      <c r="Q275" s="661"/>
      <c r="R275" s="662"/>
      <c r="S275" s="662"/>
      <c r="T275" s="662"/>
      <c r="U275" s="663"/>
      <c r="V275" s="40"/>
      <c r="W275" s="41"/>
      <c r="X275" s="41"/>
      <c r="Y275" s="41"/>
      <c r="Z275" s="29"/>
      <c r="AA275" s="29"/>
      <c r="AB275" s="29"/>
      <c r="AC275" s="29"/>
      <c r="AD275" s="29"/>
    </row>
    <row r="276" spans="1:30" s="488" customFormat="1" ht="41.25" hidden="1" customHeight="1">
      <c r="A276" s="492"/>
      <c r="B276" s="643"/>
      <c r="C276" s="513"/>
      <c r="D276" s="514"/>
      <c r="E276" s="664" t="s">
        <v>29</v>
      </c>
      <c r="F276" s="665"/>
      <c r="G276" s="665"/>
      <c r="H276" s="665"/>
      <c r="I276" s="665"/>
      <c r="J276" s="665"/>
      <c r="K276" s="665"/>
      <c r="L276" s="665"/>
      <c r="M276" s="666"/>
      <c r="N276" s="655"/>
      <c r="O276" s="656"/>
      <c r="P276" s="657"/>
      <c r="Q276" s="667"/>
      <c r="R276" s="689"/>
      <c r="S276" s="689"/>
      <c r="T276" s="689"/>
      <c r="U276" s="690"/>
      <c r="V276" s="42"/>
      <c r="W276" s="41"/>
      <c r="X276" s="41"/>
      <c r="Y276" s="41"/>
      <c r="Z276" s="29"/>
      <c r="AA276" s="29"/>
      <c r="AB276" s="29"/>
      <c r="AC276" s="29"/>
      <c r="AD276" s="29"/>
    </row>
    <row r="277" spans="1:30" s="488" customFormat="1" ht="41.25" hidden="1" customHeight="1">
      <c r="A277" s="492"/>
      <c r="B277" s="643"/>
      <c r="C277" s="513">
        <v>1010</v>
      </c>
      <c r="D277" s="514"/>
      <c r="E277" s="670" t="s">
        <v>30</v>
      </c>
      <c r="F277" s="670"/>
      <c r="G277" s="670"/>
      <c r="H277" s="670"/>
      <c r="I277" s="670"/>
      <c r="J277" s="670"/>
      <c r="K277" s="670"/>
      <c r="L277" s="498">
        <v>2.4533875128340892</v>
      </c>
      <c r="M277" s="459">
        <f>L277</f>
        <v>2.4533875128340892</v>
      </c>
      <c r="N277" s="655"/>
      <c r="O277" s="656"/>
      <c r="P277" s="657"/>
      <c r="Q277" s="671"/>
      <c r="R277" s="672"/>
      <c r="S277" s="673"/>
      <c r="T277" s="457">
        <f>H274*M277*N274*O274*P274</f>
        <v>0</v>
      </c>
      <c r="U277" s="458">
        <f>T277</f>
        <v>0</v>
      </c>
      <c r="V277" s="42"/>
      <c r="W277" s="39"/>
      <c r="X277" s="41"/>
      <c r="Y277" s="41"/>
      <c r="Z277" s="43">
        <f>T277</f>
        <v>0</v>
      </c>
      <c r="AA277" s="29"/>
      <c r="AB277" s="29"/>
      <c r="AC277" s="29"/>
      <c r="AD277" s="29"/>
    </row>
    <row r="278" spans="1:30" s="488" customFormat="1" ht="41.25" hidden="1" customHeight="1">
      <c r="A278" s="492"/>
      <c r="B278" s="643"/>
      <c r="C278" s="513"/>
      <c r="D278" s="514"/>
      <c r="E278" s="670" t="s">
        <v>31</v>
      </c>
      <c r="F278" s="670"/>
      <c r="G278" s="670"/>
      <c r="H278" s="670"/>
      <c r="I278" s="670"/>
      <c r="J278" s="670"/>
      <c r="K278" s="670"/>
      <c r="L278" s="498">
        <f>ROUND((I274+J274+K274)*2.14%,2)</f>
        <v>0.84</v>
      </c>
      <c r="M278" s="459">
        <f>L278</f>
        <v>0.84</v>
      </c>
      <c r="N278" s="655"/>
      <c r="O278" s="656"/>
      <c r="P278" s="657"/>
      <c r="Q278" s="671"/>
      <c r="R278" s="672"/>
      <c r="S278" s="673"/>
      <c r="T278" s="457">
        <f>H274*M278*N274*O274*P274</f>
        <v>0</v>
      </c>
      <c r="U278" s="458">
        <f>T278</f>
        <v>0</v>
      </c>
      <c r="V278" s="42"/>
      <c r="W278" s="41"/>
      <c r="X278" s="39"/>
      <c r="Y278" s="41"/>
      <c r="Z278" s="29"/>
      <c r="AA278" s="43">
        <f>T278</f>
        <v>0</v>
      </c>
      <c r="AB278" s="29"/>
      <c r="AC278" s="29"/>
      <c r="AD278" s="29"/>
    </row>
    <row r="279" spans="1:30" s="488" customFormat="1" ht="41.25" hidden="1" customHeight="1">
      <c r="A279" s="492"/>
      <c r="B279" s="643"/>
      <c r="C279" s="515"/>
      <c r="D279" s="514"/>
      <c r="E279" s="670" t="s">
        <v>376</v>
      </c>
      <c r="F279" s="670"/>
      <c r="G279" s="670"/>
      <c r="H279" s="670"/>
      <c r="I279" s="670"/>
      <c r="J279" s="670"/>
      <c r="K279" s="670"/>
      <c r="L279" s="498">
        <f>ROUND((I274+J274+K274+L277+L278+L282)*3%,2)</f>
        <v>1.33</v>
      </c>
      <c r="M279" s="459">
        <f>L279</f>
        <v>1.33</v>
      </c>
      <c r="N279" s="655"/>
      <c r="O279" s="656"/>
      <c r="P279" s="657"/>
      <c r="Q279" s="671"/>
      <c r="R279" s="672"/>
      <c r="S279" s="673"/>
      <c r="T279" s="457">
        <f>H274*M279*N274*O274*P274</f>
        <v>0</v>
      </c>
      <c r="U279" s="458">
        <f>T279</f>
        <v>0</v>
      </c>
      <c r="V279" s="42"/>
      <c r="W279" s="41"/>
      <c r="X279" s="41"/>
      <c r="Y279" s="39"/>
      <c r="Z279" s="29"/>
      <c r="AA279" s="29"/>
      <c r="AB279" s="43">
        <f>T279</f>
        <v>0</v>
      </c>
      <c r="AC279" s="29"/>
      <c r="AD279" s="29"/>
    </row>
    <row r="280" spans="1:30" s="488" customFormat="1" ht="54.75" hidden="1" customHeight="1">
      <c r="A280" s="492"/>
      <c r="B280" s="643"/>
      <c r="C280" s="515"/>
      <c r="D280" s="514"/>
      <c r="E280" s="670" t="s">
        <v>377</v>
      </c>
      <c r="F280" s="670"/>
      <c r="G280" s="670"/>
      <c r="H280" s="670"/>
      <c r="I280" s="670"/>
      <c r="J280" s="670"/>
      <c r="K280" s="670"/>
      <c r="L280" s="498">
        <f>18.9533875128341-K274-L277-L278-L282</f>
        <v>1.2878587085651816E-14</v>
      </c>
      <c r="M280" s="459">
        <f>L280</f>
        <v>1.2878587085651816E-14</v>
      </c>
      <c r="N280" s="655"/>
      <c r="O280" s="656"/>
      <c r="P280" s="657"/>
      <c r="Q280" s="671"/>
      <c r="R280" s="672"/>
      <c r="S280" s="673"/>
      <c r="T280" s="457">
        <f>H274*M280*N274*O274*P274</f>
        <v>0</v>
      </c>
      <c r="U280" s="458">
        <f>T280</f>
        <v>0</v>
      </c>
      <c r="V280" s="42"/>
      <c r="W280" s="41"/>
      <c r="X280" s="41"/>
      <c r="Y280" s="41"/>
      <c r="Z280" s="44"/>
      <c r="AA280" s="29"/>
      <c r="AB280" s="29"/>
      <c r="AC280" s="44">
        <f>T280</f>
        <v>0</v>
      </c>
      <c r="AD280" s="29"/>
    </row>
    <row r="281" spans="1:30" s="488" customFormat="1" ht="45" hidden="1" customHeight="1">
      <c r="A281" s="492"/>
      <c r="B281" s="643"/>
      <c r="C281" s="515"/>
      <c r="D281" s="514"/>
      <c r="E281" s="674"/>
      <c r="F281" s="675"/>
      <c r="G281" s="675"/>
      <c r="H281" s="675"/>
      <c r="I281" s="675"/>
      <c r="J281" s="675"/>
      <c r="K281" s="675"/>
      <c r="L281" s="675"/>
      <c r="M281" s="676"/>
      <c r="N281" s="655"/>
      <c r="O281" s="656"/>
      <c r="P281" s="657"/>
      <c r="Q281" s="677"/>
      <c r="R281" s="678"/>
      <c r="S281" s="678"/>
      <c r="T281" s="678"/>
      <c r="U281" s="679"/>
      <c r="V281" s="45"/>
      <c r="W281" s="41"/>
      <c r="X281" s="41"/>
      <c r="Y281" s="41"/>
      <c r="Z281" s="29"/>
      <c r="AA281" s="44"/>
      <c r="AB281" s="29"/>
      <c r="AC281" s="29"/>
      <c r="AD281" s="29"/>
    </row>
    <row r="282" spans="1:30" s="488" customFormat="1" ht="45" hidden="1" customHeight="1" thickBot="1">
      <c r="A282" s="492"/>
      <c r="B282" s="644"/>
      <c r="C282" s="516"/>
      <c r="D282" s="517"/>
      <c r="E282" s="680" t="s">
        <v>369</v>
      </c>
      <c r="F282" s="680" t="s">
        <v>306</v>
      </c>
      <c r="G282" s="680"/>
      <c r="H282" s="680"/>
      <c r="I282" s="680"/>
      <c r="J282" s="680"/>
      <c r="K282" s="680"/>
      <c r="L282" s="499">
        <f>ROUND((I274+J274+K274+L277)*3.93%,2)</f>
        <v>1.65</v>
      </c>
      <c r="M282" s="46">
        <f>L282</f>
        <v>1.65</v>
      </c>
      <c r="N282" s="658"/>
      <c r="O282" s="659"/>
      <c r="P282" s="660"/>
      <c r="Q282" s="681"/>
      <c r="R282" s="682"/>
      <c r="S282" s="683"/>
      <c r="T282" s="500">
        <f>H274*M282*N274*O274*P274</f>
        <v>0</v>
      </c>
      <c r="U282" s="47">
        <f>T282</f>
        <v>0</v>
      </c>
      <c r="V282" s="48"/>
      <c r="W282" s="41"/>
      <c r="X282" s="41"/>
      <c r="Y282" s="41"/>
      <c r="Z282" s="29"/>
      <c r="AA282" s="29"/>
      <c r="AB282" s="44"/>
      <c r="AC282" s="29"/>
      <c r="AD282" s="44">
        <f>T282</f>
        <v>0</v>
      </c>
    </row>
    <row r="283" spans="1:30" s="488" customFormat="1" ht="150" hidden="1" customHeight="1" thickBot="1">
      <c r="A283" s="492"/>
      <c r="B283" s="642">
        <v>1</v>
      </c>
      <c r="C283" s="511">
        <v>10</v>
      </c>
      <c r="D283" s="512"/>
      <c r="E283" s="493" t="s">
        <v>423</v>
      </c>
      <c r="F283" s="487" t="s">
        <v>424</v>
      </c>
      <c r="G283" s="645" t="s">
        <v>388</v>
      </c>
      <c r="H283" s="688">
        <v>0</v>
      </c>
      <c r="I283" s="494">
        <v>240.79</v>
      </c>
      <c r="J283" s="494">
        <v>175.64000000000001</v>
      </c>
      <c r="K283" s="494">
        <v>1.1599999999999999</v>
      </c>
      <c r="L283" s="494">
        <f>SUM(L285:L291)</f>
        <v>94.00218000000001</v>
      </c>
      <c r="M283" s="33">
        <f>SUM(I283:L283)</f>
        <v>511.59218000000004</v>
      </c>
      <c r="N283" s="501">
        <v>1</v>
      </c>
      <c r="O283" s="502">
        <v>1</v>
      </c>
      <c r="P283" s="37">
        <v>1</v>
      </c>
      <c r="Q283" s="34">
        <f>H283*I283*N283*O283*P283</f>
        <v>0</v>
      </c>
      <c r="R283" s="35">
        <f>H283*J283*N283*O283*P283</f>
        <v>0</v>
      </c>
      <c r="S283" s="36">
        <f>H283*K283*N283*O283*P283</f>
        <v>0</v>
      </c>
      <c r="T283" s="36">
        <f>H283*L283*N283*O283*P283</f>
        <v>0</v>
      </c>
      <c r="U283" s="37">
        <f>SUM(Q283:T283)</f>
        <v>0</v>
      </c>
      <c r="V283" s="38">
        <f>(Q283+R283+S283+T287+T288+T289+T291)*'Прогнозная стоимость РСС ИП '!$M$11+T286*'Прогнозная стоимость РСС ИП '!$M$10</f>
        <v>0</v>
      </c>
      <c r="W283" s="39">
        <f>T283</f>
        <v>0</v>
      </c>
      <c r="X283" s="39">
        <f>U283</f>
        <v>0</v>
      </c>
      <c r="Y283" s="39">
        <f>V283</f>
        <v>0</v>
      </c>
      <c r="Z283" s="29"/>
      <c r="AA283" s="29"/>
      <c r="AB283" s="29"/>
      <c r="AC283" s="29"/>
      <c r="AD283" s="29"/>
    </row>
    <row r="284" spans="1:30" s="488" customFormat="1" ht="41.25" hidden="1" customHeight="1">
      <c r="A284" s="492"/>
      <c r="B284" s="643"/>
      <c r="C284" s="513"/>
      <c r="D284" s="514"/>
      <c r="E284" s="495"/>
      <c r="F284" s="496"/>
      <c r="G284" s="646"/>
      <c r="H284" s="688"/>
      <c r="I284" s="649"/>
      <c r="J284" s="650"/>
      <c r="K284" s="650"/>
      <c r="L284" s="650"/>
      <c r="M284" s="651"/>
      <c r="N284" s="652"/>
      <c r="O284" s="653"/>
      <c r="P284" s="654"/>
      <c r="Q284" s="661"/>
      <c r="R284" s="662"/>
      <c r="S284" s="662"/>
      <c r="T284" s="662"/>
      <c r="U284" s="663"/>
      <c r="V284" s="40"/>
      <c r="W284" s="41"/>
      <c r="X284" s="41"/>
      <c r="Y284" s="41"/>
      <c r="Z284" s="29"/>
      <c r="AA284" s="29"/>
      <c r="AB284" s="29"/>
      <c r="AC284" s="29"/>
      <c r="AD284" s="29"/>
    </row>
    <row r="285" spans="1:30" s="488" customFormat="1" ht="41.25" hidden="1" customHeight="1">
      <c r="A285" s="492"/>
      <c r="B285" s="643"/>
      <c r="C285" s="513"/>
      <c r="D285" s="514"/>
      <c r="E285" s="664" t="s">
        <v>29</v>
      </c>
      <c r="F285" s="665"/>
      <c r="G285" s="665"/>
      <c r="H285" s="665"/>
      <c r="I285" s="665"/>
      <c r="J285" s="665"/>
      <c r="K285" s="665"/>
      <c r="L285" s="665"/>
      <c r="M285" s="666"/>
      <c r="N285" s="655"/>
      <c r="O285" s="656"/>
      <c r="P285" s="657"/>
      <c r="Q285" s="667"/>
      <c r="R285" s="689"/>
      <c r="S285" s="689"/>
      <c r="T285" s="689"/>
      <c r="U285" s="690"/>
      <c r="V285" s="42"/>
      <c r="W285" s="41"/>
      <c r="X285" s="41"/>
      <c r="Y285" s="41"/>
      <c r="Z285" s="29"/>
      <c r="AA285" s="29"/>
      <c r="AB285" s="29"/>
      <c r="AC285" s="29"/>
      <c r="AD285" s="29"/>
    </row>
    <row r="286" spans="1:30" s="488" customFormat="1" ht="41.25" hidden="1" customHeight="1">
      <c r="A286" s="492"/>
      <c r="B286" s="643"/>
      <c r="C286" s="513">
        <v>1010</v>
      </c>
      <c r="D286" s="514"/>
      <c r="E286" s="670" t="s">
        <v>30</v>
      </c>
      <c r="F286" s="670"/>
      <c r="G286" s="670"/>
      <c r="H286" s="670"/>
      <c r="I286" s="670"/>
      <c r="J286" s="670"/>
      <c r="K286" s="670"/>
      <c r="L286" s="498">
        <v>51.722180000000009</v>
      </c>
      <c r="M286" s="459">
        <f>L286</f>
        <v>51.722180000000009</v>
      </c>
      <c r="N286" s="655"/>
      <c r="O286" s="656"/>
      <c r="P286" s="657"/>
      <c r="Q286" s="671"/>
      <c r="R286" s="672"/>
      <c r="S286" s="673"/>
      <c r="T286" s="457">
        <f>H283*M286*N283*O283*P283</f>
        <v>0</v>
      </c>
      <c r="U286" s="458">
        <f>T286</f>
        <v>0</v>
      </c>
      <c r="V286" s="42"/>
      <c r="W286" s="39"/>
      <c r="X286" s="41"/>
      <c r="Y286" s="41"/>
      <c r="Z286" s="43">
        <f>T286</f>
        <v>0</v>
      </c>
      <c r="AA286" s="29"/>
      <c r="AB286" s="29"/>
      <c r="AC286" s="29"/>
      <c r="AD286" s="29"/>
    </row>
    <row r="287" spans="1:30" s="488" customFormat="1" ht="41.25" hidden="1" customHeight="1">
      <c r="A287" s="492"/>
      <c r="B287" s="643"/>
      <c r="C287" s="513"/>
      <c r="D287" s="514"/>
      <c r="E287" s="670" t="s">
        <v>31</v>
      </c>
      <c r="F287" s="670"/>
      <c r="G287" s="670"/>
      <c r="H287" s="670"/>
      <c r="I287" s="670"/>
      <c r="J287" s="670"/>
      <c r="K287" s="670"/>
      <c r="L287" s="498">
        <f>ROUND((I283+J283+K283)*2.14%,2)</f>
        <v>8.94</v>
      </c>
      <c r="M287" s="459">
        <f>L287</f>
        <v>8.94</v>
      </c>
      <c r="N287" s="655"/>
      <c r="O287" s="656"/>
      <c r="P287" s="657"/>
      <c r="Q287" s="671"/>
      <c r="R287" s="672"/>
      <c r="S287" s="673"/>
      <c r="T287" s="457">
        <f>H283*M287*N283*O283*P283</f>
        <v>0</v>
      </c>
      <c r="U287" s="458">
        <f>T287</f>
        <v>0</v>
      </c>
      <c r="V287" s="42"/>
      <c r="W287" s="41"/>
      <c r="X287" s="39"/>
      <c r="Y287" s="41"/>
      <c r="Z287" s="29"/>
      <c r="AA287" s="43">
        <f>T287</f>
        <v>0</v>
      </c>
      <c r="AB287" s="29"/>
      <c r="AC287" s="29"/>
      <c r="AD287" s="29"/>
    </row>
    <row r="288" spans="1:30" s="488" customFormat="1" ht="41.25" hidden="1" customHeight="1">
      <c r="A288" s="492"/>
      <c r="B288" s="643"/>
      <c r="C288" s="515"/>
      <c r="D288" s="514"/>
      <c r="E288" s="670" t="s">
        <v>376</v>
      </c>
      <c r="F288" s="670"/>
      <c r="G288" s="670"/>
      <c r="H288" s="670"/>
      <c r="I288" s="670"/>
      <c r="J288" s="670"/>
      <c r="K288" s="670"/>
      <c r="L288" s="498">
        <f>ROUND((I283+J283+K283+L286+L287+L291)*3%,2)</f>
        <v>14.9</v>
      </c>
      <c r="M288" s="459">
        <f>L288</f>
        <v>14.9</v>
      </c>
      <c r="N288" s="655"/>
      <c r="O288" s="656"/>
      <c r="P288" s="657"/>
      <c r="Q288" s="671"/>
      <c r="R288" s="672"/>
      <c r="S288" s="673"/>
      <c r="T288" s="457">
        <f>H283*M288*N283*O283*P283</f>
        <v>0</v>
      </c>
      <c r="U288" s="458">
        <f>T288</f>
        <v>0</v>
      </c>
      <c r="V288" s="42"/>
      <c r="W288" s="41"/>
      <c r="X288" s="41"/>
      <c r="Y288" s="39"/>
      <c r="Z288" s="29"/>
      <c r="AA288" s="29"/>
      <c r="AB288" s="43">
        <f>T288</f>
        <v>0</v>
      </c>
      <c r="AC288" s="29"/>
      <c r="AD288" s="29"/>
    </row>
    <row r="289" spans="1:30" s="488" customFormat="1" ht="54.75" hidden="1" customHeight="1">
      <c r="A289" s="492"/>
      <c r="B289" s="643"/>
      <c r="C289" s="515"/>
      <c r="D289" s="514"/>
      <c r="E289" s="670" t="s">
        <v>377</v>
      </c>
      <c r="F289" s="670"/>
      <c r="G289" s="670"/>
      <c r="H289" s="670"/>
      <c r="I289" s="670"/>
      <c r="J289" s="670"/>
      <c r="K289" s="670"/>
      <c r="L289" s="498">
        <f>80.26218-K283-L286-L287-L291</f>
        <v>0</v>
      </c>
      <c r="M289" s="459">
        <f>L289</f>
        <v>0</v>
      </c>
      <c r="N289" s="655"/>
      <c r="O289" s="656"/>
      <c r="P289" s="657"/>
      <c r="Q289" s="671"/>
      <c r="R289" s="672"/>
      <c r="S289" s="673"/>
      <c r="T289" s="457">
        <f>H283*M289*N283*O283*P283</f>
        <v>0</v>
      </c>
      <c r="U289" s="458">
        <f>T289</f>
        <v>0</v>
      </c>
      <c r="V289" s="42"/>
      <c r="W289" s="41"/>
      <c r="X289" s="41"/>
      <c r="Y289" s="41"/>
      <c r="Z289" s="44"/>
      <c r="AA289" s="29"/>
      <c r="AB289" s="29"/>
      <c r="AC289" s="44">
        <f>T289</f>
        <v>0</v>
      </c>
      <c r="AD289" s="29"/>
    </row>
    <row r="290" spans="1:30" s="488" customFormat="1" ht="45" hidden="1" customHeight="1">
      <c r="A290" s="492"/>
      <c r="B290" s="643"/>
      <c r="C290" s="515"/>
      <c r="D290" s="514"/>
      <c r="E290" s="674"/>
      <c r="F290" s="675"/>
      <c r="G290" s="675"/>
      <c r="H290" s="675"/>
      <c r="I290" s="675"/>
      <c r="J290" s="675"/>
      <c r="K290" s="675"/>
      <c r="L290" s="675"/>
      <c r="M290" s="676"/>
      <c r="N290" s="655"/>
      <c r="O290" s="656"/>
      <c r="P290" s="657"/>
      <c r="Q290" s="677"/>
      <c r="R290" s="678"/>
      <c r="S290" s="678"/>
      <c r="T290" s="678"/>
      <c r="U290" s="679"/>
      <c r="V290" s="45"/>
      <c r="W290" s="41"/>
      <c r="X290" s="41"/>
      <c r="Y290" s="41"/>
      <c r="Z290" s="29"/>
      <c r="AA290" s="44"/>
      <c r="AB290" s="29"/>
      <c r="AC290" s="29"/>
      <c r="AD290" s="29"/>
    </row>
    <row r="291" spans="1:30" s="488" customFormat="1" ht="45" hidden="1" customHeight="1" thickBot="1">
      <c r="A291" s="492"/>
      <c r="B291" s="644"/>
      <c r="C291" s="516"/>
      <c r="D291" s="517"/>
      <c r="E291" s="680" t="s">
        <v>369</v>
      </c>
      <c r="F291" s="680" t="s">
        <v>306</v>
      </c>
      <c r="G291" s="680"/>
      <c r="H291" s="680"/>
      <c r="I291" s="680"/>
      <c r="J291" s="680"/>
      <c r="K291" s="680"/>
      <c r="L291" s="499">
        <f>ROUND((I283+J283+K283+L286)*3.93%,2)</f>
        <v>18.440000000000001</v>
      </c>
      <c r="M291" s="46">
        <f>L291</f>
        <v>18.440000000000001</v>
      </c>
      <c r="N291" s="658"/>
      <c r="O291" s="659"/>
      <c r="P291" s="660"/>
      <c r="Q291" s="681"/>
      <c r="R291" s="682"/>
      <c r="S291" s="683"/>
      <c r="T291" s="500">
        <f>H283*M291*N283*O283*P283</f>
        <v>0</v>
      </c>
      <c r="U291" s="47">
        <f>T291</f>
        <v>0</v>
      </c>
      <c r="V291" s="48"/>
      <c r="W291" s="41"/>
      <c r="X291" s="41"/>
      <c r="Y291" s="41"/>
      <c r="Z291" s="29"/>
      <c r="AA291" s="29"/>
      <c r="AB291" s="44"/>
      <c r="AC291" s="29"/>
      <c r="AD291" s="44">
        <f>T291</f>
        <v>0</v>
      </c>
    </row>
    <row r="292" spans="1:30" s="488" customFormat="1" ht="150" hidden="1" customHeight="1" thickBot="1">
      <c r="A292" s="492"/>
      <c r="B292" s="642">
        <v>1</v>
      </c>
      <c r="C292" s="511">
        <v>10</v>
      </c>
      <c r="D292" s="512"/>
      <c r="E292" s="493" t="s">
        <v>425</v>
      </c>
      <c r="F292" s="487" t="s">
        <v>426</v>
      </c>
      <c r="G292" s="645" t="s">
        <v>388</v>
      </c>
      <c r="H292" s="688">
        <v>0</v>
      </c>
      <c r="I292" s="494">
        <v>10.84</v>
      </c>
      <c r="J292" s="494">
        <v>50.92</v>
      </c>
      <c r="K292" s="494">
        <v>6.36</v>
      </c>
      <c r="L292" s="494">
        <f>SUM(L294:L300)</f>
        <v>17.340000000000003</v>
      </c>
      <c r="M292" s="33">
        <f>SUM(I292:L292)</f>
        <v>85.460000000000008</v>
      </c>
      <c r="N292" s="501">
        <v>1</v>
      </c>
      <c r="O292" s="502">
        <v>1</v>
      </c>
      <c r="P292" s="37">
        <v>1</v>
      </c>
      <c r="Q292" s="34">
        <f>H292*I292*N292*O292*P292</f>
        <v>0</v>
      </c>
      <c r="R292" s="35">
        <f>H292*J292*N292*O292*P292</f>
        <v>0</v>
      </c>
      <c r="S292" s="36">
        <f>H292*K292*N292*O292*P292</f>
        <v>0</v>
      </c>
      <c r="T292" s="36">
        <f>H292*L292*N292*O292*P292</f>
        <v>0</v>
      </c>
      <c r="U292" s="37">
        <f>SUM(Q292:T292)</f>
        <v>0</v>
      </c>
      <c r="V292" s="38">
        <f>(Q292+R292+S292+T296+T297+T298+T300)*'Прогнозная стоимость РСС ИП '!$M$11+T295*'Прогнозная стоимость РСС ИП '!$M$10</f>
        <v>0</v>
      </c>
      <c r="W292" s="39">
        <f>T292</f>
        <v>0</v>
      </c>
      <c r="X292" s="39">
        <f>U292</f>
        <v>0</v>
      </c>
      <c r="Y292" s="39">
        <f>V292</f>
        <v>0</v>
      </c>
      <c r="Z292" s="29"/>
      <c r="AA292" s="29"/>
      <c r="AB292" s="29"/>
      <c r="AC292" s="29"/>
      <c r="AD292" s="29"/>
    </row>
    <row r="293" spans="1:30" s="488" customFormat="1" ht="41.25" hidden="1" customHeight="1">
      <c r="A293" s="492"/>
      <c r="B293" s="643"/>
      <c r="C293" s="513"/>
      <c r="D293" s="514"/>
      <c r="E293" s="495"/>
      <c r="F293" s="496"/>
      <c r="G293" s="646"/>
      <c r="H293" s="688"/>
      <c r="I293" s="649"/>
      <c r="J293" s="650"/>
      <c r="K293" s="650"/>
      <c r="L293" s="650"/>
      <c r="M293" s="651"/>
      <c r="N293" s="652"/>
      <c r="O293" s="653"/>
      <c r="P293" s="654"/>
      <c r="Q293" s="661"/>
      <c r="R293" s="662"/>
      <c r="S293" s="662"/>
      <c r="T293" s="662"/>
      <c r="U293" s="663"/>
      <c r="V293" s="40"/>
      <c r="W293" s="41"/>
      <c r="X293" s="41"/>
      <c r="Y293" s="41"/>
      <c r="Z293" s="29"/>
      <c r="AA293" s="29"/>
      <c r="AB293" s="29"/>
      <c r="AC293" s="29"/>
      <c r="AD293" s="29"/>
    </row>
    <row r="294" spans="1:30" s="488" customFormat="1" ht="41.25" hidden="1" customHeight="1">
      <c r="A294" s="492"/>
      <c r="B294" s="643"/>
      <c r="C294" s="513"/>
      <c r="D294" s="514"/>
      <c r="E294" s="664" t="s">
        <v>29</v>
      </c>
      <c r="F294" s="665"/>
      <c r="G294" s="665"/>
      <c r="H294" s="665"/>
      <c r="I294" s="665"/>
      <c r="J294" s="665"/>
      <c r="K294" s="665"/>
      <c r="L294" s="665"/>
      <c r="M294" s="666"/>
      <c r="N294" s="655"/>
      <c r="O294" s="656"/>
      <c r="P294" s="657"/>
      <c r="Q294" s="667"/>
      <c r="R294" s="689"/>
      <c r="S294" s="689"/>
      <c r="T294" s="689"/>
      <c r="U294" s="690"/>
      <c r="V294" s="42"/>
      <c r="W294" s="41"/>
      <c r="X294" s="41"/>
      <c r="Y294" s="41"/>
      <c r="Z294" s="29"/>
      <c r="AA294" s="29"/>
      <c r="AB294" s="29"/>
      <c r="AC294" s="29"/>
      <c r="AD294" s="29"/>
    </row>
    <row r="295" spans="1:30" s="488" customFormat="1" ht="41.25" hidden="1" customHeight="1">
      <c r="A295" s="492"/>
      <c r="B295" s="643"/>
      <c r="C295" s="513">
        <v>1010</v>
      </c>
      <c r="D295" s="514"/>
      <c r="E295" s="670" t="s">
        <v>30</v>
      </c>
      <c r="F295" s="670"/>
      <c r="G295" s="670"/>
      <c r="H295" s="670"/>
      <c r="I295" s="670"/>
      <c r="J295" s="670"/>
      <c r="K295" s="670"/>
      <c r="L295" s="498">
        <v>10.3</v>
      </c>
      <c r="M295" s="459">
        <f>L295</f>
        <v>10.3</v>
      </c>
      <c r="N295" s="655"/>
      <c r="O295" s="656"/>
      <c r="P295" s="657"/>
      <c r="Q295" s="671"/>
      <c r="R295" s="672"/>
      <c r="S295" s="673"/>
      <c r="T295" s="457">
        <f>H292*M295*N292*O292*P292</f>
        <v>0</v>
      </c>
      <c r="U295" s="458">
        <f>T295</f>
        <v>0</v>
      </c>
      <c r="V295" s="42"/>
      <c r="W295" s="39"/>
      <c r="X295" s="41"/>
      <c r="Y295" s="41"/>
      <c r="Z295" s="43">
        <f>T295</f>
        <v>0</v>
      </c>
      <c r="AA295" s="29"/>
      <c r="AB295" s="29"/>
      <c r="AC295" s="29"/>
      <c r="AD295" s="29"/>
    </row>
    <row r="296" spans="1:30" s="488" customFormat="1" ht="41.25" hidden="1" customHeight="1">
      <c r="A296" s="492"/>
      <c r="B296" s="643"/>
      <c r="C296" s="513"/>
      <c r="D296" s="514"/>
      <c r="E296" s="670" t="s">
        <v>31</v>
      </c>
      <c r="F296" s="670"/>
      <c r="G296" s="670"/>
      <c r="H296" s="670"/>
      <c r="I296" s="670"/>
      <c r="J296" s="670"/>
      <c r="K296" s="670"/>
      <c r="L296" s="498">
        <f>ROUND((I292+J292+K292)*2.14%,2)</f>
        <v>1.46</v>
      </c>
      <c r="M296" s="459">
        <f>L296</f>
        <v>1.46</v>
      </c>
      <c r="N296" s="655"/>
      <c r="O296" s="656"/>
      <c r="P296" s="657"/>
      <c r="Q296" s="671"/>
      <c r="R296" s="672"/>
      <c r="S296" s="673"/>
      <c r="T296" s="457">
        <f>H292*M296*N292*O292*P292</f>
        <v>0</v>
      </c>
      <c r="U296" s="458">
        <f>T296</f>
        <v>0</v>
      </c>
      <c r="V296" s="42"/>
      <c r="W296" s="41"/>
      <c r="X296" s="39"/>
      <c r="Y296" s="41"/>
      <c r="Z296" s="29"/>
      <c r="AA296" s="43">
        <f>T296</f>
        <v>0</v>
      </c>
      <c r="AB296" s="29"/>
      <c r="AC296" s="29"/>
      <c r="AD296" s="29"/>
    </row>
    <row r="297" spans="1:30" s="488" customFormat="1" ht="41.25" hidden="1" customHeight="1">
      <c r="A297" s="492"/>
      <c r="B297" s="643"/>
      <c r="C297" s="515"/>
      <c r="D297" s="514"/>
      <c r="E297" s="670" t="s">
        <v>376</v>
      </c>
      <c r="F297" s="670"/>
      <c r="G297" s="670"/>
      <c r="H297" s="670"/>
      <c r="I297" s="670"/>
      <c r="J297" s="670"/>
      <c r="K297" s="670"/>
      <c r="L297" s="498">
        <f>ROUND((I292+J292+K292+L295+L296+L300)*3%,2)+0.01</f>
        <v>2.5</v>
      </c>
      <c r="M297" s="459">
        <f>L297</f>
        <v>2.5</v>
      </c>
      <c r="N297" s="655"/>
      <c r="O297" s="656"/>
      <c r="P297" s="657"/>
      <c r="Q297" s="671"/>
      <c r="R297" s="672"/>
      <c r="S297" s="673"/>
      <c r="T297" s="457">
        <f>H292*M297*N292*O292*P292</f>
        <v>0</v>
      </c>
      <c r="U297" s="458">
        <f>T297</f>
        <v>0</v>
      </c>
      <c r="V297" s="42"/>
      <c r="W297" s="41"/>
      <c r="X297" s="41"/>
      <c r="Y297" s="39"/>
      <c r="Z297" s="29"/>
      <c r="AA297" s="29"/>
      <c r="AB297" s="43">
        <f>T297</f>
        <v>0</v>
      </c>
      <c r="AC297" s="29"/>
      <c r="AD297" s="29"/>
    </row>
    <row r="298" spans="1:30" s="488" customFormat="1" ht="54.75" hidden="1" customHeight="1">
      <c r="A298" s="492"/>
      <c r="B298" s="643"/>
      <c r="C298" s="515"/>
      <c r="D298" s="514"/>
      <c r="E298" s="670" t="s">
        <v>377</v>
      </c>
      <c r="F298" s="670"/>
      <c r="G298" s="670"/>
      <c r="H298" s="670"/>
      <c r="I298" s="670"/>
      <c r="J298" s="670"/>
      <c r="K298" s="670"/>
      <c r="L298" s="498">
        <f>21.2-K292-L295-L296-L300</f>
        <v>0</v>
      </c>
      <c r="M298" s="459">
        <f>L298</f>
        <v>0</v>
      </c>
      <c r="N298" s="655"/>
      <c r="O298" s="656"/>
      <c r="P298" s="657"/>
      <c r="Q298" s="671"/>
      <c r="R298" s="672"/>
      <c r="S298" s="673"/>
      <c r="T298" s="457">
        <f>H292*M298*N292*O292*P292</f>
        <v>0</v>
      </c>
      <c r="U298" s="458">
        <f>T298</f>
        <v>0</v>
      </c>
      <c r="V298" s="42"/>
      <c r="W298" s="41"/>
      <c r="X298" s="41"/>
      <c r="Y298" s="41"/>
      <c r="Z298" s="44"/>
      <c r="AA298" s="29"/>
      <c r="AB298" s="29"/>
      <c r="AC298" s="44">
        <f>T298</f>
        <v>0</v>
      </c>
      <c r="AD298" s="29"/>
    </row>
    <row r="299" spans="1:30" s="488" customFormat="1" ht="45" hidden="1" customHeight="1">
      <c r="A299" s="492"/>
      <c r="B299" s="643"/>
      <c r="C299" s="515"/>
      <c r="D299" s="514"/>
      <c r="E299" s="674"/>
      <c r="F299" s="675"/>
      <c r="G299" s="675"/>
      <c r="H299" s="675"/>
      <c r="I299" s="675"/>
      <c r="J299" s="675"/>
      <c r="K299" s="675"/>
      <c r="L299" s="675"/>
      <c r="M299" s="676"/>
      <c r="N299" s="655"/>
      <c r="O299" s="656"/>
      <c r="P299" s="657"/>
      <c r="Q299" s="677"/>
      <c r="R299" s="678"/>
      <c r="S299" s="678"/>
      <c r="T299" s="678"/>
      <c r="U299" s="679"/>
      <c r="V299" s="45"/>
      <c r="W299" s="41"/>
      <c r="X299" s="41"/>
      <c r="Y299" s="41"/>
      <c r="Z299" s="29"/>
      <c r="AA299" s="44"/>
      <c r="AB299" s="29"/>
      <c r="AC299" s="29"/>
      <c r="AD299" s="29"/>
    </row>
    <row r="300" spans="1:30" s="488" customFormat="1" ht="45" hidden="1" customHeight="1" thickBot="1">
      <c r="A300" s="492"/>
      <c r="B300" s="644"/>
      <c r="C300" s="516"/>
      <c r="D300" s="517"/>
      <c r="E300" s="680" t="s">
        <v>369</v>
      </c>
      <c r="F300" s="680" t="s">
        <v>306</v>
      </c>
      <c r="G300" s="680"/>
      <c r="H300" s="680"/>
      <c r="I300" s="680"/>
      <c r="J300" s="680"/>
      <c r="K300" s="680"/>
      <c r="L300" s="499">
        <f>ROUND((I292+J292+K292+L295)*3.93%,2)</f>
        <v>3.08</v>
      </c>
      <c r="M300" s="46">
        <f>L300</f>
        <v>3.08</v>
      </c>
      <c r="N300" s="658"/>
      <c r="O300" s="659"/>
      <c r="P300" s="660"/>
      <c r="Q300" s="681"/>
      <c r="R300" s="682"/>
      <c r="S300" s="683"/>
      <c r="T300" s="500">
        <f>H292*M300*N292*O292*P292</f>
        <v>0</v>
      </c>
      <c r="U300" s="47">
        <f>T300</f>
        <v>0</v>
      </c>
      <c r="V300" s="48"/>
      <c r="W300" s="41"/>
      <c r="X300" s="41"/>
      <c r="Y300" s="41"/>
      <c r="Z300" s="29"/>
      <c r="AA300" s="29"/>
      <c r="AB300" s="44"/>
      <c r="AC300" s="29"/>
      <c r="AD300" s="44">
        <f>T300</f>
        <v>0</v>
      </c>
    </row>
    <row r="301" spans="1:30" s="488" customFormat="1" ht="150" hidden="1" customHeight="1" thickBot="1">
      <c r="A301" s="492"/>
      <c r="B301" s="642">
        <v>1</v>
      </c>
      <c r="C301" s="511">
        <v>10</v>
      </c>
      <c r="D301" s="512"/>
      <c r="E301" s="493" t="s">
        <v>427</v>
      </c>
      <c r="F301" s="487" t="s">
        <v>428</v>
      </c>
      <c r="G301" s="645" t="s">
        <v>388</v>
      </c>
      <c r="H301" s="688">
        <v>0</v>
      </c>
      <c r="I301" s="494">
        <v>18.8</v>
      </c>
      <c r="J301" s="494">
        <v>105.94</v>
      </c>
      <c r="K301" s="494">
        <v>6.36</v>
      </c>
      <c r="L301" s="494">
        <f>SUM(L303:L309)</f>
        <v>23.139999999999997</v>
      </c>
      <c r="M301" s="33">
        <f>SUM(I301:L301)</f>
        <v>154.23999999999998</v>
      </c>
      <c r="N301" s="501">
        <v>1</v>
      </c>
      <c r="O301" s="502">
        <v>1</v>
      </c>
      <c r="P301" s="37">
        <v>1</v>
      </c>
      <c r="Q301" s="34">
        <f>H301*I301*N301*O301*P301</f>
        <v>0</v>
      </c>
      <c r="R301" s="35">
        <f>H301*J301*N301*O301*P301</f>
        <v>0</v>
      </c>
      <c r="S301" s="36">
        <f>H301*K301*N301*O301*P301</f>
        <v>0</v>
      </c>
      <c r="T301" s="36">
        <f>H301*L301*N301*O301*P301</f>
        <v>0</v>
      </c>
      <c r="U301" s="37">
        <f>SUM(Q301:T301)</f>
        <v>0</v>
      </c>
      <c r="V301" s="38">
        <f>(Q301+R301+S301+T305+T306+T307+T309)*'Прогнозная стоимость РСС ИП '!$M$11+T304*'Прогнозная стоимость РСС ИП '!$M$10</f>
        <v>0</v>
      </c>
      <c r="W301" s="39">
        <f>T301</f>
        <v>0</v>
      </c>
      <c r="X301" s="39">
        <f>U301</f>
        <v>0</v>
      </c>
      <c r="Y301" s="39">
        <f>V301</f>
        <v>0</v>
      </c>
      <c r="Z301" s="29"/>
      <c r="AA301" s="29"/>
      <c r="AB301" s="29"/>
      <c r="AC301" s="29"/>
      <c r="AD301" s="29"/>
    </row>
    <row r="302" spans="1:30" s="488" customFormat="1" ht="41.25" hidden="1" customHeight="1">
      <c r="A302" s="492"/>
      <c r="B302" s="643"/>
      <c r="C302" s="513"/>
      <c r="D302" s="514"/>
      <c r="E302" s="495"/>
      <c r="F302" s="496"/>
      <c r="G302" s="646"/>
      <c r="H302" s="688"/>
      <c r="I302" s="649"/>
      <c r="J302" s="650"/>
      <c r="K302" s="650"/>
      <c r="L302" s="650"/>
      <c r="M302" s="651"/>
      <c r="N302" s="652"/>
      <c r="O302" s="653"/>
      <c r="P302" s="654"/>
      <c r="Q302" s="661"/>
      <c r="R302" s="662"/>
      <c r="S302" s="662"/>
      <c r="T302" s="662"/>
      <c r="U302" s="663"/>
      <c r="V302" s="40"/>
      <c r="W302" s="41"/>
      <c r="X302" s="41"/>
      <c r="Y302" s="41"/>
      <c r="Z302" s="29"/>
      <c r="AA302" s="29"/>
      <c r="AB302" s="29"/>
      <c r="AC302" s="29"/>
      <c r="AD302" s="29"/>
    </row>
    <row r="303" spans="1:30" s="488" customFormat="1" ht="41.25" hidden="1" customHeight="1">
      <c r="A303" s="492"/>
      <c r="B303" s="643"/>
      <c r="C303" s="513"/>
      <c r="D303" s="514"/>
      <c r="E303" s="664" t="s">
        <v>29</v>
      </c>
      <c r="F303" s="665"/>
      <c r="G303" s="665"/>
      <c r="H303" s="665"/>
      <c r="I303" s="665"/>
      <c r="J303" s="665"/>
      <c r="K303" s="665"/>
      <c r="L303" s="665"/>
      <c r="M303" s="666"/>
      <c r="N303" s="655"/>
      <c r="O303" s="656"/>
      <c r="P303" s="657"/>
      <c r="Q303" s="667"/>
      <c r="R303" s="689"/>
      <c r="S303" s="689"/>
      <c r="T303" s="689"/>
      <c r="U303" s="690"/>
      <c r="V303" s="42"/>
      <c r="W303" s="41"/>
      <c r="X303" s="41"/>
      <c r="Y303" s="41"/>
      <c r="Z303" s="29"/>
      <c r="AA303" s="29"/>
      <c r="AB303" s="29"/>
      <c r="AC303" s="29"/>
      <c r="AD303" s="29"/>
    </row>
    <row r="304" spans="1:30" s="488" customFormat="1" ht="41.25" hidden="1" customHeight="1">
      <c r="A304" s="492"/>
      <c r="B304" s="643"/>
      <c r="C304" s="513">
        <v>1010</v>
      </c>
      <c r="D304" s="514"/>
      <c r="E304" s="670" t="s">
        <v>30</v>
      </c>
      <c r="F304" s="670"/>
      <c r="G304" s="670"/>
      <c r="H304" s="670"/>
      <c r="I304" s="670"/>
      <c r="J304" s="670"/>
      <c r="K304" s="670"/>
      <c r="L304" s="498">
        <v>10.28</v>
      </c>
      <c r="M304" s="459">
        <f>L304</f>
        <v>10.28</v>
      </c>
      <c r="N304" s="655"/>
      <c r="O304" s="656"/>
      <c r="P304" s="657"/>
      <c r="Q304" s="671"/>
      <c r="R304" s="672"/>
      <c r="S304" s="673"/>
      <c r="T304" s="457">
        <f>H301*M304*N301*O301*P301</f>
        <v>0</v>
      </c>
      <c r="U304" s="458">
        <f>T304</f>
        <v>0</v>
      </c>
      <c r="V304" s="42"/>
      <c r="W304" s="39"/>
      <c r="X304" s="41"/>
      <c r="Y304" s="41"/>
      <c r="Z304" s="43">
        <f>T304</f>
        <v>0</v>
      </c>
      <c r="AA304" s="29"/>
      <c r="AB304" s="29"/>
      <c r="AC304" s="29"/>
      <c r="AD304" s="29"/>
    </row>
    <row r="305" spans="1:30" s="488" customFormat="1" ht="41.25" hidden="1" customHeight="1">
      <c r="A305" s="492"/>
      <c r="B305" s="643"/>
      <c r="C305" s="513"/>
      <c r="D305" s="514"/>
      <c r="E305" s="670" t="s">
        <v>31</v>
      </c>
      <c r="F305" s="670"/>
      <c r="G305" s="670"/>
      <c r="H305" s="670"/>
      <c r="I305" s="670"/>
      <c r="J305" s="670"/>
      <c r="K305" s="670"/>
      <c r="L305" s="498">
        <f>ROUND((I301+J301+K301)*2.14%,2)</f>
        <v>2.81</v>
      </c>
      <c r="M305" s="459">
        <f>L305</f>
        <v>2.81</v>
      </c>
      <c r="N305" s="655"/>
      <c r="O305" s="656"/>
      <c r="P305" s="657"/>
      <c r="Q305" s="671"/>
      <c r="R305" s="672"/>
      <c r="S305" s="673"/>
      <c r="T305" s="457">
        <f>H301*M305*N301*O301*P301</f>
        <v>0</v>
      </c>
      <c r="U305" s="458">
        <f>T305</f>
        <v>0</v>
      </c>
      <c r="V305" s="42"/>
      <c r="W305" s="41"/>
      <c r="X305" s="39"/>
      <c r="Y305" s="41"/>
      <c r="Z305" s="29"/>
      <c r="AA305" s="43">
        <f>T305</f>
        <v>0</v>
      </c>
      <c r="AB305" s="29"/>
      <c r="AC305" s="29"/>
      <c r="AD305" s="29"/>
    </row>
    <row r="306" spans="1:30" s="488" customFormat="1" ht="41.25" hidden="1" customHeight="1">
      <c r="A306" s="492"/>
      <c r="B306" s="643"/>
      <c r="C306" s="515"/>
      <c r="D306" s="514"/>
      <c r="E306" s="670" t="s">
        <v>376</v>
      </c>
      <c r="F306" s="670"/>
      <c r="G306" s="670"/>
      <c r="H306" s="670"/>
      <c r="I306" s="670"/>
      <c r="J306" s="670"/>
      <c r="K306" s="670"/>
      <c r="L306" s="498">
        <f>ROUND((I301+J301+K301+L304+L305+L309)*3%,2)</f>
        <v>4.49</v>
      </c>
      <c r="M306" s="459">
        <f>L306</f>
        <v>4.49</v>
      </c>
      <c r="N306" s="655"/>
      <c r="O306" s="656"/>
      <c r="P306" s="657"/>
      <c r="Q306" s="671"/>
      <c r="R306" s="672"/>
      <c r="S306" s="673"/>
      <c r="T306" s="457">
        <f>H301*M306*N301*O301*P301</f>
        <v>0</v>
      </c>
      <c r="U306" s="458">
        <f>T306</f>
        <v>0</v>
      </c>
      <c r="V306" s="42"/>
      <c r="W306" s="41"/>
      <c r="X306" s="41"/>
      <c r="Y306" s="39"/>
      <c r="Z306" s="29"/>
      <c r="AA306" s="29"/>
      <c r="AB306" s="43">
        <f>T306</f>
        <v>0</v>
      </c>
      <c r="AC306" s="29"/>
      <c r="AD306" s="29"/>
    </row>
    <row r="307" spans="1:30" s="488" customFormat="1" ht="54.75" hidden="1" customHeight="1">
      <c r="A307" s="492"/>
      <c r="B307" s="643"/>
      <c r="C307" s="515"/>
      <c r="D307" s="514"/>
      <c r="E307" s="670" t="s">
        <v>377</v>
      </c>
      <c r="F307" s="670"/>
      <c r="G307" s="670"/>
      <c r="H307" s="670"/>
      <c r="I307" s="670"/>
      <c r="J307" s="670"/>
      <c r="K307" s="670"/>
      <c r="L307" s="498">
        <f>25.01-K301-L304-L305-L309</f>
        <v>0</v>
      </c>
      <c r="M307" s="459">
        <f>L307</f>
        <v>0</v>
      </c>
      <c r="N307" s="655"/>
      <c r="O307" s="656"/>
      <c r="P307" s="657"/>
      <c r="Q307" s="671"/>
      <c r="R307" s="672"/>
      <c r="S307" s="673"/>
      <c r="T307" s="457">
        <f>H301*M307*N301*O301*P301</f>
        <v>0</v>
      </c>
      <c r="U307" s="458">
        <f>T307</f>
        <v>0</v>
      </c>
      <c r="V307" s="42"/>
      <c r="W307" s="41"/>
      <c r="X307" s="41"/>
      <c r="Y307" s="41"/>
      <c r="Z307" s="44"/>
      <c r="AA307" s="29"/>
      <c r="AB307" s="29"/>
      <c r="AC307" s="44">
        <f>T307</f>
        <v>0</v>
      </c>
      <c r="AD307" s="29"/>
    </row>
    <row r="308" spans="1:30" s="488" customFormat="1" ht="45" hidden="1" customHeight="1">
      <c r="A308" s="492"/>
      <c r="B308" s="643"/>
      <c r="C308" s="515"/>
      <c r="D308" s="514"/>
      <c r="E308" s="674"/>
      <c r="F308" s="675"/>
      <c r="G308" s="675"/>
      <c r="H308" s="675"/>
      <c r="I308" s="675"/>
      <c r="J308" s="675"/>
      <c r="K308" s="675"/>
      <c r="L308" s="675"/>
      <c r="M308" s="676"/>
      <c r="N308" s="655"/>
      <c r="O308" s="656"/>
      <c r="P308" s="657"/>
      <c r="Q308" s="677"/>
      <c r="R308" s="678"/>
      <c r="S308" s="678"/>
      <c r="T308" s="678"/>
      <c r="U308" s="679"/>
      <c r="V308" s="45"/>
      <c r="W308" s="41"/>
      <c r="X308" s="41"/>
      <c r="Y308" s="41"/>
      <c r="Z308" s="29"/>
      <c r="AA308" s="44"/>
      <c r="AB308" s="29"/>
      <c r="AC308" s="29"/>
      <c r="AD308" s="29"/>
    </row>
    <row r="309" spans="1:30" s="488" customFormat="1" ht="45" hidden="1" customHeight="1" thickBot="1">
      <c r="A309" s="492"/>
      <c r="B309" s="644"/>
      <c r="C309" s="516"/>
      <c r="D309" s="517"/>
      <c r="E309" s="680" t="s">
        <v>369</v>
      </c>
      <c r="F309" s="680" t="s">
        <v>306</v>
      </c>
      <c r="G309" s="680"/>
      <c r="H309" s="680"/>
      <c r="I309" s="680"/>
      <c r="J309" s="680"/>
      <c r="K309" s="680"/>
      <c r="L309" s="499">
        <f>ROUND((I301+J301+K301+L304)*3.93%,2)</f>
        <v>5.56</v>
      </c>
      <c r="M309" s="46">
        <f>L309</f>
        <v>5.56</v>
      </c>
      <c r="N309" s="658"/>
      <c r="O309" s="659"/>
      <c r="P309" s="660"/>
      <c r="Q309" s="681"/>
      <c r="R309" s="682"/>
      <c r="S309" s="683"/>
      <c r="T309" s="500">
        <f>H301*M309*N301*O301*P301</f>
        <v>0</v>
      </c>
      <c r="U309" s="47">
        <f>T309</f>
        <v>0</v>
      </c>
      <c r="V309" s="48"/>
      <c r="W309" s="41"/>
      <c r="X309" s="41"/>
      <c r="Y309" s="41"/>
      <c r="Z309" s="29"/>
      <c r="AA309" s="29"/>
      <c r="AB309" s="44"/>
      <c r="AC309" s="29"/>
      <c r="AD309" s="44">
        <f>T309</f>
        <v>0</v>
      </c>
    </row>
    <row r="310" spans="1:30" s="488" customFormat="1" ht="150" hidden="1" customHeight="1" thickBot="1">
      <c r="A310" s="492"/>
      <c r="B310" s="642">
        <v>1</v>
      </c>
      <c r="C310" s="511">
        <v>10</v>
      </c>
      <c r="D310" s="512"/>
      <c r="E310" s="493" t="s">
        <v>429</v>
      </c>
      <c r="F310" s="487" t="s">
        <v>430</v>
      </c>
      <c r="G310" s="645" t="s">
        <v>388</v>
      </c>
      <c r="H310" s="688">
        <v>0</v>
      </c>
      <c r="I310" s="494">
        <v>293.63</v>
      </c>
      <c r="J310" s="494">
        <v>14.86</v>
      </c>
      <c r="K310" s="494">
        <v>35.15</v>
      </c>
      <c r="L310" s="494">
        <f>SUM(L312:L318)</f>
        <v>145.69</v>
      </c>
      <c r="M310" s="33">
        <f>SUM(I310:L310)</f>
        <v>489.33</v>
      </c>
      <c r="N310" s="501">
        <v>1</v>
      </c>
      <c r="O310" s="502">
        <v>1</v>
      </c>
      <c r="P310" s="37">
        <v>1</v>
      </c>
      <c r="Q310" s="34">
        <f>H310*I310*N310*O310*P310</f>
        <v>0</v>
      </c>
      <c r="R310" s="35">
        <f>H310*J310*N310*O310*P310</f>
        <v>0</v>
      </c>
      <c r="S310" s="36">
        <f>H310*K310*N310*O310*P310</f>
        <v>0</v>
      </c>
      <c r="T310" s="36">
        <f>H310*L310*N310*O310*P310</f>
        <v>0</v>
      </c>
      <c r="U310" s="37">
        <f>SUM(Q310:T310)</f>
        <v>0</v>
      </c>
      <c r="V310" s="38">
        <f>(Q310+R310+S310+T314+T315+T316+T318)*'Прогнозная стоимость РСС ИП '!$M$11+T313*'Прогнозная стоимость РСС ИП '!$M$10</f>
        <v>0</v>
      </c>
      <c r="W310" s="39">
        <f>T310</f>
        <v>0</v>
      </c>
      <c r="X310" s="39">
        <f>U310</f>
        <v>0</v>
      </c>
      <c r="Y310" s="39">
        <f>V310</f>
        <v>0</v>
      </c>
      <c r="Z310" s="29"/>
      <c r="AA310" s="29"/>
      <c r="AB310" s="29"/>
      <c r="AC310" s="29"/>
      <c r="AD310" s="29"/>
    </row>
    <row r="311" spans="1:30" s="488" customFormat="1" ht="41.25" hidden="1" customHeight="1">
      <c r="A311" s="492"/>
      <c r="B311" s="643"/>
      <c r="C311" s="513"/>
      <c r="D311" s="514"/>
      <c r="E311" s="495"/>
      <c r="F311" s="496"/>
      <c r="G311" s="646"/>
      <c r="H311" s="688"/>
      <c r="I311" s="649"/>
      <c r="J311" s="650"/>
      <c r="K311" s="650"/>
      <c r="L311" s="650"/>
      <c r="M311" s="651"/>
      <c r="N311" s="652"/>
      <c r="O311" s="653"/>
      <c r="P311" s="654"/>
      <c r="Q311" s="661"/>
      <c r="R311" s="662"/>
      <c r="S311" s="662"/>
      <c r="T311" s="662"/>
      <c r="U311" s="663"/>
      <c r="V311" s="40"/>
      <c r="W311" s="41"/>
      <c r="X311" s="41"/>
      <c r="Y311" s="41"/>
      <c r="Z311" s="29"/>
      <c r="AA311" s="29"/>
      <c r="AB311" s="29"/>
      <c r="AC311" s="29"/>
      <c r="AD311" s="29"/>
    </row>
    <row r="312" spans="1:30" s="488" customFormat="1" ht="41.25" hidden="1" customHeight="1">
      <c r="A312" s="492"/>
      <c r="B312" s="643"/>
      <c r="C312" s="513"/>
      <c r="D312" s="514"/>
      <c r="E312" s="664" t="s">
        <v>29</v>
      </c>
      <c r="F312" s="665"/>
      <c r="G312" s="665"/>
      <c r="H312" s="665"/>
      <c r="I312" s="665"/>
      <c r="J312" s="665"/>
      <c r="K312" s="665"/>
      <c r="L312" s="665"/>
      <c r="M312" s="666"/>
      <c r="N312" s="655"/>
      <c r="O312" s="656"/>
      <c r="P312" s="657"/>
      <c r="Q312" s="667"/>
      <c r="R312" s="689"/>
      <c r="S312" s="689"/>
      <c r="T312" s="689"/>
      <c r="U312" s="690"/>
      <c r="V312" s="42"/>
      <c r="W312" s="41"/>
      <c r="X312" s="41"/>
      <c r="Y312" s="41"/>
      <c r="Z312" s="29"/>
      <c r="AA312" s="29"/>
      <c r="AB312" s="29"/>
      <c r="AC312" s="29"/>
      <c r="AD312" s="29"/>
    </row>
    <row r="313" spans="1:30" s="488" customFormat="1" ht="41.25" hidden="1" customHeight="1">
      <c r="A313" s="492"/>
      <c r="B313" s="643"/>
      <c r="C313" s="513">
        <v>1010</v>
      </c>
      <c r="D313" s="514"/>
      <c r="E313" s="670" t="s">
        <v>30</v>
      </c>
      <c r="F313" s="670"/>
      <c r="G313" s="670"/>
      <c r="H313" s="670"/>
      <c r="I313" s="670"/>
      <c r="J313" s="670"/>
      <c r="K313" s="670"/>
      <c r="L313" s="498">
        <v>106.39</v>
      </c>
      <c r="M313" s="459">
        <f>L313</f>
        <v>106.39</v>
      </c>
      <c r="N313" s="655"/>
      <c r="O313" s="656"/>
      <c r="P313" s="657"/>
      <c r="Q313" s="671"/>
      <c r="R313" s="672"/>
      <c r="S313" s="673"/>
      <c r="T313" s="457">
        <f>H310*M313*N310*O310*P310</f>
        <v>0</v>
      </c>
      <c r="U313" s="458">
        <f>T313</f>
        <v>0</v>
      </c>
      <c r="V313" s="42"/>
      <c r="W313" s="39"/>
      <c r="X313" s="41"/>
      <c r="Y313" s="41"/>
      <c r="Z313" s="43">
        <f>T313</f>
        <v>0</v>
      </c>
      <c r="AA313" s="29"/>
      <c r="AB313" s="29"/>
      <c r="AC313" s="29"/>
      <c r="AD313" s="29"/>
    </row>
    <row r="314" spans="1:30" s="488" customFormat="1" ht="41.25" hidden="1" customHeight="1">
      <c r="A314" s="492"/>
      <c r="B314" s="643"/>
      <c r="C314" s="513"/>
      <c r="D314" s="514"/>
      <c r="E314" s="670" t="s">
        <v>31</v>
      </c>
      <c r="F314" s="670"/>
      <c r="G314" s="670"/>
      <c r="H314" s="670"/>
      <c r="I314" s="670"/>
      <c r="J314" s="670"/>
      <c r="K314" s="670"/>
      <c r="L314" s="498">
        <f>ROUND((I310+J310+K310)*2.14%,2)</f>
        <v>7.35</v>
      </c>
      <c r="M314" s="459">
        <f>L314</f>
        <v>7.35</v>
      </c>
      <c r="N314" s="655"/>
      <c r="O314" s="656"/>
      <c r="P314" s="657"/>
      <c r="Q314" s="671"/>
      <c r="R314" s="672"/>
      <c r="S314" s="673"/>
      <c r="T314" s="457">
        <f>H310*M314*N310*O310*P310</f>
        <v>0</v>
      </c>
      <c r="U314" s="458">
        <f>T314</f>
        <v>0</v>
      </c>
      <c r="V314" s="42"/>
      <c r="W314" s="41"/>
      <c r="X314" s="39"/>
      <c r="Y314" s="41"/>
      <c r="Z314" s="29"/>
      <c r="AA314" s="43">
        <f>T314</f>
        <v>0</v>
      </c>
      <c r="AB314" s="29"/>
      <c r="AC314" s="29"/>
      <c r="AD314" s="29"/>
    </row>
    <row r="315" spans="1:30" s="488" customFormat="1" ht="41.25" hidden="1" customHeight="1">
      <c r="A315" s="492"/>
      <c r="B315" s="643"/>
      <c r="C315" s="515"/>
      <c r="D315" s="514"/>
      <c r="E315" s="670" t="s">
        <v>376</v>
      </c>
      <c r="F315" s="670"/>
      <c r="G315" s="670"/>
      <c r="H315" s="670"/>
      <c r="I315" s="670"/>
      <c r="J315" s="670"/>
      <c r="K315" s="670"/>
      <c r="L315" s="498">
        <f>ROUND((I310+J310+K310+L313+L314+L318)*3%,2)+0.01</f>
        <v>14.26</v>
      </c>
      <c r="M315" s="459">
        <f>L315</f>
        <v>14.26</v>
      </c>
      <c r="N315" s="655"/>
      <c r="O315" s="656"/>
      <c r="P315" s="657"/>
      <c r="Q315" s="671"/>
      <c r="R315" s="672"/>
      <c r="S315" s="673"/>
      <c r="T315" s="457">
        <f>H310*M315*N310*O310*P310</f>
        <v>0</v>
      </c>
      <c r="U315" s="458">
        <f>T315</f>
        <v>0</v>
      </c>
      <c r="V315" s="42"/>
      <c r="W315" s="41"/>
      <c r="X315" s="41"/>
      <c r="Y315" s="39"/>
      <c r="Z315" s="29"/>
      <c r="AA315" s="29"/>
      <c r="AB315" s="43">
        <f>T315</f>
        <v>0</v>
      </c>
      <c r="AC315" s="29"/>
      <c r="AD315" s="29"/>
    </row>
    <row r="316" spans="1:30" s="488" customFormat="1" ht="54.75" hidden="1" customHeight="1">
      <c r="A316" s="492"/>
      <c r="B316" s="643"/>
      <c r="C316" s="515"/>
      <c r="D316" s="514"/>
      <c r="E316" s="670" t="s">
        <v>377</v>
      </c>
      <c r="F316" s="670"/>
      <c r="G316" s="670"/>
      <c r="H316" s="670"/>
      <c r="I316" s="670"/>
      <c r="J316" s="670"/>
      <c r="K316" s="670"/>
      <c r="L316" s="498">
        <f>166.58-K310-L313-L314-L318</f>
        <v>0</v>
      </c>
      <c r="M316" s="459">
        <f>L316</f>
        <v>0</v>
      </c>
      <c r="N316" s="655"/>
      <c r="O316" s="656"/>
      <c r="P316" s="657"/>
      <c r="Q316" s="671"/>
      <c r="R316" s="672"/>
      <c r="S316" s="673"/>
      <c r="T316" s="457">
        <f>H310*M316*N310*O310*P310</f>
        <v>0</v>
      </c>
      <c r="U316" s="458">
        <f>T316</f>
        <v>0</v>
      </c>
      <c r="V316" s="42"/>
      <c r="W316" s="41"/>
      <c r="X316" s="41"/>
      <c r="Y316" s="41"/>
      <c r="Z316" s="44"/>
      <c r="AA316" s="29"/>
      <c r="AB316" s="29"/>
      <c r="AC316" s="44">
        <f>T316</f>
        <v>0</v>
      </c>
      <c r="AD316" s="29"/>
    </row>
    <row r="317" spans="1:30" s="488" customFormat="1" ht="45" hidden="1" customHeight="1">
      <c r="A317" s="492"/>
      <c r="B317" s="643"/>
      <c r="C317" s="515"/>
      <c r="D317" s="514"/>
      <c r="E317" s="674"/>
      <c r="F317" s="675"/>
      <c r="G317" s="675"/>
      <c r="H317" s="675"/>
      <c r="I317" s="675"/>
      <c r="J317" s="675"/>
      <c r="K317" s="675"/>
      <c r="L317" s="675"/>
      <c r="M317" s="676"/>
      <c r="N317" s="655"/>
      <c r="O317" s="656"/>
      <c r="P317" s="657"/>
      <c r="Q317" s="677"/>
      <c r="R317" s="678"/>
      <c r="S317" s="678"/>
      <c r="T317" s="678"/>
      <c r="U317" s="679"/>
      <c r="V317" s="45"/>
      <c r="W317" s="41"/>
      <c r="X317" s="41"/>
      <c r="Y317" s="41"/>
      <c r="Z317" s="29"/>
      <c r="AA317" s="44"/>
      <c r="AB317" s="29"/>
      <c r="AC317" s="29"/>
      <c r="AD317" s="29"/>
    </row>
    <row r="318" spans="1:30" s="488" customFormat="1" ht="45" hidden="1" customHeight="1" thickBot="1">
      <c r="A318" s="492"/>
      <c r="B318" s="644"/>
      <c r="C318" s="516"/>
      <c r="D318" s="517"/>
      <c r="E318" s="680" t="s">
        <v>369</v>
      </c>
      <c r="F318" s="680" t="s">
        <v>306</v>
      </c>
      <c r="G318" s="680"/>
      <c r="H318" s="680"/>
      <c r="I318" s="680"/>
      <c r="J318" s="680"/>
      <c r="K318" s="680"/>
      <c r="L318" s="499">
        <f>ROUND((I310+J310+K310+L313)*3.93%,2)</f>
        <v>17.690000000000001</v>
      </c>
      <c r="M318" s="46">
        <f>L318</f>
        <v>17.690000000000001</v>
      </c>
      <c r="N318" s="658"/>
      <c r="O318" s="659"/>
      <c r="P318" s="660"/>
      <c r="Q318" s="681"/>
      <c r="R318" s="682"/>
      <c r="S318" s="683"/>
      <c r="T318" s="500">
        <f>H310*M318*N310*O310*P310</f>
        <v>0</v>
      </c>
      <c r="U318" s="47">
        <f>T318</f>
        <v>0</v>
      </c>
      <c r="V318" s="48"/>
      <c r="W318" s="41"/>
      <c r="X318" s="41"/>
      <c r="Y318" s="41"/>
      <c r="Z318" s="29"/>
      <c r="AA318" s="29"/>
      <c r="AB318" s="44"/>
      <c r="AC318" s="29"/>
      <c r="AD318" s="44">
        <f>T318</f>
        <v>0</v>
      </c>
    </row>
    <row r="319" spans="1:30" s="488" customFormat="1" ht="150" hidden="1" customHeight="1" thickBot="1">
      <c r="A319" s="492"/>
      <c r="B319" s="642">
        <v>1</v>
      </c>
      <c r="C319" s="511">
        <v>10</v>
      </c>
      <c r="D319" s="512"/>
      <c r="E319" s="493" t="s">
        <v>431</v>
      </c>
      <c r="F319" s="487" t="s">
        <v>432</v>
      </c>
      <c r="G319" s="645" t="s">
        <v>388</v>
      </c>
      <c r="H319" s="688">
        <v>0</v>
      </c>
      <c r="I319" s="494">
        <v>1134.1600000000001</v>
      </c>
      <c r="J319" s="494">
        <v>63.6</v>
      </c>
      <c r="K319" s="494">
        <v>83.11</v>
      </c>
      <c r="L319" s="494">
        <f>SUM(L321:L327)</f>
        <v>234.38000000000002</v>
      </c>
      <c r="M319" s="33">
        <f>SUM(I319:L319)</f>
        <v>1515.25</v>
      </c>
      <c r="N319" s="501">
        <v>1</v>
      </c>
      <c r="O319" s="502">
        <v>1</v>
      </c>
      <c r="P319" s="37">
        <v>1</v>
      </c>
      <c r="Q319" s="34">
        <f>H319*I319*N319*O319*P319</f>
        <v>0</v>
      </c>
      <c r="R319" s="35">
        <f>H319*J319*N319*O319*P319</f>
        <v>0</v>
      </c>
      <c r="S319" s="36">
        <f>H319*K319*N319*O319*P319</f>
        <v>0</v>
      </c>
      <c r="T319" s="36">
        <f>H319*L319*N319*O319*P319</f>
        <v>0</v>
      </c>
      <c r="U319" s="37">
        <f>SUM(Q319:T319)</f>
        <v>0</v>
      </c>
      <c r="V319" s="38">
        <f>(Q319+R319+S319+T323+T324+T325+T327)*'Прогнозная стоимость РСС ИП '!$M$11+T322*'Прогнозная стоимость РСС ИП '!$M$10</f>
        <v>0</v>
      </c>
      <c r="W319" s="39">
        <f>T319</f>
        <v>0</v>
      </c>
      <c r="X319" s="39">
        <f>U319</f>
        <v>0</v>
      </c>
      <c r="Y319" s="39">
        <f>V319</f>
        <v>0</v>
      </c>
      <c r="Z319" s="29"/>
      <c r="AA319" s="29"/>
      <c r="AB319" s="29"/>
      <c r="AC319" s="29"/>
      <c r="AD319" s="29"/>
    </row>
    <row r="320" spans="1:30" s="488" customFormat="1" ht="41.25" hidden="1" customHeight="1">
      <c r="A320" s="492"/>
      <c r="B320" s="643"/>
      <c r="C320" s="513"/>
      <c r="D320" s="514"/>
      <c r="E320" s="495"/>
      <c r="F320" s="496"/>
      <c r="G320" s="646"/>
      <c r="H320" s="688"/>
      <c r="I320" s="649"/>
      <c r="J320" s="650"/>
      <c r="K320" s="650"/>
      <c r="L320" s="650"/>
      <c r="M320" s="651"/>
      <c r="N320" s="652"/>
      <c r="O320" s="653"/>
      <c r="P320" s="654"/>
      <c r="Q320" s="661"/>
      <c r="R320" s="662"/>
      <c r="S320" s="662"/>
      <c r="T320" s="662"/>
      <c r="U320" s="663"/>
      <c r="V320" s="40"/>
      <c r="W320" s="41"/>
      <c r="X320" s="41"/>
      <c r="Y320" s="41"/>
      <c r="Z320" s="29"/>
      <c r="AA320" s="29"/>
      <c r="AB320" s="29"/>
      <c r="AC320" s="29"/>
      <c r="AD320" s="29"/>
    </row>
    <row r="321" spans="1:30" s="488" customFormat="1" ht="41.25" hidden="1" customHeight="1">
      <c r="A321" s="492"/>
      <c r="B321" s="643"/>
      <c r="C321" s="513"/>
      <c r="D321" s="514"/>
      <c r="E321" s="664" t="s">
        <v>29</v>
      </c>
      <c r="F321" s="665"/>
      <c r="G321" s="665"/>
      <c r="H321" s="665"/>
      <c r="I321" s="665"/>
      <c r="J321" s="665"/>
      <c r="K321" s="665"/>
      <c r="L321" s="665"/>
      <c r="M321" s="666"/>
      <c r="N321" s="655"/>
      <c r="O321" s="656"/>
      <c r="P321" s="657"/>
      <c r="Q321" s="667"/>
      <c r="R321" s="689"/>
      <c r="S321" s="689"/>
      <c r="T321" s="689"/>
      <c r="U321" s="690"/>
      <c r="V321" s="42"/>
      <c r="W321" s="41"/>
      <c r="X321" s="41"/>
      <c r="Y321" s="41"/>
      <c r="Z321" s="29"/>
      <c r="AA321" s="29"/>
      <c r="AB321" s="29"/>
      <c r="AC321" s="29"/>
      <c r="AD321" s="29"/>
    </row>
    <row r="322" spans="1:30" s="488" customFormat="1" ht="41.25" hidden="1" customHeight="1">
      <c r="A322" s="492"/>
      <c r="B322" s="643"/>
      <c r="C322" s="513">
        <v>1010</v>
      </c>
      <c r="D322" s="514"/>
      <c r="E322" s="670" t="s">
        <v>30</v>
      </c>
      <c r="F322" s="670"/>
      <c r="G322" s="670"/>
      <c r="H322" s="670"/>
      <c r="I322" s="670"/>
      <c r="J322" s="670"/>
      <c r="K322" s="670"/>
      <c r="L322" s="498">
        <v>108.26</v>
      </c>
      <c r="M322" s="459">
        <f>L322</f>
        <v>108.26</v>
      </c>
      <c r="N322" s="655"/>
      <c r="O322" s="656"/>
      <c r="P322" s="657"/>
      <c r="Q322" s="671"/>
      <c r="R322" s="672"/>
      <c r="S322" s="673"/>
      <c r="T322" s="457">
        <f>H319*M322*N319*O319*P319</f>
        <v>0</v>
      </c>
      <c r="U322" s="458">
        <f>T322</f>
        <v>0</v>
      </c>
      <c r="V322" s="42"/>
      <c r="W322" s="39"/>
      <c r="X322" s="41"/>
      <c r="Y322" s="41"/>
      <c r="Z322" s="43">
        <f>T322</f>
        <v>0</v>
      </c>
      <c r="AA322" s="29"/>
      <c r="AB322" s="29"/>
      <c r="AC322" s="29"/>
      <c r="AD322" s="29"/>
    </row>
    <row r="323" spans="1:30" s="488" customFormat="1" ht="41.25" hidden="1" customHeight="1">
      <c r="A323" s="492"/>
      <c r="B323" s="643"/>
      <c r="C323" s="513"/>
      <c r="D323" s="514"/>
      <c r="E323" s="670" t="s">
        <v>31</v>
      </c>
      <c r="F323" s="670"/>
      <c r="G323" s="670"/>
      <c r="H323" s="670"/>
      <c r="I323" s="670"/>
      <c r="J323" s="670"/>
      <c r="K323" s="670"/>
      <c r="L323" s="498">
        <f>ROUND((I319+J319+K319)*2.14%,2)</f>
        <v>27.41</v>
      </c>
      <c r="M323" s="459">
        <f>L323</f>
        <v>27.41</v>
      </c>
      <c r="N323" s="655"/>
      <c r="O323" s="656"/>
      <c r="P323" s="657"/>
      <c r="Q323" s="671"/>
      <c r="R323" s="672"/>
      <c r="S323" s="673"/>
      <c r="T323" s="457">
        <f>H319*M323*N319*O319*P319</f>
        <v>0</v>
      </c>
      <c r="U323" s="458">
        <f>T323</f>
        <v>0</v>
      </c>
      <c r="V323" s="42"/>
      <c r="W323" s="41"/>
      <c r="X323" s="39"/>
      <c r="Y323" s="41"/>
      <c r="Z323" s="29"/>
      <c r="AA323" s="43">
        <f>T323</f>
        <v>0</v>
      </c>
      <c r="AB323" s="29"/>
      <c r="AC323" s="29"/>
      <c r="AD323" s="29"/>
    </row>
    <row r="324" spans="1:30" s="488" customFormat="1" ht="41.25" hidden="1" customHeight="1">
      <c r="A324" s="492"/>
      <c r="B324" s="643"/>
      <c r="C324" s="515"/>
      <c r="D324" s="514"/>
      <c r="E324" s="670" t="s">
        <v>376</v>
      </c>
      <c r="F324" s="670"/>
      <c r="G324" s="670"/>
      <c r="H324" s="670"/>
      <c r="I324" s="670"/>
      <c r="J324" s="670"/>
      <c r="K324" s="670"/>
      <c r="L324" s="498">
        <f>ROUND((I319+J319+K319+L322+L323+L327)*3%,2)-0.01</f>
        <v>44.120000000000005</v>
      </c>
      <c r="M324" s="459">
        <f>L324</f>
        <v>44.120000000000005</v>
      </c>
      <c r="N324" s="655"/>
      <c r="O324" s="656"/>
      <c r="P324" s="657"/>
      <c r="Q324" s="671"/>
      <c r="R324" s="672"/>
      <c r="S324" s="673"/>
      <c r="T324" s="457">
        <f>H319*M324*N319*O319*P319</f>
        <v>0</v>
      </c>
      <c r="U324" s="458">
        <f>T324</f>
        <v>0</v>
      </c>
      <c r="V324" s="42"/>
      <c r="W324" s="41"/>
      <c r="X324" s="41"/>
      <c r="Y324" s="39"/>
      <c r="Z324" s="29"/>
      <c r="AA324" s="29"/>
      <c r="AB324" s="43">
        <f>T324</f>
        <v>0</v>
      </c>
      <c r="AC324" s="29"/>
      <c r="AD324" s="29"/>
    </row>
    <row r="325" spans="1:30" s="488" customFormat="1" ht="54.75" hidden="1" customHeight="1">
      <c r="A325" s="492"/>
      <c r="B325" s="643"/>
      <c r="C325" s="515"/>
      <c r="D325" s="514"/>
      <c r="E325" s="670" t="s">
        <v>377</v>
      </c>
      <c r="F325" s="670"/>
      <c r="G325" s="670"/>
      <c r="H325" s="670"/>
      <c r="I325" s="670"/>
      <c r="J325" s="670"/>
      <c r="K325" s="670"/>
      <c r="L325" s="498">
        <f>273.37-K319-L322-L323-L327</f>
        <v>0</v>
      </c>
      <c r="M325" s="459">
        <f>L325</f>
        <v>0</v>
      </c>
      <c r="N325" s="655"/>
      <c r="O325" s="656"/>
      <c r="P325" s="657"/>
      <c r="Q325" s="671"/>
      <c r="R325" s="672"/>
      <c r="S325" s="673"/>
      <c r="T325" s="457">
        <f>H319*M325*N319*O319*P319</f>
        <v>0</v>
      </c>
      <c r="U325" s="458">
        <f>T325</f>
        <v>0</v>
      </c>
      <c r="V325" s="42"/>
      <c r="W325" s="41"/>
      <c r="X325" s="41"/>
      <c r="Y325" s="41"/>
      <c r="Z325" s="44"/>
      <c r="AA325" s="29"/>
      <c r="AB325" s="29"/>
      <c r="AC325" s="44">
        <f>T325</f>
        <v>0</v>
      </c>
      <c r="AD325" s="29"/>
    </row>
    <row r="326" spans="1:30" s="488" customFormat="1" ht="45" hidden="1" customHeight="1">
      <c r="A326" s="492"/>
      <c r="B326" s="643"/>
      <c r="C326" s="515"/>
      <c r="D326" s="514"/>
      <c r="E326" s="674"/>
      <c r="F326" s="675"/>
      <c r="G326" s="675"/>
      <c r="H326" s="675"/>
      <c r="I326" s="675"/>
      <c r="J326" s="675"/>
      <c r="K326" s="675"/>
      <c r="L326" s="675"/>
      <c r="M326" s="676"/>
      <c r="N326" s="655"/>
      <c r="O326" s="656"/>
      <c r="P326" s="657"/>
      <c r="Q326" s="677"/>
      <c r="R326" s="678"/>
      <c r="S326" s="678"/>
      <c r="T326" s="678"/>
      <c r="U326" s="679"/>
      <c r="V326" s="45"/>
      <c r="W326" s="41"/>
      <c r="X326" s="41"/>
      <c r="Y326" s="41"/>
      <c r="Z326" s="29"/>
      <c r="AA326" s="44"/>
      <c r="AB326" s="29"/>
      <c r="AC326" s="29"/>
      <c r="AD326" s="29"/>
    </row>
    <row r="327" spans="1:30" s="488" customFormat="1" ht="45" hidden="1" customHeight="1" thickBot="1">
      <c r="A327" s="492"/>
      <c r="B327" s="644"/>
      <c r="C327" s="516"/>
      <c r="D327" s="517"/>
      <c r="E327" s="680" t="s">
        <v>369</v>
      </c>
      <c r="F327" s="680" t="s">
        <v>306</v>
      </c>
      <c r="G327" s="680"/>
      <c r="H327" s="680"/>
      <c r="I327" s="680"/>
      <c r="J327" s="680"/>
      <c r="K327" s="680"/>
      <c r="L327" s="499">
        <f>ROUND((I319+J319+K319+L322)*3.93%,2)</f>
        <v>54.59</v>
      </c>
      <c r="M327" s="46">
        <f>L327</f>
        <v>54.59</v>
      </c>
      <c r="N327" s="658"/>
      <c r="O327" s="659"/>
      <c r="P327" s="660"/>
      <c r="Q327" s="681"/>
      <c r="R327" s="682"/>
      <c r="S327" s="683"/>
      <c r="T327" s="500">
        <f>H319*M327*N319*O319*P319</f>
        <v>0</v>
      </c>
      <c r="U327" s="47">
        <f>T327</f>
        <v>0</v>
      </c>
      <c r="V327" s="48"/>
      <c r="W327" s="41"/>
      <c r="X327" s="41"/>
      <c r="Y327" s="41"/>
      <c r="Z327" s="29"/>
      <c r="AA327" s="29"/>
      <c r="AB327" s="44"/>
      <c r="AC327" s="29"/>
      <c r="AD327" s="44">
        <f>T327</f>
        <v>0</v>
      </c>
    </row>
    <row r="328" spans="1:30" s="491" customFormat="1" ht="150" hidden="1" customHeight="1" thickBot="1">
      <c r="A328" s="492"/>
      <c r="B328" s="642">
        <v>1</v>
      </c>
      <c r="C328" s="511">
        <v>10</v>
      </c>
      <c r="D328" s="512"/>
      <c r="E328" s="493" t="s">
        <v>767</v>
      </c>
      <c r="F328" s="490" t="s">
        <v>766</v>
      </c>
      <c r="G328" s="645" t="s">
        <v>388</v>
      </c>
      <c r="H328" s="688">
        <v>0</v>
      </c>
      <c r="I328" s="494">
        <v>2450.0100000000002</v>
      </c>
      <c r="J328" s="494">
        <v>206.85</v>
      </c>
      <c r="K328" s="494">
        <v>257.39</v>
      </c>
      <c r="L328" s="494">
        <f>SUM(L330:L336)</f>
        <v>389.01</v>
      </c>
      <c r="M328" s="33">
        <f>SUM(I328:L328)</f>
        <v>3303.26</v>
      </c>
      <c r="N328" s="501">
        <v>1</v>
      </c>
      <c r="O328" s="502">
        <v>1</v>
      </c>
      <c r="P328" s="37">
        <v>1</v>
      </c>
      <c r="Q328" s="34">
        <f>H328*I328*N328*O328*P328</f>
        <v>0</v>
      </c>
      <c r="R328" s="35">
        <f>H328*J328*N328*O328*P328</f>
        <v>0</v>
      </c>
      <c r="S328" s="36">
        <f>H328*K328*N328*O328*P328</f>
        <v>0</v>
      </c>
      <c r="T328" s="36">
        <f>H328*L328*N328*O328*P328</f>
        <v>0</v>
      </c>
      <c r="U328" s="37">
        <f>SUM(Q328:T328)</f>
        <v>0</v>
      </c>
      <c r="V328" s="38">
        <f>(Q328+R328+S328+T332+T333+T334+T336)*'Прогнозная стоимость РСС ИП '!$M$11+T331*'Прогнозная стоимость РСС ИП '!$M$10</f>
        <v>0</v>
      </c>
      <c r="W328" s="39">
        <f>T328</f>
        <v>0</v>
      </c>
      <c r="X328" s="39">
        <f>U328</f>
        <v>0</v>
      </c>
      <c r="Y328" s="39">
        <f>V328</f>
        <v>0</v>
      </c>
      <c r="Z328" s="29"/>
      <c r="AA328" s="29"/>
      <c r="AB328" s="29"/>
      <c r="AC328" s="29"/>
      <c r="AD328" s="29"/>
    </row>
    <row r="329" spans="1:30" s="491" customFormat="1" ht="41.25" hidden="1" customHeight="1">
      <c r="A329" s="492"/>
      <c r="B329" s="643"/>
      <c r="C329" s="513"/>
      <c r="D329" s="514"/>
      <c r="E329" s="495"/>
      <c r="F329" s="496"/>
      <c r="G329" s="646"/>
      <c r="H329" s="688"/>
      <c r="I329" s="649"/>
      <c r="J329" s="650"/>
      <c r="K329" s="650"/>
      <c r="L329" s="650"/>
      <c r="M329" s="651"/>
      <c r="N329" s="652"/>
      <c r="O329" s="653"/>
      <c r="P329" s="654"/>
      <c r="Q329" s="661"/>
      <c r="R329" s="662"/>
      <c r="S329" s="662"/>
      <c r="T329" s="662"/>
      <c r="U329" s="663"/>
      <c r="V329" s="40"/>
      <c r="W329" s="41"/>
      <c r="X329" s="41"/>
      <c r="Y329" s="41"/>
      <c r="Z329" s="29"/>
      <c r="AA329" s="29"/>
      <c r="AB329" s="29"/>
      <c r="AC329" s="29"/>
      <c r="AD329" s="29"/>
    </row>
    <row r="330" spans="1:30" s="491" customFormat="1" ht="41.25" hidden="1" customHeight="1">
      <c r="A330" s="492"/>
      <c r="B330" s="643"/>
      <c r="C330" s="513"/>
      <c r="D330" s="514"/>
      <c r="E330" s="664" t="s">
        <v>29</v>
      </c>
      <c r="F330" s="665"/>
      <c r="G330" s="665"/>
      <c r="H330" s="665"/>
      <c r="I330" s="665"/>
      <c r="J330" s="665"/>
      <c r="K330" s="665"/>
      <c r="L330" s="665"/>
      <c r="M330" s="666"/>
      <c r="N330" s="655"/>
      <c r="O330" s="656"/>
      <c r="P330" s="657"/>
      <c r="Q330" s="667"/>
      <c r="R330" s="689"/>
      <c r="S330" s="689"/>
      <c r="T330" s="689"/>
      <c r="U330" s="690"/>
      <c r="V330" s="42"/>
      <c r="W330" s="41"/>
      <c r="X330" s="41"/>
      <c r="Y330" s="41"/>
      <c r="Z330" s="29"/>
      <c r="AA330" s="29"/>
      <c r="AB330" s="29"/>
      <c r="AC330" s="29"/>
      <c r="AD330" s="29"/>
    </row>
    <row r="331" spans="1:30" s="491" customFormat="1" ht="41.25" hidden="1" customHeight="1">
      <c r="A331" s="492"/>
      <c r="B331" s="643"/>
      <c r="C331" s="513">
        <v>1010</v>
      </c>
      <c r="D331" s="514"/>
      <c r="E331" s="670" t="s">
        <v>30</v>
      </c>
      <c r="F331" s="670"/>
      <c r="G331" s="670"/>
      <c r="H331" s="670"/>
      <c r="I331" s="670"/>
      <c r="J331" s="670"/>
      <c r="K331" s="670"/>
      <c r="L331" s="498">
        <v>111.53</v>
      </c>
      <c r="M331" s="459">
        <f>L331</f>
        <v>111.53</v>
      </c>
      <c r="N331" s="655"/>
      <c r="O331" s="656"/>
      <c r="P331" s="657"/>
      <c r="Q331" s="671"/>
      <c r="R331" s="672"/>
      <c r="S331" s="673"/>
      <c r="T331" s="497">
        <f>H328*M331*N328*O328*P328</f>
        <v>0</v>
      </c>
      <c r="U331" s="458">
        <f>T331</f>
        <v>0</v>
      </c>
      <c r="V331" s="42"/>
      <c r="W331" s="39"/>
      <c r="X331" s="41"/>
      <c r="Y331" s="41"/>
      <c r="Z331" s="43">
        <f>T331</f>
        <v>0</v>
      </c>
      <c r="AA331" s="29"/>
      <c r="AB331" s="29"/>
      <c r="AC331" s="29"/>
      <c r="AD331" s="29"/>
    </row>
    <row r="332" spans="1:30" s="491" customFormat="1" ht="41.25" hidden="1" customHeight="1">
      <c r="A332" s="492"/>
      <c r="B332" s="643"/>
      <c r="C332" s="513"/>
      <c r="D332" s="514"/>
      <c r="E332" s="670" t="s">
        <v>31</v>
      </c>
      <c r="F332" s="670"/>
      <c r="G332" s="670"/>
      <c r="H332" s="670"/>
      <c r="I332" s="670"/>
      <c r="J332" s="670"/>
      <c r="K332" s="670"/>
      <c r="L332" s="498">
        <f>ROUND((I328+J328+K328)*2.14%,2)</f>
        <v>62.36</v>
      </c>
      <c r="M332" s="459">
        <f>L332</f>
        <v>62.36</v>
      </c>
      <c r="N332" s="655"/>
      <c r="O332" s="656"/>
      <c r="P332" s="657"/>
      <c r="Q332" s="671"/>
      <c r="R332" s="672"/>
      <c r="S332" s="673"/>
      <c r="T332" s="497">
        <f>H328*M332*N328*O328*P328</f>
        <v>0</v>
      </c>
      <c r="U332" s="458">
        <f>T332</f>
        <v>0</v>
      </c>
      <c r="V332" s="42"/>
      <c r="W332" s="41"/>
      <c r="X332" s="39"/>
      <c r="Y332" s="41"/>
      <c r="Z332" s="29"/>
      <c r="AA332" s="43">
        <f>T332</f>
        <v>0</v>
      </c>
      <c r="AB332" s="29"/>
      <c r="AC332" s="29"/>
      <c r="AD332" s="29"/>
    </row>
    <row r="333" spans="1:30" s="491" customFormat="1" ht="41.25" hidden="1" customHeight="1">
      <c r="A333" s="492"/>
      <c r="B333" s="643"/>
      <c r="C333" s="515"/>
      <c r="D333" s="514"/>
      <c r="E333" s="670" t="s">
        <v>376</v>
      </c>
      <c r="F333" s="670"/>
      <c r="G333" s="670"/>
      <c r="H333" s="670"/>
      <c r="I333" s="670"/>
      <c r="J333" s="670"/>
      <c r="K333" s="670"/>
      <c r="L333" s="498">
        <f>ROUND((I328+J328+K328+L331+L332+L336)*3%,2)</f>
        <v>96.21</v>
      </c>
      <c r="M333" s="459">
        <f>L333</f>
        <v>96.21</v>
      </c>
      <c r="N333" s="655"/>
      <c r="O333" s="656"/>
      <c r="P333" s="657"/>
      <c r="Q333" s="671"/>
      <c r="R333" s="672"/>
      <c r="S333" s="673"/>
      <c r="T333" s="497">
        <f>H328*M333*N328*O328*P328</f>
        <v>0</v>
      </c>
      <c r="U333" s="458">
        <f>T333</f>
        <v>0</v>
      </c>
      <c r="V333" s="42"/>
      <c r="W333" s="41"/>
      <c r="X333" s="41"/>
      <c r="Y333" s="39"/>
      <c r="Z333" s="29"/>
      <c r="AA333" s="29"/>
      <c r="AB333" s="43">
        <f>T333</f>
        <v>0</v>
      </c>
      <c r="AC333" s="29"/>
      <c r="AD333" s="29"/>
    </row>
    <row r="334" spans="1:30" s="491" customFormat="1" ht="54.75" hidden="1" customHeight="1">
      <c r="A334" s="492"/>
      <c r="B334" s="643"/>
      <c r="C334" s="515"/>
      <c r="D334" s="514"/>
      <c r="E334" s="670" t="s">
        <v>377</v>
      </c>
      <c r="F334" s="670"/>
      <c r="G334" s="670"/>
      <c r="H334" s="670"/>
      <c r="I334" s="670"/>
      <c r="J334" s="670"/>
      <c r="K334" s="670"/>
      <c r="L334" s="498">
        <f>550.19-K328-L331-L332-L336</f>
        <v>0</v>
      </c>
      <c r="M334" s="459">
        <f>L334</f>
        <v>0</v>
      </c>
      <c r="N334" s="655"/>
      <c r="O334" s="656"/>
      <c r="P334" s="657"/>
      <c r="Q334" s="671"/>
      <c r="R334" s="672"/>
      <c r="S334" s="673"/>
      <c r="T334" s="497">
        <f>H328*M334*N328*O328*P328</f>
        <v>0</v>
      </c>
      <c r="U334" s="458">
        <f>T334</f>
        <v>0</v>
      </c>
      <c r="V334" s="42"/>
      <c r="W334" s="41"/>
      <c r="X334" s="41"/>
      <c r="Y334" s="41"/>
      <c r="Z334" s="44"/>
      <c r="AA334" s="29"/>
      <c r="AB334" s="29"/>
      <c r="AC334" s="44">
        <f>T334</f>
        <v>0</v>
      </c>
      <c r="AD334" s="29"/>
    </row>
    <row r="335" spans="1:30" s="491" customFormat="1" ht="45" hidden="1" customHeight="1">
      <c r="A335" s="492"/>
      <c r="B335" s="643"/>
      <c r="C335" s="515"/>
      <c r="D335" s="514"/>
      <c r="E335" s="674"/>
      <c r="F335" s="675"/>
      <c r="G335" s="675"/>
      <c r="H335" s="675"/>
      <c r="I335" s="675"/>
      <c r="J335" s="675"/>
      <c r="K335" s="675"/>
      <c r="L335" s="675"/>
      <c r="M335" s="676"/>
      <c r="N335" s="655"/>
      <c r="O335" s="656"/>
      <c r="P335" s="657"/>
      <c r="Q335" s="677"/>
      <c r="R335" s="678"/>
      <c r="S335" s="678"/>
      <c r="T335" s="678"/>
      <c r="U335" s="679"/>
      <c r="V335" s="45"/>
      <c r="W335" s="41"/>
      <c r="X335" s="41"/>
      <c r="Y335" s="41"/>
      <c r="Z335" s="29"/>
      <c r="AA335" s="44"/>
      <c r="AB335" s="29"/>
      <c r="AC335" s="29"/>
      <c r="AD335" s="29"/>
    </row>
    <row r="336" spans="1:30" s="491" customFormat="1" ht="45" hidden="1" customHeight="1" thickBot="1">
      <c r="A336" s="492"/>
      <c r="B336" s="644"/>
      <c r="C336" s="516"/>
      <c r="D336" s="517"/>
      <c r="E336" s="680" t="s">
        <v>369</v>
      </c>
      <c r="F336" s="680" t="s">
        <v>306</v>
      </c>
      <c r="G336" s="680"/>
      <c r="H336" s="680"/>
      <c r="I336" s="680"/>
      <c r="J336" s="680"/>
      <c r="K336" s="680"/>
      <c r="L336" s="499">
        <f>ROUND((I328+J328+K328+L331)*3.93%,2)</f>
        <v>118.91</v>
      </c>
      <c r="M336" s="46">
        <f>L336</f>
        <v>118.91</v>
      </c>
      <c r="N336" s="658"/>
      <c r="O336" s="659"/>
      <c r="P336" s="660"/>
      <c r="Q336" s="681"/>
      <c r="R336" s="682"/>
      <c r="S336" s="683"/>
      <c r="T336" s="500">
        <f>H328*M336*N328*O328*P328</f>
        <v>0</v>
      </c>
      <c r="U336" s="47">
        <f>T336</f>
        <v>0</v>
      </c>
      <c r="V336" s="48"/>
      <c r="W336" s="41"/>
      <c r="X336" s="41"/>
      <c r="Y336" s="41"/>
      <c r="Z336" s="29"/>
      <c r="AA336" s="29"/>
      <c r="AB336" s="44"/>
      <c r="AC336" s="29"/>
      <c r="AD336" s="44">
        <f>T336</f>
        <v>0</v>
      </c>
    </row>
    <row r="337" spans="1:30" s="491" customFormat="1" ht="150" hidden="1" customHeight="1" thickBot="1">
      <c r="A337" s="492"/>
      <c r="B337" s="642">
        <v>1</v>
      </c>
      <c r="C337" s="511">
        <v>10</v>
      </c>
      <c r="D337" s="512"/>
      <c r="E337" s="493" t="s">
        <v>775</v>
      </c>
      <c r="F337" s="490" t="s">
        <v>768</v>
      </c>
      <c r="G337" s="645" t="s">
        <v>388</v>
      </c>
      <c r="H337" s="688">
        <v>0</v>
      </c>
      <c r="I337" s="494">
        <v>352.34</v>
      </c>
      <c r="J337" s="494">
        <v>72.14</v>
      </c>
      <c r="K337" s="494">
        <v>177.24</v>
      </c>
      <c r="L337" s="494">
        <f>SUM(L339:L345)</f>
        <v>91.830000000000013</v>
      </c>
      <c r="M337" s="33">
        <f>SUM(I337:L337)</f>
        <v>693.55000000000007</v>
      </c>
      <c r="N337" s="501">
        <v>1</v>
      </c>
      <c r="O337" s="502">
        <v>1</v>
      </c>
      <c r="P337" s="37">
        <v>1</v>
      </c>
      <c r="Q337" s="34">
        <f>H337*I337*N337*O337*P337</f>
        <v>0</v>
      </c>
      <c r="R337" s="35">
        <f>H337*J337*N337*O337*P337</f>
        <v>0</v>
      </c>
      <c r="S337" s="36">
        <f>H337*K337*N337*O337*P337</f>
        <v>0</v>
      </c>
      <c r="T337" s="36">
        <f>H337*L337*N337*O337*P337</f>
        <v>0</v>
      </c>
      <c r="U337" s="37">
        <f>SUM(Q337:T337)</f>
        <v>0</v>
      </c>
      <c r="V337" s="38">
        <f>(Q337+R337+S337+T341+T342+T343+T345)*'Прогнозная стоимость РСС ИП '!$M$11+T340*'Прогнозная стоимость РСС ИП '!$M$10</f>
        <v>0</v>
      </c>
      <c r="W337" s="39">
        <f>T337</f>
        <v>0</v>
      </c>
      <c r="X337" s="39">
        <f>U337</f>
        <v>0</v>
      </c>
      <c r="Y337" s="39">
        <f>V337</f>
        <v>0</v>
      </c>
      <c r="Z337" s="29"/>
      <c r="AA337" s="29"/>
      <c r="AB337" s="29"/>
      <c r="AC337" s="29"/>
      <c r="AD337" s="29"/>
    </row>
    <row r="338" spans="1:30" s="491" customFormat="1" ht="41.25" hidden="1" customHeight="1">
      <c r="A338" s="492"/>
      <c r="B338" s="643"/>
      <c r="C338" s="513"/>
      <c r="D338" s="514"/>
      <c r="E338" s="495"/>
      <c r="F338" s="496"/>
      <c r="G338" s="646"/>
      <c r="H338" s="688"/>
      <c r="I338" s="649"/>
      <c r="J338" s="650"/>
      <c r="K338" s="650"/>
      <c r="L338" s="650"/>
      <c r="M338" s="651"/>
      <c r="N338" s="652"/>
      <c r="O338" s="653"/>
      <c r="P338" s="654"/>
      <c r="Q338" s="661"/>
      <c r="R338" s="662"/>
      <c r="S338" s="662"/>
      <c r="T338" s="662"/>
      <c r="U338" s="663"/>
      <c r="V338" s="40"/>
      <c r="W338" s="41"/>
      <c r="X338" s="41"/>
      <c r="Y338" s="41"/>
      <c r="Z338" s="29"/>
      <c r="AA338" s="29"/>
      <c r="AB338" s="29"/>
      <c r="AC338" s="29"/>
      <c r="AD338" s="29"/>
    </row>
    <row r="339" spans="1:30" s="491" customFormat="1" ht="41.25" hidden="1" customHeight="1">
      <c r="A339" s="492"/>
      <c r="B339" s="643"/>
      <c r="C339" s="513"/>
      <c r="D339" s="514"/>
      <c r="E339" s="664" t="s">
        <v>29</v>
      </c>
      <c r="F339" s="665"/>
      <c r="G339" s="665"/>
      <c r="H339" s="665"/>
      <c r="I339" s="665"/>
      <c r="J339" s="665"/>
      <c r="K339" s="665"/>
      <c r="L339" s="665"/>
      <c r="M339" s="666"/>
      <c r="N339" s="655"/>
      <c r="O339" s="656"/>
      <c r="P339" s="657"/>
      <c r="Q339" s="667"/>
      <c r="R339" s="689"/>
      <c r="S339" s="689"/>
      <c r="T339" s="689"/>
      <c r="U339" s="690"/>
      <c r="V339" s="42"/>
      <c r="W339" s="41"/>
      <c r="X339" s="41"/>
      <c r="Y339" s="41"/>
      <c r="Z339" s="29"/>
      <c r="AA339" s="29"/>
      <c r="AB339" s="29"/>
      <c r="AC339" s="29"/>
      <c r="AD339" s="29"/>
    </row>
    <row r="340" spans="1:30" s="491" customFormat="1" ht="41.25" hidden="1" customHeight="1">
      <c r="A340" s="492"/>
      <c r="B340" s="643"/>
      <c r="C340" s="513">
        <v>1010</v>
      </c>
      <c r="D340" s="514"/>
      <c r="E340" s="670" t="s">
        <v>30</v>
      </c>
      <c r="F340" s="670"/>
      <c r="G340" s="670"/>
      <c r="H340" s="670"/>
      <c r="I340" s="670"/>
      <c r="J340" s="670"/>
      <c r="K340" s="670"/>
      <c r="L340" s="498">
        <v>33.770000000000003</v>
      </c>
      <c r="M340" s="459">
        <f>L340</f>
        <v>33.770000000000003</v>
      </c>
      <c r="N340" s="655"/>
      <c r="O340" s="656"/>
      <c r="P340" s="657"/>
      <c r="Q340" s="671"/>
      <c r="R340" s="672"/>
      <c r="S340" s="673"/>
      <c r="T340" s="497">
        <f>H337*M340*N337*O337*P337</f>
        <v>0</v>
      </c>
      <c r="U340" s="458">
        <f>T340</f>
        <v>0</v>
      </c>
      <c r="V340" s="42"/>
      <c r="W340" s="39"/>
      <c r="X340" s="41"/>
      <c r="Y340" s="41"/>
      <c r="Z340" s="43">
        <f>T340</f>
        <v>0</v>
      </c>
      <c r="AA340" s="29"/>
      <c r="AB340" s="29"/>
      <c r="AC340" s="29"/>
      <c r="AD340" s="29"/>
    </row>
    <row r="341" spans="1:30" s="491" customFormat="1" ht="41.25" hidden="1" customHeight="1">
      <c r="A341" s="492"/>
      <c r="B341" s="643"/>
      <c r="C341" s="513"/>
      <c r="D341" s="514"/>
      <c r="E341" s="670" t="s">
        <v>31</v>
      </c>
      <c r="F341" s="670"/>
      <c r="G341" s="670"/>
      <c r="H341" s="670"/>
      <c r="I341" s="670"/>
      <c r="J341" s="670"/>
      <c r="K341" s="670"/>
      <c r="L341" s="498">
        <f>ROUND((I337+J337+K337)*2.14%,2)</f>
        <v>12.88</v>
      </c>
      <c r="M341" s="459">
        <f>L341</f>
        <v>12.88</v>
      </c>
      <c r="N341" s="655"/>
      <c r="O341" s="656"/>
      <c r="P341" s="657"/>
      <c r="Q341" s="671"/>
      <c r="R341" s="672"/>
      <c r="S341" s="673"/>
      <c r="T341" s="497">
        <f>H337*M341*N337*O337*P337</f>
        <v>0</v>
      </c>
      <c r="U341" s="458">
        <f>T341</f>
        <v>0</v>
      </c>
      <c r="V341" s="42"/>
      <c r="W341" s="41"/>
      <c r="X341" s="39"/>
      <c r="Y341" s="41"/>
      <c r="Z341" s="29"/>
      <c r="AA341" s="43">
        <f>T341</f>
        <v>0</v>
      </c>
      <c r="AB341" s="29"/>
      <c r="AC341" s="29"/>
      <c r="AD341" s="29"/>
    </row>
    <row r="342" spans="1:30" s="491" customFormat="1" ht="41.25" hidden="1" customHeight="1">
      <c r="A342" s="492"/>
      <c r="B342" s="643"/>
      <c r="C342" s="515"/>
      <c r="D342" s="514"/>
      <c r="E342" s="670" t="s">
        <v>376</v>
      </c>
      <c r="F342" s="670"/>
      <c r="G342" s="670"/>
      <c r="H342" s="670"/>
      <c r="I342" s="670"/>
      <c r="J342" s="670"/>
      <c r="K342" s="670"/>
      <c r="L342" s="498">
        <f>ROUND((I337+J337+K337+L340+L341+L345)*3%,2)+0.01</f>
        <v>20.21</v>
      </c>
      <c r="M342" s="459">
        <f>L342</f>
        <v>20.21</v>
      </c>
      <c r="N342" s="655"/>
      <c r="O342" s="656"/>
      <c r="P342" s="657"/>
      <c r="Q342" s="671"/>
      <c r="R342" s="672"/>
      <c r="S342" s="673"/>
      <c r="T342" s="497">
        <f>H337*M342*N337*O337*P337</f>
        <v>0</v>
      </c>
      <c r="U342" s="458">
        <f>T342</f>
        <v>0</v>
      </c>
      <c r="V342" s="42"/>
      <c r="W342" s="41"/>
      <c r="X342" s="41"/>
      <c r="Y342" s="39"/>
      <c r="Z342" s="29"/>
      <c r="AA342" s="29"/>
      <c r="AB342" s="43">
        <f>T342</f>
        <v>0</v>
      </c>
      <c r="AC342" s="29"/>
      <c r="AD342" s="29"/>
    </row>
    <row r="343" spans="1:30" s="491" customFormat="1" ht="54.75" hidden="1" customHeight="1">
      <c r="A343" s="492"/>
      <c r="B343" s="643"/>
      <c r="C343" s="515"/>
      <c r="D343" s="514"/>
      <c r="E343" s="670" t="s">
        <v>377</v>
      </c>
      <c r="F343" s="670"/>
      <c r="G343" s="670"/>
      <c r="H343" s="670"/>
      <c r="I343" s="670"/>
      <c r="J343" s="670"/>
      <c r="K343" s="670"/>
      <c r="L343" s="498">
        <f>248.86-K337-L340-L341-L345</f>
        <v>0</v>
      </c>
      <c r="M343" s="459">
        <f>L343</f>
        <v>0</v>
      </c>
      <c r="N343" s="655"/>
      <c r="O343" s="656"/>
      <c r="P343" s="657"/>
      <c r="Q343" s="671"/>
      <c r="R343" s="672"/>
      <c r="S343" s="673"/>
      <c r="T343" s="497">
        <f>H337*M343*N337*O337*P337</f>
        <v>0</v>
      </c>
      <c r="U343" s="458">
        <f>T343</f>
        <v>0</v>
      </c>
      <c r="V343" s="42"/>
      <c r="W343" s="41"/>
      <c r="X343" s="41"/>
      <c r="Y343" s="41"/>
      <c r="Z343" s="44"/>
      <c r="AA343" s="29"/>
      <c r="AB343" s="29"/>
      <c r="AC343" s="44">
        <f>T343</f>
        <v>0</v>
      </c>
      <c r="AD343" s="29"/>
    </row>
    <row r="344" spans="1:30" s="491" customFormat="1" ht="45" hidden="1" customHeight="1">
      <c r="A344" s="492"/>
      <c r="B344" s="643"/>
      <c r="C344" s="515"/>
      <c r="D344" s="514"/>
      <c r="E344" s="674"/>
      <c r="F344" s="675"/>
      <c r="G344" s="675"/>
      <c r="H344" s="675"/>
      <c r="I344" s="675"/>
      <c r="J344" s="675"/>
      <c r="K344" s="675"/>
      <c r="L344" s="675"/>
      <c r="M344" s="676"/>
      <c r="N344" s="655"/>
      <c r="O344" s="656"/>
      <c r="P344" s="657"/>
      <c r="Q344" s="677"/>
      <c r="R344" s="678"/>
      <c r="S344" s="678"/>
      <c r="T344" s="678"/>
      <c r="U344" s="679"/>
      <c r="V344" s="45"/>
      <c r="W344" s="41"/>
      <c r="X344" s="41"/>
      <c r="Y344" s="41"/>
      <c r="Z344" s="29"/>
      <c r="AA344" s="44"/>
      <c r="AB344" s="29"/>
      <c r="AC344" s="29"/>
      <c r="AD344" s="29"/>
    </row>
    <row r="345" spans="1:30" s="491" customFormat="1" ht="45" hidden="1" customHeight="1" thickBot="1">
      <c r="A345" s="492"/>
      <c r="B345" s="644"/>
      <c r="C345" s="516"/>
      <c r="D345" s="517"/>
      <c r="E345" s="680" t="s">
        <v>369</v>
      </c>
      <c r="F345" s="680" t="s">
        <v>306</v>
      </c>
      <c r="G345" s="680"/>
      <c r="H345" s="680"/>
      <c r="I345" s="680"/>
      <c r="J345" s="680"/>
      <c r="K345" s="680"/>
      <c r="L345" s="499">
        <f>ROUND((I337+J337+K337+L340)*3.93%,2)</f>
        <v>24.97</v>
      </c>
      <c r="M345" s="46">
        <f>L345</f>
        <v>24.97</v>
      </c>
      <c r="N345" s="658"/>
      <c r="O345" s="659"/>
      <c r="P345" s="660"/>
      <c r="Q345" s="681"/>
      <c r="R345" s="682"/>
      <c r="S345" s="683"/>
      <c r="T345" s="500">
        <f>H337*M345*N337*O337*P337</f>
        <v>0</v>
      </c>
      <c r="U345" s="47">
        <f>T345</f>
        <v>0</v>
      </c>
      <c r="V345" s="48"/>
      <c r="W345" s="41"/>
      <c r="X345" s="41"/>
      <c r="Y345" s="41"/>
      <c r="Z345" s="29"/>
      <c r="AA345" s="29"/>
      <c r="AB345" s="44"/>
      <c r="AC345" s="29"/>
      <c r="AD345" s="44">
        <f>T345</f>
        <v>0</v>
      </c>
    </row>
    <row r="346" spans="1:30" s="488" customFormat="1" ht="150" hidden="1" customHeight="1" thickBot="1">
      <c r="A346" s="492"/>
      <c r="B346" s="642">
        <v>1</v>
      </c>
      <c r="C346" s="511">
        <v>10</v>
      </c>
      <c r="D346" s="512"/>
      <c r="E346" s="493" t="s">
        <v>433</v>
      </c>
      <c r="F346" s="487" t="s">
        <v>434</v>
      </c>
      <c r="G346" s="645" t="s">
        <v>388</v>
      </c>
      <c r="H346" s="688">
        <v>0</v>
      </c>
      <c r="I346" s="494">
        <v>0</v>
      </c>
      <c r="J346" s="494">
        <v>49.09</v>
      </c>
      <c r="K346" s="494">
        <v>0</v>
      </c>
      <c r="L346" s="494">
        <f>SUM(L348:L354)</f>
        <v>10.31</v>
      </c>
      <c r="M346" s="33">
        <f>SUM(I346:L346)</f>
        <v>59.400000000000006</v>
      </c>
      <c r="N346" s="501">
        <v>1</v>
      </c>
      <c r="O346" s="502">
        <v>1</v>
      </c>
      <c r="P346" s="37">
        <v>1</v>
      </c>
      <c r="Q346" s="34">
        <f>H346*I346*N346*O346*P346</f>
        <v>0</v>
      </c>
      <c r="R346" s="35">
        <f>H346*J346*N346*O346*P346</f>
        <v>0</v>
      </c>
      <c r="S346" s="36">
        <f>H346*K346*N346*O346*P346</f>
        <v>0</v>
      </c>
      <c r="T346" s="36">
        <f>H346*L346*N346*O346*P346</f>
        <v>0</v>
      </c>
      <c r="U346" s="37">
        <f>SUM(Q346:T346)</f>
        <v>0</v>
      </c>
      <c r="V346" s="38">
        <f>(Q346+R346+S346+T350+T351+T352+T354)*'Прогнозная стоимость РСС ИП '!$M$11+T349*'Прогнозная стоимость РСС ИП '!$M$10</f>
        <v>0</v>
      </c>
      <c r="W346" s="39">
        <f>T346</f>
        <v>0</v>
      </c>
      <c r="X346" s="39">
        <f>U346</f>
        <v>0</v>
      </c>
      <c r="Y346" s="39">
        <f>V346</f>
        <v>0</v>
      </c>
      <c r="Z346" s="29"/>
      <c r="AA346" s="29"/>
      <c r="AB346" s="29"/>
      <c r="AC346" s="29"/>
      <c r="AD346" s="29"/>
    </row>
    <row r="347" spans="1:30" s="488" customFormat="1" ht="41.25" hidden="1" customHeight="1">
      <c r="A347" s="492"/>
      <c r="B347" s="643"/>
      <c r="C347" s="513"/>
      <c r="D347" s="514"/>
      <c r="E347" s="495"/>
      <c r="F347" s="496"/>
      <c r="G347" s="646"/>
      <c r="H347" s="688"/>
      <c r="I347" s="649"/>
      <c r="J347" s="650"/>
      <c r="K347" s="650"/>
      <c r="L347" s="650"/>
      <c r="M347" s="651"/>
      <c r="N347" s="652"/>
      <c r="O347" s="653"/>
      <c r="P347" s="654"/>
      <c r="Q347" s="661"/>
      <c r="R347" s="662"/>
      <c r="S347" s="662"/>
      <c r="T347" s="662"/>
      <c r="U347" s="663"/>
      <c r="V347" s="40"/>
      <c r="W347" s="41"/>
      <c r="X347" s="41"/>
      <c r="Y347" s="41"/>
      <c r="Z347" s="29"/>
      <c r="AA347" s="29"/>
      <c r="AB347" s="29"/>
      <c r="AC347" s="29"/>
      <c r="AD347" s="29"/>
    </row>
    <row r="348" spans="1:30" s="488" customFormat="1" ht="41.25" hidden="1" customHeight="1">
      <c r="A348" s="492"/>
      <c r="B348" s="643"/>
      <c r="C348" s="513"/>
      <c r="D348" s="514"/>
      <c r="E348" s="664" t="s">
        <v>29</v>
      </c>
      <c r="F348" s="665"/>
      <c r="G348" s="665"/>
      <c r="H348" s="665"/>
      <c r="I348" s="665"/>
      <c r="J348" s="665"/>
      <c r="K348" s="665"/>
      <c r="L348" s="665"/>
      <c r="M348" s="666"/>
      <c r="N348" s="655"/>
      <c r="O348" s="656"/>
      <c r="P348" s="657"/>
      <c r="Q348" s="667"/>
      <c r="R348" s="689"/>
      <c r="S348" s="689"/>
      <c r="T348" s="689"/>
      <c r="U348" s="690"/>
      <c r="V348" s="42"/>
      <c r="W348" s="41"/>
      <c r="X348" s="41"/>
      <c r="Y348" s="41"/>
      <c r="Z348" s="29"/>
      <c r="AA348" s="29"/>
      <c r="AB348" s="29"/>
      <c r="AC348" s="29"/>
      <c r="AD348" s="29"/>
    </row>
    <row r="349" spans="1:30" s="488" customFormat="1" ht="41.25" hidden="1" customHeight="1">
      <c r="A349" s="492"/>
      <c r="B349" s="643"/>
      <c r="C349" s="513">
        <v>1010</v>
      </c>
      <c r="D349" s="514"/>
      <c r="E349" s="670" t="s">
        <v>30</v>
      </c>
      <c r="F349" s="670"/>
      <c r="G349" s="670"/>
      <c r="H349" s="670"/>
      <c r="I349" s="670"/>
      <c r="J349" s="670"/>
      <c r="K349" s="670"/>
      <c r="L349" s="498">
        <v>5.39</v>
      </c>
      <c r="M349" s="459">
        <f>L349</f>
        <v>5.39</v>
      </c>
      <c r="N349" s="655"/>
      <c r="O349" s="656"/>
      <c r="P349" s="657"/>
      <c r="Q349" s="671"/>
      <c r="R349" s="672"/>
      <c r="S349" s="673"/>
      <c r="T349" s="457">
        <f>H346*M349*N346*O346*P346</f>
        <v>0</v>
      </c>
      <c r="U349" s="458">
        <f>T349</f>
        <v>0</v>
      </c>
      <c r="V349" s="42"/>
      <c r="W349" s="39"/>
      <c r="X349" s="41"/>
      <c r="Y349" s="41"/>
      <c r="Z349" s="43">
        <f>T349</f>
        <v>0</v>
      </c>
      <c r="AA349" s="29"/>
      <c r="AB349" s="29"/>
      <c r="AC349" s="29"/>
      <c r="AD349" s="29"/>
    </row>
    <row r="350" spans="1:30" s="488" customFormat="1" ht="41.25" hidden="1" customHeight="1">
      <c r="A350" s="492"/>
      <c r="B350" s="643"/>
      <c r="C350" s="513"/>
      <c r="D350" s="514"/>
      <c r="E350" s="670" t="s">
        <v>31</v>
      </c>
      <c r="F350" s="670"/>
      <c r="G350" s="670"/>
      <c r="H350" s="670"/>
      <c r="I350" s="670"/>
      <c r="J350" s="670"/>
      <c r="K350" s="670"/>
      <c r="L350" s="498">
        <f>ROUND((I346+J346+K346)*2.14%,2)</f>
        <v>1.05</v>
      </c>
      <c r="M350" s="459">
        <f>L350</f>
        <v>1.05</v>
      </c>
      <c r="N350" s="655"/>
      <c r="O350" s="656"/>
      <c r="P350" s="657"/>
      <c r="Q350" s="671"/>
      <c r="R350" s="672"/>
      <c r="S350" s="673"/>
      <c r="T350" s="457">
        <f>H346*M350*N346*O346*P346</f>
        <v>0</v>
      </c>
      <c r="U350" s="458">
        <f>T350</f>
        <v>0</v>
      </c>
      <c r="V350" s="42"/>
      <c r="W350" s="41"/>
      <c r="X350" s="39"/>
      <c r="Y350" s="41"/>
      <c r="Z350" s="29"/>
      <c r="AA350" s="43">
        <f>T350</f>
        <v>0</v>
      </c>
      <c r="AB350" s="29"/>
      <c r="AC350" s="29"/>
      <c r="AD350" s="29"/>
    </row>
    <row r="351" spans="1:30" s="488" customFormat="1" ht="41.25" hidden="1" customHeight="1">
      <c r="A351" s="492"/>
      <c r="B351" s="643"/>
      <c r="C351" s="515"/>
      <c r="D351" s="514"/>
      <c r="E351" s="670" t="s">
        <v>376</v>
      </c>
      <c r="F351" s="670"/>
      <c r="G351" s="670"/>
      <c r="H351" s="670"/>
      <c r="I351" s="670"/>
      <c r="J351" s="670"/>
      <c r="K351" s="670"/>
      <c r="L351" s="498">
        <f>ROUND((I346+J346+K346+L349+L350+L354)*3%,2)</f>
        <v>1.73</v>
      </c>
      <c r="M351" s="459">
        <f>L351</f>
        <v>1.73</v>
      </c>
      <c r="N351" s="655"/>
      <c r="O351" s="656"/>
      <c r="P351" s="657"/>
      <c r="Q351" s="671"/>
      <c r="R351" s="672"/>
      <c r="S351" s="673"/>
      <c r="T351" s="457">
        <f>H346*M351*N346*O346*P346</f>
        <v>0</v>
      </c>
      <c r="U351" s="458">
        <f>T351</f>
        <v>0</v>
      </c>
      <c r="V351" s="42"/>
      <c r="W351" s="41"/>
      <c r="X351" s="41"/>
      <c r="Y351" s="39"/>
      <c r="Z351" s="29"/>
      <c r="AA351" s="29"/>
      <c r="AB351" s="43">
        <f>T351</f>
        <v>0</v>
      </c>
      <c r="AC351" s="29"/>
      <c r="AD351" s="29"/>
    </row>
    <row r="352" spans="1:30" s="488" customFormat="1" ht="54.75" hidden="1" customHeight="1">
      <c r="A352" s="492"/>
      <c r="B352" s="643"/>
      <c r="C352" s="515"/>
      <c r="D352" s="514"/>
      <c r="E352" s="670" t="s">
        <v>377</v>
      </c>
      <c r="F352" s="670"/>
      <c r="G352" s="670"/>
      <c r="H352" s="670"/>
      <c r="I352" s="670"/>
      <c r="J352" s="670"/>
      <c r="K352" s="670"/>
      <c r="L352" s="498">
        <f>8.58-K346-L349-L350-L354</f>
        <v>0</v>
      </c>
      <c r="M352" s="459">
        <f>L352</f>
        <v>0</v>
      </c>
      <c r="N352" s="655"/>
      <c r="O352" s="656"/>
      <c r="P352" s="657"/>
      <c r="Q352" s="671"/>
      <c r="R352" s="672"/>
      <c r="S352" s="673"/>
      <c r="T352" s="457">
        <f>H346*M352*N346*O346*P346</f>
        <v>0</v>
      </c>
      <c r="U352" s="458">
        <f>T352</f>
        <v>0</v>
      </c>
      <c r="V352" s="42"/>
      <c r="W352" s="41"/>
      <c r="X352" s="41"/>
      <c r="Y352" s="41"/>
      <c r="Z352" s="44"/>
      <c r="AA352" s="29"/>
      <c r="AB352" s="29"/>
      <c r="AC352" s="44">
        <f>T352</f>
        <v>0</v>
      </c>
      <c r="AD352" s="29"/>
    </row>
    <row r="353" spans="1:30" s="488" customFormat="1" ht="45" hidden="1" customHeight="1">
      <c r="A353" s="492"/>
      <c r="B353" s="643"/>
      <c r="C353" s="515"/>
      <c r="D353" s="514"/>
      <c r="E353" s="674"/>
      <c r="F353" s="675"/>
      <c r="G353" s="675"/>
      <c r="H353" s="675"/>
      <c r="I353" s="675"/>
      <c r="J353" s="675"/>
      <c r="K353" s="675"/>
      <c r="L353" s="675"/>
      <c r="M353" s="676"/>
      <c r="N353" s="655"/>
      <c r="O353" s="656"/>
      <c r="P353" s="657"/>
      <c r="Q353" s="677"/>
      <c r="R353" s="678"/>
      <c r="S353" s="678"/>
      <c r="T353" s="678"/>
      <c r="U353" s="679"/>
      <c r="V353" s="45"/>
      <c r="W353" s="41"/>
      <c r="X353" s="41"/>
      <c r="Y353" s="41"/>
      <c r="Z353" s="29"/>
      <c r="AA353" s="44"/>
      <c r="AB353" s="29"/>
      <c r="AC353" s="29"/>
      <c r="AD353" s="29"/>
    </row>
    <row r="354" spans="1:30" s="488" customFormat="1" ht="45" hidden="1" customHeight="1" thickBot="1">
      <c r="A354" s="492"/>
      <c r="B354" s="644"/>
      <c r="C354" s="516"/>
      <c r="D354" s="517"/>
      <c r="E354" s="680" t="s">
        <v>369</v>
      </c>
      <c r="F354" s="680" t="s">
        <v>306</v>
      </c>
      <c r="G354" s="680"/>
      <c r="H354" s="680"/>
      <c r="I354" s="680"/>
      <c r="J354" s="680"/>
      <c r="K354" s="680"/>
      <c r="L354" s="499">
        <f>ROUND((I346+J346+K346+L349)*3.93%,2)</f>
        <v>2.14</v>
      </c>
      <c r="M354" s="46">
        <f>L354</f>
        <v>2.14</v>
      </c>
      <c r="N354" s="658"/>
      <c r="O354" s="659"/>
      <c r="P354" s="660"/>
      <c r="Q354" s="681"/>
      <c r="R354" s="682"/>
      <c r="S354" s="683"/>
      <c r="T354" s="500">
        <f>H346*M354*N346*O346*P346</f>
        <v>0</v>
      </c>
      <c r="U354" s="47">
        <f>T354</f>
        <v>0</v>
      </c>
      <c r="V354" s="48"/>
      <c r="W354" s="41"/>
      <c r="X354" s="41"/>
      <c r="Y354" s="41"/>
      <c r="Z354" s="29"/>
      <c r="AA354" s="29"/>
      <c r="AB354" s="44"/>
      <c r="AC354" s="29"/>
      <c r="AD354" s="44">
        <f>T354</f>
        <v>0</v>
      </c>
    </row>
    <row r="355" spans="1:30" s="505" customFormat="1" ht="142.5" hidden="1" customHeight="1">
      <c r="A355" s="510"/>
      <c r="B355" s="642">
        <v>1</v>
      </c>
      <c r="C355" s="511">
        <v>5</v>
      </c>
      <c r="D355" s="512"/>
      <c r="E355" s="493" t="s">
        <v>684</v>
      </c>
      <c r="F355" s="490" t="s">
        <v>685</v>
      </c>
      <c r="G355" s="645" t="s">
        <v>388</v>
      </c>
      <c r="H355" s="688">
        <v>0</v>
      </c>
      <c r="I355" s="494">
        <v>12265.09</v>
      </c>
      <c r="J355" s="494">
        <v>1550.05</v>
      </c>
      <c r="K355" s="494">
        <v>1496.4</v>
      </c>
      <c r="L355" s="494">
        <f>SUM(L357:L363)</f>
        <v>3217.79</v>
      </c>
      <c r="M355" s="33">
        <f>SUM(I355:L355)</f>
        <v>18529.329999999998</v>
      </c>
      <c r="N355" s="501">
        <v>1</v>
      </c>
      <c r="O355" s="502">
        <v>1</v>
      </c>
      <c r="P355" s="37">
        <v>1</v>
      </c>
      <c r="Q355" s="34">
        <f>H355*I355*N355*O355*P355</f>
        <v>0</v>
      </c>
      <c r="R355" s="35">
        <f>H355*J355*N355*O355*P355</f>
        <v>0</v>
      </c>
      <c r="S355" s="36">
        <f>H355*K355*N355*O355*P355</f>
        <v>0</v>
      </c>
      <c r="T355" s="36">
        <f>H355*L355*N355*O355*P355</f>
        <v>0</v>
      </c>
      <c r="U355" s="37">
        <f>SUM(Q355:T355)</f>
        <v>0</v>
      </c>
      <c r="V355" s="38">
        <f>(Q355+R355+S355+T359+T360+T361+T363)*'Прогнозная стоимость РСС ИП '!$M$11+T358*'Прогнозная стоимость РСС ИП '!$M$10</f>
        <v>0</v>
      </c>
      <c r="W355" s="503">
        <f>T355</f>
        <v>0</v>
      </c>
      <c r="X355" s="503">
        <f>U355</f>
        <v>0</v>
      </c>
      <c r="Y355" s="503">
        <f>V355</f>
        <v>0</v>
      </c>
      <c r="Z355" s="504"/>
      <c r="AA355" s="504"/>
      <c r="AB355" s="504"/>
      <c r="AC355" s="504"/>
      <c r="AD355" s="504"/>
    </row>
    <row r="356" spans="1:30" s="505" customFormat="1" ht="41.25" hidden="1" customHeight="1">
      <c r="A356" s="510"/>
      <c r="B356" s="643"/>
      <c r="C356" s="513"/>
      <c r="D356" s="514"/>
      <c r="E356" s="495"/>
      <c r="F356" s="496"/>
      <c r="G356" s="646"/>
      <c r="H356" s="731"/>
      <c r="I356" s="649"/>
      <c r="J356" s="650"/>
      <c r="K356" s="650"/>
      <c r="L356" s="650"/>
      <c r="M356" s="651"/>
      <c r="N356" s="652"/>
      <c r="O356" s="653"/>
      <c r="P356" s="654"/>
      <c r="Q356" s="661"/>
      <c r="R356" s="662"/>
      <c r="S356" s="662"/>
      <c r="T356" s="662"/>
      <c r="U356" s="663"/>
      <c r="V356" s="40"/>
      <c r="W356" s="504"/>
      <c r="X356" s="504"/>
      <c r="Y356" s="504"/>
      <c r="Z356" s="504"/>
      <c r="AA356" s="504"/>
      <c r="AB356" s="504"/>
      <c r="AC356" s="504"/>
      <c r="AD356" s="504"/>
    </row>
    <row r="357" spans="1:30" s="505" customFormat="1" ht="41.25" hidden="1" customHeight="1">
      <c r="A357" s="510"/>
      <c r="B357" s="643"/>
      <c r="C357" s="513"/>
      <c r="D357" s="514"/>
      <c r="E357" s="664" t="s">
        <v>29</v>
      </c>
      <c r="F357" s="665"/>
      <c r="G357" s="665"/>
      <c r="H357" s="665"/>
      <c r="I357" s="665"/>
      <c r="J357" s="665"/>
      <c r="K357" s="665"/>
      <c r="L357" s="665"/>
      <c r="M357" s="666"/>
      <c r="N357" s="655"/>
      <c r="O357" s="656"/>
      <c r="P357" s="657"/>
      <c r="Q357" s="667"/>
      <c r="R357" s="732"/>
      <c r="S357" s="732"/>
      <c r="T357" s="732"/>
      <c r="U357" s="733"/>
      <c r="V357" s="42"/>
      <c r="W357" s="504"/>
      <c r="X357" s="504"/>
      <c r="Y357" s="504"/>
      <c r="Z357" s="504"/>
      <c r="AA357" s="504"/>
      <c r="AB357" s="504"/>
      <c r="AC357" s="504"/>
      <c r="AD357" s="504"/>
    </row>
    <row r="358" spans="1:30" s="505" customFormat="1" ht="41.25" hidden="1" customHeight="1">
      <c r="A358" s="510"/>
      <c r="B358" s="643"/>
      <c r="C358" s="513">
        <v>55</v>
      </c>
      <c r="D358" s="514"/>
      <c r="E358" s="670" t="s">
        <v>30</v>
      </c>
      <c r="F358" s="670"/>
      <c r="G358" s="670"/>
      <c r="H358" s="670"/>
      <c r="I358" s="670"/>
      <c r="J358" s="670"/>
      <c r="K358" s="670"/>
      <c r="L358" s="498">
        <v>1682.56</v>
      </c>
      <c r="M358" s="459">
        <f>L358</f>
        <v>1682.56</v>
      </c>
      <c r="N358" s="655"/>
      <c r="O358" s="656"/>
      <c r="P358" s="657"/>
      <c r="Q358" s="671"/>
      <c r="R358" s="672"/>
      <c r="S358" s="673"/>
      <c r="T358" s="497">
        <f>H355*M358*N355*O355*P355</f>
        <v>0</v>
      </c>
      <c r="U358" s="458">
        <f>T358</f>
        <v>0</v>
      </c>
      <c r="V358" s="42"/>
      <c r="W358" s="503"/>
      <c r="X358" s="504"/>
      <c r="Y358" s="504"/>
      <c r="Z358" s="503">
        <f>T358</f>
        <v>0</v>
      </c>
      <c r="AA358" s="504"/>
      <c r="AB358" s="504"/>
      <c r="AC358" s="504"/>
      <c r="AD358" s="504"/>
    </row>
    <row r="359" spans="1:30" s="505" customFormat="1" ht="41.25" hidden="1" customHeight="1">
      <c r="A359" s="510"/>
      <c r="B359" s="643"/>
      <c r="C359" s="513"/>
      <c r="D359" s="514"/>
      <c r="E359" s="670" t="s">
        <v>31</v>
      </c>
      <c r="F359" s="670"/>
      <c r="G359" s="670"/>
      <c r="H359" s="670"/>
      <c r="I359" s="670"/>
      <c r="J359" s="670"/>
      <c r="K359" s="670"/>
      <c r="L359" s="498">
        <f>ROUND((I355+J355+K355)*2.14%,2)</f>
        <v>327.67</v>
      </c>
      <c r="M359" s="459">
        <f>L359</f>
        <v>327.67</v>
      </c>
      <c r="N359" s="655"/>
      <c r="O359" s="656"/>
      <c r="P359" s="657"/>
      <c r="Q359" s="671"/>
      <c r="R359" s="672"/>
      <c r="S359" s="673"/>
      <c r="T359" s="497">
        <f>H355*M359*N355*O355*P355</f>
        <v>0</v>
      </c>
      <c r="U359" s="458">
        <f>T359</f>
        <v>0</v>
      </c>
      <c r="V359" s="42"/>
      <c r="W359" s="504"/>
      <c r="X359" s="503"/>
      <c r="Y359" s="504"/>
      <c r="Z359" s="504"/>
      <c r="AA359" s="503">
        <f>T359</f>
        <v>0</v>
      </c>
      <c r="AB359" s="504"/>
      <c r="AC359" s="504"/>
      <c r="AD359" s="504"/>
    </row>
    <row r="360" spans="1:30" s="505" customFormat="1" ht="41.25" hidden="1" customHeight="1">
      <c r="A360" s="510"/>
      <c r="B360" s="643"/>
      <c r="C360" s="515"/>
      <c r="D360" s="514"/>
      <c r="E360" s="670" t="s">
        <v>376</v>
      </c>
      <c r="F360" s="670"/>
      <c r="G360" s="670"/>
      <c r="H360" s="670"/>
      <c r="I360" s="670"/>
      <c r="J360" s="670"/>
      <c r="K360" s="670"/>
      <c r="L360" s="498">
        <f>ROUND((I355+J355+K355+L358+L359+L363)*3%,2)</f>
        <v>539.69000000000005</v>
      </c>
      <c r="M360" s="459">
        <f>L360</f>
        <v>539.69000000000005</v>
      </c>
      <c r="N360" s="655"/>
      <c r="O360" s="656"/>
      <c r="P360" s="657"/>
      <c r="Q360" s="671"/>
      <c r="R360" s="672"/>
      <c r="S360" s="673"/>
      <c r="T360" s="497">
        <f>H355*M360*N355*O355*P355</f>
        <v>0</v>
      </c>
      <c r="U360" s="458">
        <f>T360</f>
        <v>0</v>
      </c>
      <c r="V360" s="42"/>
      <c r="W360" s="504"/>
      <c r="X360" s="504"/>
      <c r="Y360" s="503"/>
      <c r="Z360" s="504"/>
      <c r="AA360" s="504"/>
      <c r="AB360" s="503">
        <f>T360</f>
        <v>0</v>
      </c>
      <c r="AC360" s="504"/>
      <c r="AD360" s="504"/>
    </row>
    <row r="361" spans="1:30" s="505" customFormat="1" ht="54.75" hidden="1" customHeight="1">
      <c r="A361" s="510"/>
      <c r="B361" s="643"/>
      <c r="C361" s="515"/>
      <c r="D361" s="514"/>
      <c r="E361" s="670" t="s">
        <v>377</v>
      </c>
      <c r="F361" s="670"/>
      <c r="G361" s="670"/>
      <c r="H361" s="670"/>
      <c r="I361" s="670"/>
      <c r="J361" s="670"/>
      <c r="K361" s="670"/>
      <c r="L361" s="498">
        <f>4174.5-K355-L358-L359-L363</f>
        <v>0</v>
      </c>
      <c r="M361" s="459">
        <f>L361</f>
        <v>0</v>
      </c>
      <c r="N361" s="655"/>
      <c r="O361" s="656"/>
      <c r="P361" s="657"/>
      <c r="Q361" s="671"/>
      <c r="R361" s="672"/>
      <c r="S361" s="673"/>
      <c r="T361" s="460">
        <f>H355*M361*N355*O355*P355</f>
        <v>0</v>
      </c>
      <c r="U361" s="458">
        <f>T361</f>
        <v>0</v>
      </c>
      <c r="V361" s="42"/>
      <c r="W361" s="504"/>
      <c r="X361" s="504"/>
      <c r="Y361" s="504"/>
      <c r="Z361" s="506"/>
      <c r="AA361" s="504"/>
      <c r="AB361" s="504"/>
      <c r="AC361" s="506">
        <f>T361</f>
        <v>0</v>
      </c>
      <c r="AD361" s="504"/>
    </row>
    <row r="362" spans="1:30" s="505" customFormat="1" ht="45" hidden="1" customHeight="1">
      <c r="A362" s="510"/>
      <c r="B362" s="643"/>
      <c r="C362" s="515"/>
      <c r="D362" s="514"/>
      <c r="E362" s="674"/>
      <c r="F362" s="675"/>
      <c r="G362" s="675"/>
      <c r="H362" s="675"/>
      <c r="I362" s="675"/>
      <c r="J362" s="675"/>
      <c r="K362" s="675"/>
      <c r="L362" s="675"/>
      <c r="M362" s="676"/>
      <c r="N362" s="655"/>
      <c r="O362" s="656"/>
      <c r="P362" s="657"/>
      <c r="Q362" s="677"/>
      <c r="R362" s="678"/>
      <c r="S362" s="678"/>
      <c r="T362" s="678"/>
      <c r="U362" s="679"/>
      <c r="V362" s="45"/>
      <c r="W362" s="504"/>
      <c r="X362" s="504"/>
      <c r="Y362" s="504"/>
      <c r="Z362" s="504"/>
      <c r="AA362" s="506"/>
      <c r="AB362" s="504"/>
      <c r="AC362" s="504"/>
      <c r="AD362" s="504"/>
    </row>
    <row r="363" spans="1:30" s="505" customFormat="1" ht="45" hidden="1" customHeight="1" thickBot="1">
      <c r="A363" s="510"/>
      <c r="B363" s="644"/>
      <c r="C363" s="516"/>
      <c r="D363" s="517"/>
      <c r="E363" s="680" t="s">
        <v>369</v>
      </c>
      <c r="F363" s="680" t="s">
        <v>306</v>
      </c>
      <c r="G363" s="680"/>
      <c r="H363" s="680"/>
      <c r="I363" s="680"/>
      <c r="J363" s="680"/>
      <c r="K363" s="680"/>
      <c r="L363" s="499">
        <f>ROUND((I355+J355+K355+L358)*3.93%,2)</f>
        <v>667.87</v>
      </c>
      <c r="M363" s="46">
        <f>L363</f>
        <v>667.87</v>
      </c>
      <c r="N363" s="658"/>
      <c r="O363" s="659"/>
      <c r="P363" s="660"/>
      <c r="Q363" s="681"/>
      <c r="R363" s="682"/>
      <c r="S363" s="683"/>
      <c r="T363" s="385">
        <f>H355*M363*N355*O355*P355</f>
        <v>0</v>
      </c>
      <c r="U363" s="47">
        <f>T363</f>
        <v>0</v>
      </c>
      <c r="V363" s="48"/>
      <c r="W363" s="504"/>
      <c r="X363" s="504"/>
      <c r="Y363" s="504"/>
      <c r="Z363" s="504"/>
      <c r="AA363" s="504"/>
      <c r="AB363" s="506"/>
      <c r="AC363" s="504"/>
      <c r="AD363" s="506">
        <f>T363</f>
        <v>0</v>
      </c>
    </row>
    <row r="364" spans="1:30" s="505" customFormat="1" ht="132.75" hidden="1" customHeight="1">
      <c r="A364" s="510"/>
      <c r="B364" s="642">
        <v>1</v>
      </c>
      <c r="C364" s="511">
        <v>5</v>
      </c>
      <c r="D364" s="512"/>
      <c r="E364" s="493" t="s">
        <v>686</v>
      </c>
      <c r="F364" s="490" t="s">
        <v>689</v>
      </c>
      <c r="G364" s="645" t="s">
        <v>388</v>
      </c>
      <c r="H364" s="688">
        <v>0</v>
      </c>
      <c r="I364" s="494">
        <v>23661.58</v>
      </c>
      <c r="J364" s="494">
        <v>1560.42</v>
      </c>
      <c r="K364" s="494">
        <v>2031.57</v>
      </c>
      <c r="L364" s="494">
        <f>SUM(L366:L372)</f>
        <v>4348.25</v>
      </c>
      <c r="M364" s="33">
        <f>SUM(I364:L364)</f>
        <v>31601.82</v>
      </c>
      <c r="N364" s="501">
        <v>1</v>
      </c>
      <c r="O364" s="502">
        <v>1</v>
      </c>
      <c r="P364" s="37">
        <v>1</v>
      </c>
      <c r="Q364" s="34">
        <f>H364*I364*N364*O364*P364</f>
        <v>0</v>
      </c>
      <c r="R364" s="35">
        <f>H364*J364*N364*O364*P364</f>
        <v>0</v>
      </c>
      <c r="S364" s="36">
        <f>H364*K364*N364*O364*P364</f>
        <v>0</v>
      </c>
      <c r="T364" s="36">
        <f>H364*L364*N364*O364*P364</f>
        <v>0</v>
      </c>
      <c r="U364" s="37">
        <f>SUM(Q364:T364)</f>
        <v>0</v>
      </c>
      <c r="V364" s="38">
        <f>(Q364+R364+S364+T368+T369+T370+T372)*'Прогнозная стоимость РСС ИП '!$M$11+T367*'Прогнозная стоимость РСС ИП '!$M$10</f>
        <v>0</v>
      </c>
      <c r="W364" s="503">
        <f>T364</f>
        <v>0</v>
      </c>
      <c r="X364" s="503">
        <f>U364</f>
        <v>0</v>
      </c>
      <c r="Y364" s="503">
        <f>V364</f>
        <v>0</v>
      </c>
      <c r="Z364" s="504"/>
      <c r="AA364" s="504"/>
      <c r="AB364" s="504"/>
      <c r="AC364" s="504"/>
      <c r="AD364" s="504"/>
    </row>
    <row r="365" spans="1:30" s="505" customFormat="1" ht="41.25" hidden="1" customHeight="1">
      <c r="A365" s="510"/>
      <c r="B365" s="643"/>
      <c r="C365" s="513"/>
      <c r="D365" s="514"/>
      <c r="E365" s="495"/>
      <c r="F365" s="496"/>
      <c r="G365" s="646"/>
      <c r="H365" s="731"/>
      <c r="I365" s="649"/>
      <c r="J365" s="650"/>
      <c r="K365" s="650"/>
      <c r="L365" s="650"/>
      <c r="M365" s="651"/>
      <c r="N365" s="652"/>
      <c r="O365" s="653"/>
      <c r="P365" s="654"/>
      <c r="Q365" s="661"/>
      <c r="R365" s="662"/>
      <c r="S365" s="662"/>
      <c r="T365" s="662"/>
      <c r="U365" s="663"/>
      <c r="V365" s="40"/>
      <c r="W365" s="504"/>
      <c r="X365" s="504"/>
      <c r="Y365" s="504"/>
      <c r="Z365" s="504"/>
      <c r="AA365" s="504"/>
      <c r="AB365" s="504"/>
      <c r="AC365" s="504"/>
      <c r="AD365" s="504"/>
    </row>
    <row r="366" spans="1:30" s="505" customFormat="1" ht="41.25" hidden="1" customHeight="1">
      <c r="A366" s="510"/>
      <c r="B366" s="643"/>
      <c r="C366" s="513"/>
      <c r="D366" s="514"/>
      <c r="E366" s="664" t="s">
        <v>29</v>
      </c>
      <c r="F366" s="665"/>
      <c r="G366" s="665"/>
      <c r="H366" s="665"/>
      <c r="I366" s="665"/>
      <c r="J366" s="665"/>
      <c r="K366" s="665"/>
      <c r="L366" s="665"/>
      <c r="M366" s="666"/>
      <c r="N366" s="655"/>
      <c r="O366" s="656"/>
      <c r="P366" s="657"/>
      <c r="Q366" s="667"/>
      <c r="R366" s="732"/>
      <c r="S366" s="732"/>
      <c r="T366" s="732"/>
      <c r="U366" s="733"/>
      <c r="V366" s="42"/>
      <c r="W366" s="504"/>
      <c r="X366" s="504"/>
      <c r="Y366" s="504"/>
      <c r="Z366" s="504"/>
      <c r="AA366" s="504"/>
      <c r="AB366" s="504"/>
      <c r="AC366" s="504"/>
      <c r="AD366" s="504"/>
    </row>
    <row r="367" spans="1:30" s="505" customFormat="1" ht="41.25" hidden="1" customHeight="1">
      <c r="A367" s="510"/>
      <c r="B367" s="643"/>
      <c r="C367" s="513">
        <v>55</v>
      </c>
      <c r="D367" s="514"/>
      <c r="E367" s="670" t="s">
        <v>30</v>
      </c>
      <c r="F367" s="670"/>
      <c r="G367" s="670"/>
      <c r="H367" s="670"/>
      <c r="I367" s="670"/>
      <c r="J367" s="670"/>
      <c r="K367" s="670"/>
      <c r="L367" s="498">
        <v>1706.45</v>
      </c>
      <c r="M367" s="459">
        <f>L367</f>
        <v>1706.45</v>
      </c>
      <c r="N367" s="655"/>
      <c r="O367" s="656"/>
      <c r="P367" s="657"/>
      <c r="Q367" s="671"/>
      <c r="R367" s="672"/>
      <c r="S367" s="673"/>
      <c r="T367" s="497">
        <f>H364*M367*N364*O364*P364</f>
        <v>0</v>
      </c>
      <c r="U367" s="458">
        <f>T367</f>
        <v>0</v>
      </c>
      <c r="V367" s="42"/>
      <c r="W367" s="503"/>
      <c r="X367" s="504"/>
      <c r="Y367" s="504"/>
      <c r="Z367" s="503">
        <f>T367</f>
        <v>0</v>
      </c>
      <c r="AA367" s="504"/>
      <c r="AB367" s="504"/>
      <c r="AC367" s="504"/>
      <c r="AD367" s="504"/>
    </row>
    <row r="368" spans="1:30" s="505" customFormat="1" ht="41.25" hidden="1" customHeight="1">
      <c r="A368" s="510"/>
      <c r="B368" s="643"/>
      <c r="C368" s="513"/>
      <c r="D368" s="514"/>
      <c r="E368" s="670" t="s">
        <v>31</v>
      </c>
      <c r="F368" s="670"/>
      <c r="G368" s="670"/>
      <c r="H368" s="670"/>
      <c r="I368" s="670"/>
      <c r="J368" s="670"/>
      <c r="K368" s="670"/>
      <c r="L368" s="498">
        <f>ROUND((I364+J364+K364)*2.14%,2)</f>
        <v>583.23</v>
      </c>
      <c r="M368" s="459">
        <f>L368</f>
        <v>583.23</v>
      </c>
      <c r="N368" s="655"/>
      <c r="O368" s="656"/>
      <c r="P368" s="657"/>
      <c r="Q368" s="671"/>
      <c r="R368" s="672"/>
      <c r="S368" s="673"/>
      <c r="T368" s="497">
        <f>H364*M368*N364*O364*P364</f>
        <v>0</v>
      </c>
      <c r="U368" s="458">
        <f>T368</f>
        <v>0</v>
      </c>
      <c r="V368" s="42"/>
      <c r="W368" s="504"/>
      <c r="X368" s="503"/>
      <c r="Y368" s="504"/>
      <c r="Z368" s="504"/>
      <c r="AA368" s="503">
        <f>T368</f>
        <v>0</v>
      </c>
      <c r="AB368" s="504"/>
      <c r="AC368" s="504"/>
      <c r="AD368" s="504"/>
    </row>
    <row r="369" spans="1:30" s="505" customFormat="1" ht="41.25" hidden="1" customHeight="1">
      <c r="A369" s="510"/>
      <c r="B369" s="643"/>
      <c r="C369" s="515"/>
      <c r="D369" s="514"/>
      <c r="E369" s="670" t="s">
        <v>376</v>
      </c>
      <c r="F369" s="670"/>
      <c r="G369" s="670"/>
      <c r="H369" s="670"/>
      <c r="I369" s="670"/>
      <c r="J369" s="670"/>
      <c r="K369" s="670"/>
      <c r="L369" s="498">
        <f>ROUND((I364+J364+K364+L367+L368+L372)*3%,2)</f>
        <v>920.44</v>
      </c>
      <c r="M369" s="459">
        <f>L369</f>
        <v>920.44</v>
      </c>
      <c r="N369" s="655"/>
      <c r="O369" s="656"/>
      <c r="P369" s="657"/>
      <c r="Q369" s="671"/>
      <c r="R369" s="672"/>
      <c r="S369" s="673"/>
      <c r="T369" s="497">
        <f>H364*M369*N364*O364*P364</f>
        <v>0</v>
      </c>
      <c r="U369" s="458">
        <f>T369</f>
        <v>0</v>
      </c>
      <c r="V369" s="42"/>
      <c r="W369" s="504"/>
      <c r="X369" s="504"/>
      <c r="Y369" s="503"/>
      <c r="Z369" s="504"/>
      <c r="AA369" s="504"/>
      <c r="AB369" s="503">
        <f>T369</f>
        <v>0</v>
      </c>
      <c r="AC369" s="504"/>
      <c r="AD369" s="504"/>
    </row>
    <row r="370" spans="1:30" s="505" customFormat="1" ht="54.75" hidden="1" customHeight="1">
      <c r="A370" s="510"/>
      <c r="B370" s="643"/>
      <c r="C370" s="515"/>
      <c r="D370" s="514"/>
      <c r="E370" s="670" t="s">
        <v>377</v>
      </c>
      <c r="F370" s="670"/>
      <c r="G370" s="670"/>
      <c r="H370" s="670"/>
      <c r="I370" s="670"/>
      <c r="J370" s="670"/>
      <c r="K370" s="670"/>
      <c r="L370" s="498">
        <f>5459.38-K364-L367-L368-L372</f>
        <v>0</v>
      </c>
      <c r="M370" s="459">
        <f>L370</f>
        <v>0</v>
      </c>
      <c r="N370" s="655"/>
      <c r="O370" s="656"/>
      <c r="P370" s="657"/>
      <c r="Q370" s="671"/>
      <c r="R370" s="672"/>
      <c r="S370" s="673"/>
      <c r="T370" s="460">
        <f>H364*M370*N364*O364*P364</f>
        <v>0</v>
      </c>
      <c r="U370" s="458">
        <f>T370</f>
        <v>0</v>
      </c>
      <c r="V370" s="42"/>
      <c r="W370" s="504"/>
      <c r="X370" s="504"/>
      <c r="Y370" s="504"/>
      <c r="Z370" s="506"/>
      <c r="AA370" s="504"/>
      <c r="AB370" s="504"/>
      <c r="AC370" s="506">
        <f>T370</f>
        <v>0</v>
      </c>
      <c r="AD370" s="504"/>
    </row>
    <row r="371" spans="1:30" s="505" customFormat="1" ht="45" hidden="1" customHeight="1">
      <c r="A371" s="510"/>
      <c r="B371" s="643"/>
      <c r="C371" s="515"/>
      <c r="D371" s="514"/>
      <c r="E371" s="674"/>
      <c r="F371" s="675"/>
      <c r="G371" s="675"/>
      <c r="H371" s="675"/>
      <c r="I371" s="675"/>
      <c r="J371" s="675"/>
      <c r="K371" s="675"/>
      <c r="L371" s="675"/>
      <c r="M371" s="676"/>
      <c r="N371" s="655"/>
      <c r="O371" s="656"/>
      <c r="P371" s="657"/>
      <c r="Q371" s="677"/>
      <c r="R371" s="678"/>
      <c r="S371" s="678"/>
      <c r="T371" s="678"/>
      <c r="U371" s="679"/>
      <c r="V371" s="45"/>
      <c r="W371" s="504"/>
      <c r="X371" s="504"/>
      <c r="Y371" s="504"/>
      <c r="Z371" s="504"/>
      <c r="AA371" s="506"/>
      <c r="AB371" s="504"/>
      <c r="AC371" s="504"/>
      <c r="AD371" s="504"/>
    </row>
    <row r="372" spans="1:30" s="505" customFormat="1" ht="45" hidden="1" customHeight="1" thickBot="1">
      <c r="A372" s="510"/>
      <c r="B372" s="644"/>
      <c r="C372" s="516"/>
      <c r="D372" s="517"/>
      <c r="E372" s="680" t="s">
        <v>369</v>
      </c>
      <c r="F372" s="680" t="s">
        <v>306</v>
      </c>
      <c r="G372" s="680"/>
      <c r="H372" s="680"/>
      <c r="I372" s="680"/>
      <c r="J372" s="680"/>
      <c r="K372" s="680"/>
      <c r="L372" s="499">
        <f>ROUND((I364+J364+K364+L367)*3.93%,2)</f>
        <v>1138.1300000000001</v>
      </c>
      <c r="M372" s="46">
        <f>L372</f>
        <v>1138.1300000000001</v>
      </c>
      <c r="N372" s="658"/>
      <c r="O372" s="659"/>
      <c r="P372" s="660"/>
      <c r="Q372" s="681"/>
      <c r="R372" s="682"/>
      <c r="S372" s="683"/>
      <c r="T372" s="385">
        <f>H364*M372*N364*O364*P364</f>
        <v>0</v>
      </c>
      <c r="U372" s="47">
        <f>T372</f>
        <v>0</v>
      </c>
      <c r="V372" s="48"/>
      <c r="W372" s="504"/>
      <c r="X372" s="504"/>
      <c r="Y372" s="504"/>
      <c r="Z372" s="504"/>
      <c r="AA372" s="504"/>
      <c r="AB372" s="506"/>
      <c r="AC372" s="504"/>
      <c r="AD372" s="506">
        <f>T372</f>
        <v>0</v>
      </c>
    </row>
    <row r="373" spans="1:30" s="505" customFormat="1" ht="142.5" hidden="1" customHeight="1">
      <c r="A373" s="510"/>
      <c r="B373" s="642">
        <v>1</v>
      </c>
      <c r="C373" s="511">
        <v>5</v>
      </c>
      <c r="D373" s="512"/>
      <c r="E373" s="493" t="s">
        <v>687</v>
      </c>
      <c r="F373" s="490" t="s">
        <v>690</v>
      </c>
      <c r="G373" s="645" t="s">
        <v>388</v>
      </c>
      <c r="H373" s="688">
        <v>0</v>
      </c>
      <c r="I373" s="494">
        <v>27669.82</v>
      </c>
      <c r="J373" s="494">
        <v>1560.42</v>
      </c>
      <c r="K373" s="494">
        <v>2800.32</v>
      </c>
      <c r="L373" s="494">
        <f>SUM(L375:L381)</f>
        <v>4800.4299999999994</v>
      </c>
      <c r="M373" s="33">
        <f>SUM(I373:L373)</f>
        <v>36830.99</v>
      </c>
      <c r="N373" s="501">
        <v>1</v>
      </c>
      <c r="O373" s="502">
        <v>1</v>
      </c>
      <c r="P373" s="37">
        <v>1</v>
      </c>
      <c r="Q373" s="34">
        <f>H373*I373*N373*O373*P373</f>
        <v>0</v>
      </c>
      <c r="R373" s="35">
        <f>H373*J373*N373*O373*P373</f>
        <v>0</v>
      </c>
      <c r="S373" s="36">
        <f>H373*K373*N373*O373*P373</f>
        <v>0</v>
      </c>
      <c r="T373" s="36">
        <f>H373*L373*N373*O373*P373</f>
        <v>0</v>
      </c>
      <c r="U373" s="37">
        <f>SUM(Q373:T373)</f>
        <v>0</v>
      </c>
      <c r="V373" s="38">
        <f>(Q373+R373+S373+T377+T378+T379+T381)*'Прогнозная стоимость РСС ИП '!$M$11+T376*'Прогнозная стоимость РСС ИП '!$M$10</f>
        <v>0</v>
      </c>
      <c r="W373" s="503">
        <f>T373</f>
        <v>0</v>
      </c>
      <c r="X373" s="503">
        <f>U373</f>
        <v>0</v>
      </c>
      <c r="Y373" s="503">
        <f>V373</f>
        <v>0</v>
      </c>
      <c r="Z373" s="504"/>
      <c r="AA373" s="504"/>
      <c r="AB373" s="504"/>
      <c r="AC373" s="504"/>
      <c r="AD373" s="504"/>
    </row>
    <row r="374" spans="1:30" s="505" customFormat="1" ht="41.25" hidden="1" customHeight="1">
      <c r="A374" s="510"/>
      <c r="B374" s="643"/>
      <c r="C374" s="513"/>
      <c r="D374" s="514"/>
      <c r="E374" s="495"/>
      <c r="F374" s="496"/>
      <c r="G374" s="646"/>
      <c r="H374" s="731"/>
      <c r="I374" s="649"/>
      <c r="J374" s="650"/>
      <c r="K374" s="650"/>
      <c r="L374" s="650"/>
      <c r="M374" s="651"/>
      <c r="N374" s="652"/>
      <c r="O374" s="653"/>
      <c r="P374" s="654"/>
      <c r="Q374" s="661"/>
      <c r="R374" s="662"/>
      <c r="S374" s="662"/>
      <c r="T374" s="662"/>
      <c r="U374" s="663"/>
      <c r="V374" s="40"/>
      <c r="W374" s="504"/>
      <c r="X374" s="504"/>
      <c r="Y374" s="504"/>
      <c r="Z374" s="504"/>
      <c r="AA374" s="504"/>
      <c r="AB374" s="504"/>
      <c r="AC374" s="504"/>
      <c r="AD374" s="504"/>
    </row>
    <row r="375" spans="1:30" s="505" customFormat="1" ht="41.25" hidden="1" customHeight="1">
      <c r="A375" s="510"/>
      <c r="B375" s="643"/>
      <c r="C375" s="513"/>
      <c r="D375" s="514"/>
      <c r="E375" s="664" t="s">
        <v>29</v>
      </c>
      <c r="F375" s="665"/>
      <c r="G375" s="665"/>
      <c r="H375" s="665"/>
      <c r="I375" s="665"/>
      <c r="J375" s="665"/>
      <c r="K375" s="665"/>
      <c r="L375" s="665"/>
      <c r="M375" s="666"/>
      <c r="N375" s="655"/>
      <c r="O375" s="656"/>
      <c r="P375" s="657"/>
      <c r="Q375" s="667"/>
      <c r="R375" s="732"/>
      <c r="S375" s="732"/>
      <c r="T375" s="732"/>
      <c r="U375" s="733"/>
      <c r="V375" s="42"/>
      <c r="W375" s="504"/>
      <c r="X375" s="504"/>
      <c r="Y375" s="504"/>
      <c r="Z375" s="504"/>
      <c r="AA375" s="504"/>
      <c r="AB375" s="504"/>
      <c r="AC375" s="504"/>
      <c r="AD375" s="504"/>
    </row>
    <row r="376" spans="1:30" s="505" customFormat="1" ht="41.25" hidden="1" customHeight="1">
      <c r="A376" s="510"/>
      <c r="B376" s="643"/>
      <c r="C376" s="513">
        <v>55</v>
      </c>
      <c r="D376" s="514"/>
      <c r="E376" s="670" t="s">
        <v>30</v>
      </c>
      <c r="F376" s="670"/>
      <c r="G376" s="670"/>
      <c r="H376" s="670"/>
      <c r="I376" s="670"/>
      <c r="J376" s="670"/>
      <c r="K376" s="670"/>
      <c r="L376" s="498">
        <v>1716</v>
      </c>
      <c r="M376" s="459">
        <f>L376</f>
        <v>1716</v>
      </c>
      <c r="N376" s="655"/>
      <c r="O376" s="656"/>
      <c r="P376" s="657"/>
      <c r="Q376" s="671"/>
      <c r="R376" s="672"/>
      <c r="S376" s="673"/>
      <c r="T376" s="497">
        <f>H373*M376*N373*O373*P373</f>
        <v>0</v>
      </c>
      <c r="U376" s="458">
        <f>T376</f>
        <v>0</v>
      </c>
      <c r="V376" s="42"/>
      <c r="W376" s="503"/>
      <c r="X376" s="504"/>
      <c r="Y376" s="504"/>
      <c r="Z376" s="503">
        <f>T376</f>
        <v>0</v>
      </c>
      <c r="AA376" s="504"/>
      <c r="AB376" s="504"/>
      <c r="AC376" s="504"/>
      <c r="AD376" s="504"/>
    </row>
    <row r="377" spans="1:30" s="505" customFormat="1" ht="41.25" hidden="1" customHeight="1">
      <c r="A377" s="510"/>
      <c r="B377" s="643"/>
      <c r="C377" s="513"/>
      <c r="D377" s="514"/>
      <c r="E377" s="670" t="s">
        <v>31</v>
      </c>
      <c r="F377" s="670"/>
      <c r="G377" s="670"/>
      <c r="H377" s="670"/>
      <c r="I377" s="670"/>
      <c r="J377" s="670"/>
      <c r="K377" s="670"/>
      <c r="L377" s="498">
        <f>ROUND((I373+J373+K373)*2.14%,2)</f>
        <v>685.45</v>
      </c>
      <c r="M377" s="459">
        <f>L377</f>
        <v>685.45</v>
      </c>
      <c r="N377" s="655"/>
      <c r="O377" s="656"/>
      <c r="P377" s="657"/>
      <c r="Q377" s="671"/>
      <c r="R377" s="672"/>
      <c r="S377" s="673"/>
      <c r="T377" s="497">
        <f>H373*M377*N373*O373*P373</f>
        <v>0</v>
      </c>
      <c r="U377" s="458">
        <f>T377</f>
        <v>0</v>
      </c>
      <c r="V377" s="42"/>
      <c r="W377" s="504"/>
      <c r="X377" s="503"/>
      <c r="Y377" s="504"/>
      <c r="Z377" s="504"/>
      <c r="AA377" s="503">
        <f>T377</f>
        <v>0</v>
      </c>
      <c r="AB377" s="504"/>
      <c r="AC377" s="504"/>
      <c r="AD377" s="504"/>
    </row>
    <row r="378" spans="1:30" s="505" customFormat="1" ht="41.25" hidden="1" customHeight="1">
      <c r="A378" s="510"/>
      <c r="B378" s="643"/>
      <c r="C378" s="515"/>
      <c r="D378" s="514"/>
      <c r="E378" s="670" t="s">
        <v>376</v>
      </c>
      <c r="F378" s="670"/>
      <c r="G378" s="670"/>
      <c r="H378" s="670"/>
      <c r="I378" s="670"/>
      <c r="J378" s="670"/>
      <c r="K378" s="670"/>
      <c r="L378" s="498">
        <f>ROUND((I373+J373+K373+L376+L377+L381)*3%,2)-0.01</f>
        <v>1072.74</v>
      </c>
      <c r="M378" s="459">
        <f>L378</f>
        <v>1072.74</v>
      </c>
      <c r="N378" s="655"/>
      <c r="O378" s="656"/>
      <c r="P378" s="657"/>
      <c r="Q378" s="671"/>
      <c r="R378" s="672"/>
      <c r="S378" s="673"/>
      <c r="T378" s="497">
        <f>H373*M378*N373*O373*P373</f>
        <v>0</v>
      </c>
      <c r="U378" s="458">
        <f>T378</f>
        <v>0</v>
      </c>
      <c r="V378" s="42"/>
      <c r="W378" s="504"/>
      <c r="X378" s="504"/>
      <c r="Y378" s="503"/>
      <c r="Z378" s="504"/>
      <c r="AA378" s="504"/>
      <c r="AB378" s="503">
        <f>T378</f>
        <v>0</v>
      </c>
      <c r="AC378" s="504"/>
      <c r="AD378" s="504"/>
    </row>
    <row r="379" spans="1:30" s="505" customFormat="1" ht="54.75" hidden="1" customHeight="1">
      <c r="A379" s="510"/>
      <c r="B379" s="643"/>
      <c r="C379" s="515"/>
      <c r="D379" s="514"/>
      <c r="E379" s="670" t="s">
        <v>377</v>
      </c>
      <c r="F379" s="670"/>
      <c r="G379" s="670"/>
      <c r="H379" s="670"/>
      <c r="I379" s="670"/>
      <c r="J379" s="670"/>
      <c r="K379" s="670"/>
      <c r="L379" s="498">
        <f>6528.01-K373-L376-L377-L381</f>
        <v>0</v>
      </c>
      <c r="M379" s="459">
        <f>L379</f>
        <v>0</v>
      </c>
      <c r="N379" s="655"/>
      <c r="O379" s="656"/>
      <c r="P379" s="657"/>
      <c r="Q379" s="671"/>
      <c r="R379" s="672"/>
      <c r="S379" s="673"/>
      <c r="T379" s="460">
        <f>H373*M379*N373*O373*P373</f>
        <v>0</v>
      </c>
      <c r="U379" s="458">
        <f>T379</f>
        <v>0</v>
      </c>
      <c r="V379" s="42"/>
      <c r="W379" s="504"/>
      <c r="X379" s="504"/>
      <c r="Y379" s="504"/>
      <c r="Z379" s="506"/>
      <c r="AA379" s="504"/>
      <c r="AB379" s="504"/>
      <c r="AC379" s="506">
        <f>T379</f>
        <v>0</v>
      </c>
      <c r="AD379" s="504"/>
    </row>
    <row r="380" spans="1:30" s="505" customFormat="1" ht="45" hidden="1" customHeight="1">
      <c r="A380" s="510"/>
      <c r="B380" s="643"/>
      <c r="C380" s="515"/>
      <c r="D380" s="514"/>
      <c r="E380" s="674"/>
      <c r="F380" s="675"/>
      <c r="G380" s="675"/>
      <c r="H380" s="675"/>
      <c r="I380" s="675"/>
      <c r="J380" s="675"/>
      <c r="K380" s="675"/>
      <c r="L380" s="675"/>
      <c r="M380" s="676"/>
      <c r="N380" s="655"/>
      <c r="O380" s="656"/>
      <c r="P380" s="657"/>
      <c r="Q380" s="677"/>
      <c r="R380" s="678"/>
      <c r="S380" s="678"/>
      <c r="T380" s="678"/>
      <c r="U380" s="679"/>
      <c r="V380" s="45"/>
      <c r="W380" s="504"/>
      <c r="X380" s="504"/>
      <c r="Y380" s="504"/>
      <c r="Z380" s="504"/>
      <c r="AA380" s="506"/>
      <c r="AB380" s="504"/>
      <c r="AC380" s="504"/>
      <c r="AD380" s="504"/>
    </row>
    <row r="381" spans="1:30" s="505" customFormat="1" ht="45" hidden="1" customHeight="1" thickBot="1">
      <c r="A381" s="510"/>
      <c r="B381" s="644"/>
      <c r="C381" s="516"/>
      <c r="D381" s="517"/>
      <c r="E381" s="680" t="s">
        <v>369</v>
      </c>
      <c r="F381" s="680" t="s">
        <v>306</v>
      </c>
      <c r="G381" s="680"/>
      <c r="H381" s="680"/>
      <c r="I381" s="680"/>
      <c r="J381" s="680"/>
      <c r="K381" s="680"/>
      <c r="L381" s="499">
        <f>ROUND((I373+J373+K373+L376)*3.93%,2)</f>
        <v>1326.24</v>
      </c>
      <c r="M381" s="46">
        <f>L381</f>
        <v>1326.24</v>
      </c>
      <c r="N381" s="658"/>
      <c r="O381" s="659"/>
      <c r="P381" s="660"/>
      <c r="Q381" s="681"/>
      <c r="R381" s="682"/>
      <c r="S381" s="683"/>
      <c r="T381" s="385">
        <f>H373*M381*N373*O373*P373</f>
        <v>0</v>
      </c>
      <c r="U381" s="47">
        <f>T381</f>
        <v>0</v>
      </c>
      <c r="V381" s="48"/>
      <c r="W381" s="504"/>
      <c r="X381" s="504"/>
      <c r="Y381" s="504"/>
      <c r="Z381" s="504"/>
      <c r="AA381" s="504"/>
      <c r="AB381" s="506"/>
      <c r="AC381" s="504"/>
      <c r="AD381" s="506">
        <f>T381</f>
        <v>0</v>
      </c>
    </row>
    <row r="382" spans="1:30" s="505" customFormat="1" ht="127.5" hidden="1" customHeight="1">
      <c r="A382" s="510"/>
      <c r="B382" s="642">
        <v>1</v>
      </c>
      <c r="C382" s="511">
        <v>5</v>
      </c>
      <c r="D382" s="512"/>
      <c r="E382" s="493" t="s">
        <v>688</v>
      </c>
      <c r="F382" s="490" t="s">
        <v>691</v>
      </c>
      <c r="G382" s="645" t="s">
        <v>388</v>
      </c>
      <c r="H382" s="688">
        <v>0</v>
      </c>
      <c r="I382" s="494">
        <v>40181.949999999997</v>
      </c>
      <c r="J382" s="494">
        <v>1560.42</v>
      </c>
      <c r="K382" s="494">
        <v>3953.46</v>
      </c>
      <c r="L382" s="494">
        <f>SUM(L384:L390)</f>
        <v>6094.0199999999995</v>
      </c>
      <c r="M382" s="33">
        <f>SUM(I382:L382)</f>
        <v>51789.849999999991</v>
      </c>
      <c r="N382" s="501">
        <v>1</v>
      </c>
      <c r="O382" s="502">
        <v>1</v>
      </c>
      <c r="P382" s="37">
        <v>1</v>
      </c>
      <c r="Q382" s="34">
        <f>H382*I382*N382*O382*P382</f>
        <v>0</v>
      </c>
      <c r="R382" s="35">
        <f>H382*J382*N382*O382*P382</f>
        <v>0</v>
      </c>
      <c r="S382" s="36">
        <f>H382*K382*N382*O382*P382</f>
        <v>0</v>
      </c>
      <c r="T382" s="36">
        <f>H382*L382*N382*O382*P382</f>
        <v>0</v>
      </c>
      <c r="U382" s="37">
        <f>SUM(Q382:T382)</f>
        <v>0</v>
      </c>
      <c r="V382" s="38">
        <f>(Q382+R382+S382+T386+T387+T388+T390)*'Прогнозная стоимость РСС ИП '!$M$11+T385*'Прогнозная стоимость РСС ИП '!$M$10</f>
        <v>0</v>
      </c>
      <c r="W382" s="503">
        <f>T382</f>
        <v>0</v>
      </c>
      <c r="X382" s="503">
        <f>U382</f>
        <v>0</v>
      </c>
      <c r="Y382" s="503">
        <f>V382</f>
        <v>0</v>
      </c>
      <c r="Z382" s="504"/>
      <c r="AA382" s="504"/>
      <c r="AB382" s="504"/>
      <c r="AC382" s="504"/>
      <c r="AD382" s="504"/>
    </row>
    <row r="383" spans="1:30" s="505" customFormat="1" ht="41.25" hidden="1" customHeight="1">
      <c r="A383" s="510"/>
      <c r="B383" s="643"/>
      <c r="C383" s="513"/>
      <c r="D383" s="514"/>
      <c r="E383" s="495"/>
      <c r="F383" s="496"/>
      <c r="G383" s="646"/>
      <c r="H383" s="731"/>
      <c r="I383" s="649"/>
      <c r="J383" s="650"/>
      <c r="K383" s="650"/>
      <c r="L383" s="650"/>
      <c r="M383" s="651"/>
      <c r="N383" s="652"/>
      <c r="O383" s="653"/>
      <c r="P383" s="654"/>
      <c r="Q383" s="661"/>
      <c r="R383" s="662"/>
      <c r="S383" s="662"/>
      <c r="T383" s="662"/>
      <c r="U383" s="663"/>
      <c r="V383" s="40"/>
      <c r="W383" s="504"/>
      <c r="X383" s="504"/>
      <c r="Y383" s="504"/>
      <c r="Z383" s="504"/>
      <c r="AA383" s="504"/>
      <c r="AB383" s="504"/>
      <c r="AC383" s="504"/>
      <c r="AD383" s="504"/>
    </row>
    <row r="384" spans="1:30" s="505" customFormat="1" ht="41.25" hidden="1" customHeight="1">
      <c r="A384" s="510"/>
      <c r="B384" s="643"/>
      <c r="C384" s="513"/>
      <c r="D384" s="514"/>
      <c r="E384" s="664" t="s">
        <v>29</v>
      </c>
      <c r="F384" s="665"/>
      <c r="G384" s="665"/>
      <c r="H384" s="665"/>
      <c r="I384" s="665"/>
      <c r="J384" s="665"/>
      <c r="K384" s="665"/>
      <c r="L384" s="665"/>
      <c r="M384" s="666"/>
      <c r="N384" s="655"/>
      <c r="O384" s="656"/>
      <c r="P384" s="657"/>
      <c r="Q384" s="667"/>
      <c r="R384" s="732"/>
      <c r="S384" s="732"/>
      <c r="T384" s="732"/>
      <c r="U384" s="733"/>
      <c r="V384" s="42"/>
      <c r="W384" s="504"/>
      <c r="X384" s="504"/>
      <c r="Y384" s="504"/>
      <c r="Z384" s="504"/>
      <c r="AA384" s="504"/>
      <c r="AB384" s="504"/>
      <c r="AC384" s="504"/>
      <c r="AD384" s="504"/>
    </row>
    <row r="385" spans="1:30" s="505" customFormat="1" ht="41.25" hidden="1" customHeight="1">
      <c r="A385" s="510"/>
      <c r="B385" s="643"/>
      <c r="C385" s="513">
        <v>55</v>
      </c>
      <c r="D385" s="514"/>
      <c r="E385" s="670" t="s">
        <v>30</v>
      </c>
      <c r="F385" s="670"/>
      <c r="G385" s="670"/>
      <c r="H385" s="670"/>
      <c r="I385" s="670"/>
      <c r="J385" s="670"/>
      <c r="K385" s="670"/>
      <c r="L385" s="498">
        <v>1743.33</v>
      </c>
      <c r="M385" s="459">
        <f>L385</f>
        <v>1743.33</v>
      </c>
      <c r="N385" s="655"/>
      <c r="O385" s="656"/>
      <c r="P385" s="657"/>
      <c r="Q385" s="671"/>
      <c r="R385" s="672"/>
      <c r="S385" s="673"/>
      <c r="T385" s="497">
        <f>H382*M385*N382*O382*P382</f>
        <v>0</v>
      </c>
      <c r="U385" s="458">
        <f>T385</f>
        <v>0</v>
      </c>
      <c r="V385" s="42"/>
      <c r="W385" s="503"/>
      <c r="X385" s="504"/>
      <c r="Y385" s="504"/>
      <c r="Z385" s="503">
        <f>T385</f>
        <v>0</v>
      </c>
      <c r="AA385" s="504"/>
      <c r="AB385" s="504"/>
      <c r="AC385" s="504"/>
      <c r="AD385" s="504"/>
    </row>
    <row r="386" spans="1:30" s="505" customFormat="1" ht="41.25" hidden="1" customHeight="1">
      <c r="A386" s="510"/>
      <c r="B386" s="643"/>
      <c r="C386" s="513"/>
      <c r="D386" s="514"/>
      <c r="E386" s="670" t="s">
        <v>31</v>
      </c>
      <c r="F386" s="670"/>
      <c r="G386" s="670"/>
      <c r="H386" s="670"/>
      <c r="I386" s="670"/>
      <c r="J386" s="670"/>
      <c r="K386" s="670"/>
      <c r="L386" s="498">
        <f>ROUND((I382+J382+K382)*2.14%,2)</f>
        <v>977.89</v>
      </c>
      <c r="M386" s="459">
        <f>L386</f>
        <v>977.89</v>
      </c>
      <c r="N386" s="655"/>
      <c r="O386" s="656"/>
      <c r="P386" s="657"/>
      <c r="Q386" s="671"/>
      <c r="R386" s="672"/>
      <c r="S386" s="673"/>
      <c r="T386" s="497">
        <f>H382*M386*N382*O382*P382</f>
        <v>0</v>
      </c>
      <c r="U386" s="458">
        <f>T386</f>
        <v>0</v>
      </c>
      <c r="V386" s="42"/>
      <c r="W386" s="504"/>
      <c r="X386" s="503"/>
      <c r="Y386" s="504"/>
      <c r="Z386" s="504"/>
      <c r="AA386" s="503">
        <f>T386</f>
        <v>0</v>
      </c>
      <c r="AB386" s="504"/>
      <c r="AC386" s="504"/>
      <c r="AD386" s="504"/>
    </row>
    <row r="387" spans="1:30" s="505" customFormat="1" ht="41.25" hidden="1" customHeight="1">
      <c r="A387" s="510"/>
      <c r="B387" s="643"/>
      <c r="C387" s="515"/>
      <c r="D387" s="514"/>
      <c r="E387" s="670" t="s">
        <v>376</v>
      </c>
      <c r="F387" s="670"/>
      <c r="G387" s="670"/>
      <c r="H387" s="670"/>
      <c r="I387" s="670"/>
      <c r="J387" s="670"/>
      <c r="K387" s="670"/>
      <c r="L387" s="498">
        <f>ROUND((I382+J382+K382+L385+L386+L390)*3%,2)</f>
        <v>1508.44</v>
      </c>
      <c r="M387" s="459">
        <f>L387</f>
        <v>1508.44</v>
      </c>
      <c r="N387" s="655"/>
      <c r="O387" s="656"/>
      <c r="P387" s="657"/>
      <c r="Q387" s="671"/>
      <c r="R387" s="672"/>
      <c r="S387" s="673"/>
      <c r="T387" s="497">
        <f>H382*M387*N382*O382*P382</f>
        <v>0</v>
      </c>
      <c r="U387" s="458">
        <f>T387</f>
        <v>0</v>
      </c>
      <c r="V387" s="42"/>
      <c r="W387" s="504"/>
      <c r="X387" s="504"/>
      <c r="Y387" s="503"/>
      <c r="Z387" s="504"/>
      <c r="AA387" s="504"/>
      <c r="AB387" s="503">
        <f>T387</f>
        <v>0</v>
      </c>
      <c r="AC387" s="504"/>
      <c r="AD387" s="504"/>
    </row>
    <row r="388" spans="1:30" s="505" customFormat="1" ht="54.75" hidden="1" customHeight="1">
      <c r="A388" s="510"/>
      <c r="B388" s="643"/>
      <c r="C388" s="515"/>
      <c r="D388" s="514"/>
      <c r="E388" s="670" t="s">
        <v>377</v>
      </c>
      <c r="F388" s="670"/>
      <c r="G388" s="670"/>
      <c r="H388" s="670"/>
      <c r="I388" s="670"/>
      <c r="J388" s="670"/>
      <c r="K388" s="670"/>
      <c r="L388" s="498">
        <f>8539.04-K382-L385-L386-L390</f>
        <v>0</v>
      </c>
      <c r="M388" s="459">
        <f>L388</f>
        <v>0</v>
      </c>
      <c r="N388" s="655"/>
      <c r="O388" s="656"/>
      <c r="P388" s="657"/>
      <c r="Q388" s="671"/>
      <c r="R388" s="672"/>
      <c r="S388" s="673"/>
      <c r="T388" s="460">
        <f>H382*M388*N382*O382*P382</f>
        <v>0</v>
      </c>
      <c r="U388" s="458">
        <f>T388</f>
        <v>0</v>
      </c>
      <c r="V388" s="42"/>
      <c r="W388" s="504"/>
      <c r="X388" s="504"/>
      <c r="Y388" s="504"/>
      <c r="Z388" s="506"/>
      <c r="AA388" s="504"/>
      <c r="AB388" s="504"/>
      <c r="AC388" s="506">
        <f>T388</f>
        <v>0</v>
      </c>
      <c r="AD388" s="504"/>
    </row>
    <row r="389" spans="1:30" s="505" customFormat="1" ht="45" hidden="1" customHeight="1">
      <c r="A389" s="510"/>
      <c r="B389" s="643"/>
      <c r="C389" s="515"/>
      <c r="D389" s="514"/>
      <c r="E389" s="674"/>
      <c r="F389" s="675"/>
      <c r="G389" s="675"/>
      <c r="H389" s="675"/>
      <c r="I389" s="675"/>
      <c r="J389" s="675"/>
      <c r="K389" s="675"/>
      <c r="L389" s="675"/>
      <c r="M389" s="676"/>
      <c r="N389" s="655"/>
      <c r="O389" s="656"/>
      <c r="P389" s="657"/>
      <c r="Q389" s="677"/>
      <c r="R389" s="678"/>
      <c r="S389" s="678"/>
      <c r="T389" s="678"/>
      <c r="U389" s="679"/>
      <c r="V389" s="45"/>
      <c r="W389" s="504"/>
      <c r="X389" s="504"/>
      <c r="Y389" s="504"/>
      <c r="Z389" s="504"/>
      <c r="AA389" s="506"/>
      <c r="AB389" s="504"/>
      <c r="AC389" s="504"/>
      <c r="AD389" s="504"/>
    </row>
    <row r="390" spans="1:30" s="505" customFormat="1" ht="45" hidden="1" customHeight="1" thickBot="1">
      <c r="A390" s="510"/>
      <c r="B390" s="644"/>
      <c r="C390" s="516"/>
      <c r="D390" s="517"/>
      <c r="E390" s="680" t="s">
        <v>369</v>
      </c>
      <c r="F390" s="680" t="s">
        <v>306</v>
      </c>
      <c r="G390" s="680"/>
      <c r="H390" s="680"/>
      <c r="I390" s="680"/>
      <c r="J390" s="680"/>
      <c r="K390" s="680"/>
      <c r="L390" s="499">
        <f>ROUND((I382+J382+K382+L385)*3.93%,2)</f>
        <v>1864.36</v>
      </c>
      <c r="M390" s="46">
        <f>L390</f>
        <v>1864.36</v>
      </c>
      <c r="N390" s="658"/>
      <c r="O390" s="659"/>
      <c r="P390" s="660"/>
      <c r="Q390" s="681"/>
      <c r="R390" s="682"/>
      <c r="S390" s="683"/>
      <c r="T390" s="385">
        <f>H382*M390*N382*O382*P382</f>
        <v>0</v>
      </c>
      <c r="U390" s="47">
        <f>T390</f>
        <v>0</v>
      </c>
      <c r="V390" s="48"/>
      <c r="W390" s="504"/>
      <c r="X390" s="504"/>
      <c r="Y390" s="504"/>
      <c r="Z390" s="504"/>
      <c r="AA390" s="504"/>
      <c r="AB390" s="506"/>
      <c r="AC390" s="504"/>
      <c r="AD390" s="506">
        <f>T390</f>
        <v>0</v>
      </c>
    </row>
    <row r="391" spans="1:30" s="505" customFormat="1" ht="151.5" hidden="1" customHeight="1">
      <c r="A391" s="510"/>
      <c r="B391" s="642">
        <v>1</v>
      </c>
      <c r="C391" s="511">
        <v>5</v>
      </c>
      <c r="D391" s="512"/>
      <c r="E391" s="493" t="s">
        <v>752</v>
      </c>
      <c r="F391" s="490" t="s">
        <v>753</v>
      </c>
      <c r="G391" s="645" t="s">
        <v>388</v>
      </c>
      <c r="H391" s="688">
        <v>0</v>
      </c>
      <c r="I391" s="494">
        <v>1060.31</v>
      </c>
      <c r="J391" s="494">
        <v>55.99</v>
      </c>
      <c r="K391" s="494">
        <v>199.77</v>
      </c>
      <c r="L391" s="494">
        <f>SUM(L393:L399)</f>
        <v>200.85</v>
      </c>
      <c r="M391" s="33">
        <f>SUM(I391:L391)</f>
        <v>1516.9199999999998</v>
      </c>
      <c r="N391" s="501">
        <v>1</v>
      </c>
      <c r="O391" s="502">
        <v>1</v>
      </c>
      <c r="P391" s="37">
        <v>1</v>
      </c>
      <c r="Q391" s="34">
        <f>H391*I391*N391*O391*P391</f>
        <v>0</v>
      </c>
      <c r="R391" s="35">
        <f>H391*J391*N391*O391*P391</f>
        <v>0</v>
      </c>
      <c r="S391" s="36">
        <f>H391*K391*N391*O391*P391</f>
        <v>0</v>
      </c>
      <c r="T391" s="36">
        <f>H391*L391*N391*O391*P391</f>
        <v>0</v>
      </c>
      <c r="U391" s="37">
        <f>SUM(Q391:T391)</f>
        <v>0</v>
      </c>
      <c r="V391" s="38">
        <f>(Q391+R391+S391+T395+T396+T397+T399)*'Прогнозная стоимость РСС ИП '!$M$11+T394*'Прогнозная стоимость РСС ИП '!$M$10</f>
        <v>0</v>
      </c>
      <c r="W391" s="503">
        <f>T391</f>
        <v>0</v>
      </c>
      <c r="X391" s="503">
        <f>U391</f>
        <v>0</v>
      </c>
      <c r="Y391" s="503">
        <f>V391</f>
        <v>0</v>
      </c>
      <c r="Z391" s="504"/>
      <c r="AA391" s="504"/>
      <c r="AB391" s="504"/>
      <c r="AC391" s="504"/>
      <c r="AD391" s="504"/>
    </row>
    <row r="392" spans="1:30" s="505" customFormat="1" ht="41.25" hidden="1" customHeight="1">
      <c r="A392" s="510"/>
      <c r="B392" s="643"/>
      <c r="C392" s="513"/>
      <c r="D392" s="514"/>
      <c r="E392" s="495"/>
      <c r="F392" s="496"/>
      <c r="G392" s="646"/>
      <c r="H392" s="731"/>
      <c r="I392" s="649"/>
      <c r="J392" s="650"/>
      <c r="K392" s="650"/>
      <c r="L392" s="650"/>
      <c r="M392" s="651"/>
      <c r="N392" s="652"/>
      <c r="O392" s="653"/>
      <c r="P392" s="654"/>
      <c r="Q392" s="661"/>
      <c r="R392" s="662"/>
      <c r="S392" s="662"/>
      <c r="T392" s="662"/>
      <c r="U392" s="663"/>
      <c r="V392" s="40"/>
      <c r="W392" s="504"/>
      <c r="X392" s="504"/>
      <c r="Y392" s="504"/>
      <c r="Z392" s="504"/>
      <c r="AA392" s="504"/>
      <c r="AB392" s="504"/>
      <c r="AC392" s="504"/>
      <c r="AD392" s="504"/>
    </row>
    <row r="393" spans="1:30" s="505" customFormat="1" ht="41.25" hidden="1" customHeight="1">
      <c r="A393" s="510"/>
      <c r="B393" s="643"/>
      <c r="C393" s="513"/>
      <c r="D393" s="514"/>
      <c r="E393" s="664" t="s">
        <v>29</v>
      </c>
      <c r="F393" s="665"/>
      <c r="G393" s="665"/>
      <c r="H393" s="665"/>
      <c r="I393" s="665"/>
      <c r="J393" s="665"/>
      <c r="K393" s="665"/>
      <c r="L393" s="665"/>
      <c r="M393" s="666"/>
      <c r="N393" s="655"/>
      <c r="O393" s="656"/>
      <c r="P393" s="657"/>
      <c r="Q393" s="667"/>
      <c r="R393" s="732"/>
      <c r="S393" s="732"/>
      <c r="T393" s="732"/>
      <c r="U393" s="733"/>
      <c r="V393" s="42"/>
      <c r="W393" s="504"/>
      <c r="X393" s="504"/>
      <c r="Y393" s="504"/>
      <c r="Z393" s="504"/>
      <c r="AA393" s="504"/>
      <c r="AB393" s="504"/>
      <c r="AC393" s="504"/>
      <c r="AD393" s="504"/>
    </row>
    <row r="394" spans="1:30" s="505" customFormat="1" ht="41.25" hidden="1" customHeight="1">
      <c r="A394" s="510"/>
      <c r="B394" s="643"/>
      <c r="C394" s="513">
        <v>55</v>
      </c>
      <c r="D394" s="514"/>
      <c r="E394" s="670" t="s">
        <v>30</v>
      </c>
      <c r="F394" s="670"/>
      <c r="G394" s="670"/>
      <c r="H394" s="670"/>
      <c r="I394" s="670"/>
      <c r="J394" s="670"/>
      <c r="K394" s="670"/>
      <c r="L394" s="498">
        <v>73.88</v>
      </c>
      <c r="M394" s="459">
        <f>L394</f>
        <v>73.88</v>
      </c>
      <c r="N394" s="655"/>
      <c r="O394" s="656"/>
      <c r="P394" s="657"/>
      <c r="Q394" s="671"/>
      <c r="R394" s="672"/>
      <c r="S394" s="673"/>
      <c r="T394" s="497">
        <f>H391*M394*N391*O391*P391</f>
        <v>0</v>
      </c>
      <c r="U394" s="458">
        <f>T394</f>
        <v>0</v>
      </c>
      <c r="V394" s="42"/>
      <c r="W394" s="503"/>
      <c r="X394" s="504"/>
      <c r="Y394" s="504"/>
      <c r="Z394" s="503">
        <f>T394</f>
        <v>0</v>
      </c>
      <c r="AA394" s="504"/>
      <c r="AB394" s="504"/>
      <c r="AC394" s="504"/>
      <c r="AD394" s="504"/>
    </row>
    <row r="395" spans="1:30" s="505" customFormat="1" ht="41.25" hidden="1" customHeight="1">
      <c r="A395" s="510"/>
      <c r="B395" s="643"/>
      <c r="C395" s="513"/>
      <c r="D395" s="514"/>
      <c r="E395" s="670" t="s">
        <v>31</v>
      </c>
      <c r="F395" s="670"/>
      <c r="G395" s="670"/>
      <c r="H395" s="670"/>
      <c r="I395" s="670"/>
      <c r="J395" s="670"/>
      <c r="K395" s="670"/>
      <c r="L395" s="498">
        <f>ROUND((I391+J391+K391)*2.14%,2)</f>
        <v>28.16</v>
      </c>
      <c r="M395" s="459">
        <f>L395</f>
        <v>28.16</v>
      </c>
      <c r="N395" s="655"/>
      <c r="O395" s="656"/>
      <c r="P395" s="657"/>
      <c r="Q395" s="671"/>
      <c r="R395" s="672"/>
      <c r="S395" s="673"/>
      <c r="T395" s="497">
        <f>H391*M395*N391*O391*P391</f>
        <v>0</v>
      </c>
      <c r="U395" s="458">
        <f>T395</f>
        <v>0</v>
      </c>
      <c r="V395" s="42"/>
      <c r="W395" s="504"/>
      <c r="X395" s="503"/>
      <c r="Y395" s="504"/>
      <c r="Z395" s="504"/>
      <c r="AA395" s="503">
        <f>T395</f>
        <v>0</v>
      </c>
      <c r="AB395" s="504"/>
      <c r="AC395" s="504"/>
      <c r="AD395" s="504"/>
    </row>
    <row r="396" spans="1:30" s="505" customFormat="1" ht="41.25" hidden="1" customHeight="1">
      <c r="A396" s="510"/>
      <c r="B396" s="643"/>
      <c r="C396" s="515"/>
      <c r="D396" s="514"/>
      <c r="E396" s="670" t="s">
        <v>376</v>
      </c>
      <c r="F396" s="670"/>
      <c r="G396" s="670"/>
      <c r="H396" s="670"/>
      <c r="I396" s="670"/>
      <c r="J396" s="670"/>
      <c r="K396" s="670"/>
      <c r="L396" s="498">
        <f>ROUND((I391+J391+K391+L394+L395+L399)*3%,2)</f>
        <v>44.18</v>
      </c>
      <c r="M396" s="459">
        <f>L396</f>
        <v>44.18</v>
      </c>
      <c r="N396" s="655"/>
      <c r="O396" s="656"/>
      <c r="P396" s="657"/>
      <c r="Q396" s="671"/>
      <c r="R396" s="672"/>
      <c r="S396" s="673"/>
      <c r="T396" s="497">
        <f>H391*M396*N391*O391*P391</f>
        <v>0</v>
      </c>
      <c r="U396" s="458">
        <f>T396</f>
        <v>0</v>
      </c>
      <c r="V396" s="42"/>
      <c r="W396" s="504"/>
      <c r="X396" s="504"/>
      <c r="Y396" s="503"/>
      <c r="Z396" s="504"/>
      <c r="AA396" s="504"/>
      <c r="AB396" s="503">
        <f>T396</f>
        <v>0</v>
      </c>
      <c r="AC396" s="504"/>
      <c r="AD396" s="504"/>
    </row>
    <row r="397" spans="1:30" s="505" customFormat="1" ht="54.75" hidden="1" customHeight="1">
      <c r="A397" s="510"/>
      <c r="B397" s="643"/>
      <c r="C397" s="515"/>
      <c r="D397" s="514"/>
      <c r="E397" s="670" t="s">
        <v>377</v>
      </c>
      <c r="F397" s="670"/>
      <c r="G397" s="670"/>
      <c r="H397" s="670"/>
      <c r="I397" s="670"/>
      <c r="J397" s="670"/>
      <c r="K397" s="670"/>
      <c r="L397" s="498">
        <f>356.44-K391-L394-L395-L399</f>
        <v>0</v>
      </c>
      <c r="M397" s="459">
        <f>L397</f>
        <v>0</v>
      </c>
      <c r="N397" s="655"/>
      <c r="O397" s="656"/>
      <c r="P397" s="657"/>
      <c r="Q397" s="671"/>
      <c r="R397" s="672"/>
      <c r="S397" s="673"/>
      <c r="T397" s="460">
        <f>H391*M397*N391*O391*P391</f>
        <v>0</v>
      </c>
      <c r="U397" s="458">
        <f>T397</f>
        <v>0</v>
      </c>
      <c r="V397" s="42"/>
      <c r="W397" s="504"/>
      <c r="X397" s="504"/>
      <c r="Y397" s="504"/>
      <c r="Z397" s="506"/>
      <c r="AA397" s="504"/>
      <c r="AB397" s="504"/>
      <c r="AC397" s="506">
        <f>T397</f>
        <v>0</v>
      </c>
      <c r="AD397" s="504"/>
    </row>
    <row r="398" spans="1:30" s="505" customFormat="1" ht="45" hidden="1" customHeight="1">
      <c r="A398" s="510"/>
      <c r="B398" s="643"/>
      <c r="C398" s="515"/>
      <c r="D398" s="514"/>
      <c r="E398" s="674"/>
      <c r="F398" s="675"/>
      <c r="G398" s="675"/>
      <c r="H398" s="675"/>
      <c r="I398" s="675"/>
      <c r="J398" s="675"/>
      <c r="K398" s="675"/>
      <c r="L398" s="675"/>
      <c r="M398" s="676"/>
      <c r="N398" s="655"/>
      <c r="O398" s="656"/>
      <c r="P398" s="657"/>
      <c r="Q398" s="677"/>
      <c r="R398" s="678"/>
      <c r="S398" s="678"/>
      <c r="T398" s="678"/>
      <c r="U398" s="679"/>
      <c r="V398" s="45"/>
      <c r="W398" s="504"/>
      <c r="X398" s="504"/>
      <c r="Y398" s="504"/>
      <c r="Z398" s="504"/>
      <c r="AA398" s="506"/>
      <c r="AB398" s="504"/>
      <c r="AC398" s="504"/>
      <c r="AD398" s="504"/>
    </row>
    <row r="399" spans="1:30" s="505" customFormat="1" ht="45" hidden="1" customHeight="1" thickBot="1">
      <c r="A399" s="510"/>
      <c r="B399" s="644"/>
      <c r="C399" s="516"/>
      <c r="D399" s="517"/>
      <c r="E399" s="680" t="s">
        <v>369</v>
      </c>
      <c r="F399" s="680" t="s">
        <v>306</v>
      </c>
      <c r="G399" s="680"/>
      <c r="H399" s="680"/>
      <c r="I399" s="680"/>
      <c r="J399" s="680"/>
      <c r="K399" s="680"/>
      <c r="L399" s="499">
        <f>ROUND((I391+J391+K391+L394)*3.93%,2)</f>
        <v>54.63</v>
      </c>
      <c r="M399" s="46">
        <f>L399</f>
        <v>54.63</v>
      </c>
      <c r="N399" s="658"/>
      <c r="O399" s="659"/>
      <c r="P399" s="660"/>
      <c r="Q399" s="681"/>
      <c r="R399" s="682"/>
      <c r="S399" s="683"/>
      <c r="T399" s="385">
        <f>H391*M399*N391*O391*P391</f>
        <v>0</v>
      </c>
      <c r="U399" s="47">
        <f>T399</f>
        <v>0</v>
      </c>
      <c r="V399" s="48"/>
      <c r="W399" s="504"/>
      <c r="X399" s="504"/>
      <c r="Y399" s="504"/>
      <c r="Z399" s="504"/>
      <c r="AA399" s="504"/>
      <c r="AB399" s="506"/>
      <c r="AC399" s="504"/>
      <c r="AD399" s="506">
        <f>T399</f>
        <v>0</v>
      </c>
    </row>
    <row r="400" spans="1:30" s="488" customFormat="1" ht="150" hidden="1" customHeight="1" thickBot="1">
      <c r="A400" s="492"/>
      <c r="B400" s="642">
        <v>1</v>
      </c>
      <c r="C400" s="511">
        <v>5</v>
      </c>
      <c r="D400" s="512"/>
      <c r="E400" s="493" t="s">
        <v>435</v>
      </c>
      <c r="F400" s="487" t="s">
        <v>436</v>
      </c>
      <c r="G400" s="645" t="s">
        <v>388</v>
      </c>
      <c r="H400" s="688">
        <v>0</v>
      </c>
      <c r="I400" s="494">
        <v>16985.560000000001</v>
      </c>
      <c r="J400" s="494">
        <v>730.61</v>
      </c>
      <c r="K400" s="494">
        <v>564.54999999999995</v>
      </c>
      <c r="L400" s="494">
        <f>SUM(L402:L408)</f>
        <v>2127.7600000000002</v>
      </c>
      <c r="M400" s="33">
        <f>SUM(I400:L400)</f>
        <v>20408.480000000003</v>
      </c>
      <c r="N400" s="501">
        <v>1</v>
      </c>
      <c r="O400" s="502">
        <v>1</v>
      </c>
      <c r="P400" s="37">
        <v>1</v>
      </c>
      <c r="Q400" s="34">
        <f>H400*I400*N400*O400*P400</f>
        <v>0</v>
      </c>
      <c r="R400" s="35">
        <f>H400*J400*N400*O400*P400</f>
        <v>0</v>
      </c>
      <c r="S400" s="36">
        <f>H400*K400*N400*O400*P400</f>
        <v>0</v>
      </c>
      <c r="T400" s="36">
        <f>H400*L400*N400*O400*P400</f>
        <v>0</v>
      </c>
      <c r="U400" s="37">
        <f>SUM(Q400:T400)</f>
        <v>0</v>
      </c>
      <c r="V400" s="38">
        <f>(Q400+R400+S400+T404+T405+T406+T408)*'Прогнозная стоимость РСС ИП '!$M$11+T403*'Прогнозная стоимость РСС ИП '!$M$10</f>
        <v>0</v>
      </c>
      <c r="W400" s="39">
        <f>T400</f>
        <v>0</v>
      </c>
      <c r="X400" s="39">
        <f>U400</f>
        <v>0</v>
      </c>
      <c r="Y400" s="39">
        <f>V400</f>
        <v>0</v>
      </c>
      <c r="Z400" s="29"/>
      <c r="AA400" s="29"/>
      <c r="AB400" s="29"/>
      <c r="AC400" s="29"/>
      <c r="AD400" s="29"/>
    </row>
    <row r="401" spans="1:30" s="488" customFormat="1" ht="41.25" hidden="1" customHeight="1">
      <c r="A401" s="492"/>
      <c r="B401" s="643"/>
      <c r="C401" s="513"/>
      <c r="D401" s="514"/>
      <c r="E401" s="495"/>
      <c r="F401" s="496"/>
      <c r="G401" s="646"/>
      <c r="H401" s="688"/>
      <c r="I401" s="649"/>
      <c r="J401" s="650"/>
      <c r="K401" s="650"/>
      <c r="L401" s="650"/>
      <c r="M401" s="651"/>
      <c r="N401" s="652"/>
      <c r="O401" s="653"/>
      <c r="P401" s="654"/>
      <c r="Q401" s="661"/>
      <c r="R401" s="662"/>
      <c r="S401" s="662"/>
      <c r="T401" s="662"/>
      <c r="U401" s="663"/>
      <c r="V401" s="40"/>
      <c r="W401" s="41"/>
      <c r="X401" s="41"/>
      <c r="Y401" s="41"/>
      <c r="Z401" s="29"/>
      <c r="AA401" s="29"/>
      <c r="AB401" s="29"/>
      <c r="AC401" s="29"/>
      <c r="AD401" s="29"/>
    </row>
    <row r="402" spans="1:30" s="488" customFormat="1" ht="41.25" hidden="1" customHeight="1">
      <c r="A402" s="492"/>
      <c r="B402" s="643"/>
      <c r="C402" s="513"/>
      <c r="D402" s="514"/>
      <c r="E402" s="664" t="s">
        <v>29</v>
      </c>
      <c r="F402" s="665"/>
      <c r="G402" s="665"/>
      <c r="H402" s="665"/>
      <c r="I402" s="665"/>
      <c r="J402" s="665"/>
      <c r="K402" s="665"/>
      <c r="L402" s="665"/>
      <c r="M402" s="666"/>
      <c r="N402" s="655"/>
      <c r="O402" s="656"/>
      <c r="P402" s="657"/>
      <c r="Q402" s="667"/>
      <c r="R402" s="689"/>
      <c r="S402" s="689"/>
      <c r="T402" s="689"/>
      <c r="U402" s="690"/>
      <c r="V402" s="42"/>
      <c r="W402" s="41"/>
      <c r="X402" s="41"/>
      <c r="Y402" s="41"/>
      <c r="Z402" s="29"/>
      <c r="AA402" s="29"/>
      <c r="AB402" s="29"/>
      <c r="AC402" s="29"/>
      <c r="AD402" s="29"/>
    </row>
    <row r="403" spans="1:30" s="488" customFormat="1" ht="41.25" hidden="1" customHeight="1">
      <c r="A403" s="492"/>
      <c r="B403" s="643"/>
      <c r="C403" s="513">
        <v>55</v>
      </c>
      <c r="D403" s="514"/>
      <c r="E403" s="670" t="s">
        <v>30</v>
      </c>
      <c r="F403" s="670"/>
      <c r="G403" s="670"/>
      <c r="H403" s="670"/>
      <c r="I403" s="670"/>
      <c r="J403" s="670"/>
      <c r="K403" s="670"/>
      <c r="L403" s="498">
        <v>407.67</v>
      </c>
      <c r="M403" s="459">
        <f>L403</f>
        <v>407.67</v>
      </c>
      <c r="N403" s="655"/>
      <c r="O403" s="656"/>
      <c r="P403" s="657"/>
      <c r="Q403" s="671"/>
      <c r="R403" s="672"/>
      <c r="S403" s="673"/>
      <c r="T403" s="457">
        <f>H400*M403*N400*O400*P400</f>
        <v>0</v>
      </c>
      <c r="U403" s="458">
        <f>T403</f>
        <v>0</v>
      </c>
      <c r="V403" s="42"/>
      <c r="W403" s="39"/>
      <c r="X403" s="41"/>
      <c r="Y403" s="41"/>
      <c r="Z403" s="43">
        <f>T403</f>
        <v>0</v>
      </c>
      <c r="AA403" s="29"/>
      <c r="AB403" s="29"/>
      <c r="AC403" s="29"/>
      <c r="AD403" s="29"/>
    </row>
    <row r="404" spans="1:30" s="488" customFormat="1" ht="41.25" hidden="1" customHeight="1">
      <c r="A404" s="492"/>
      <c r="B404" s="643"/>
      <c r="C404" s="513"/>
      <c r="D404" s="514"/>
      <c r="E404" s="670" t="s">
        <v>31</v>
      </c>
      <c r="F404" s="670"/>
      <c r="G404" s="670"/>
      <c r="H404" s="670"/>
      <c r="I404" s="670"/>
      <c r="J404" s="670"/>
      <c r="K404" s="670"/>
      <c r="L404" s="498">
        <f>ROUND((I400+J400+K400)*2.14%,2)</f>
        <v>391.21</v>
      </c>
      <c r="M404" s="459">
        <f>L404</f>
        <v>391.21</v>
      </c>
      <c r="N404" s="655"/>
      <c r="O404" s="656"/>
      <c r="P404" s="657"/>
      <c r="Q404" s="671"/>
      <c r="R404" s="672"/>
      <c r="S404" s="673"/>
      <c r="T404" s="457">
        <f>H400*M404*N400*O400*P400</f>
        <v>0</v>
      </c>
      <c r="U404" s="458">
        <f>T404</f>
        <v>0</v>
      </c>
      <c r="V404" s="42"/>
      <c r="W404" s="41"/>
      <c r="X404" s="39"/>
      <c r="Y404" s="41"/>
      <c r="Z404" s="29"/>
      <c r="AA404" s="43">
        <f>T404</f>
        <v>0</v>
      </c>
      <c r="AB404" s="29"/>
      <c r="AC404" s="29"/>
      <c r="AD404" s="29"/>
    </row>
    <row r="405" spans="1:30" s="488" customFormat="1" ht="41.25" hidden="1" customHeight="1">
      <c r="A405" s="492"/>
      <c r="B405" s="643"/>
      <c r="C405" s="515"/>
      <c r="D405" s="514"/>
      <c r="E405" s="670" t="s">
        <v>376</v>
      </c>
      <c r="F405" s="670"/>
      <c r="G405" s="670"/>
      <c r="H405" s="670"/>
      <c r="I405" s="670"/>
      <c r="J405" s="670"/>
      <c r="K405" s="670"/>
      <c r="L405" s="498">
        <f>ROUND((I400+J400+K400+L403+L404+L408)*3%,2)+0.01</f>
        <v>594.42999999999995</v>
      </c>
      <c r="M405" s="459">
        <f>L405</f>
        <v>594.42999999999995</v>
      </c>
      <c r="N405" s="655"/>
      <c r="O405" s="656"/>
      <c r="P405" s="657"/>
      <c r="Q405" s="671"/>
      <c r="R405" s="672"/>
      <c r="S405" s="673"/>
      <c r="T405" s="457">
        <f>H400*M405*N400*O400*P400</f>
        <v>0</v>
      </c>
      <c r="U405" s="458">
        <f>T405</f>
        <v>0</v>
      </c>
      <c r="V405" s="42"/>
      <c r="W405" s="41"/>
      <c r="X405" s="41"/>
      <c r="Y405" s="39"/>
      <c r="Z405" s="29"/>
      <c r="AA405" s="29"/>
      <c r="AB405" s="43">
        <f>T405</f>
        <v>0</v>
      </c>
      <c r="AC405" s="29"/>
      <c r="AD405" s="29"/>
    </row>
    <row r="406" spans="1:30" s="488" customFormat="1" ht="54.75" hidden="1" customHeight="1">
      <c r="A406" s="492"/>
      <c r="B406" s="643"/>
      <c r="C406" s="515"/>
      <c r="D406" s="514"/>
      <c r="E406" s="670" t="s">
        <v>377</v>
      </c>
      <c r="F406" s="670"/>
      <c r="G406" s="670"/>
      <c r="H406" s="670"/>
      <c r="I406" s="670"/>
      <c r="J406" s="670"/>
      <c r="K406" s="670"/>
      <c r="L406" s="498">
        <f>2097.88-K400-L403-L404-L408</f>
        <v>0</v>
      </c>
      <c r="M406" s="459">
        <f>L406</f>
        <v>0</v>
      </c>
      <c r="N406" s="655"/>
      <c r="O406" s="656"/>
      <c r="P406" s="657"/>
      <c r="Q406" s="671"/>
      <c r="R406" s="672"/>
      <c r="S406" s="673"/>
      <c r="T406" s="457">
        <f>H400*M406*N400*O400*P400</f>
        <v>0</v>
      </c>
      <c r="U406" s="458">
        <f>T406</f>
        <v>0</v>
      </c>
      <c r="V406" s="42"/>
      <c r="W406" s="41"/>
      <c r="X406" s="41"/>
      <c r="Y406" s="41"/>
      <c r="Z406" s="44"/>
      <c r="AA406" s="29"/>
      <c r="AB406" s="29"/>
      <c r="AC406" s="44">
        <f>T406</f>
        <v>0</v>
      </c>
      <c r="AD406" s="29"/>
    </row>
    <row r="407" spans="1:30" s="488" customFormat="1" ht="45" hidden="1" customHeight="1">
      <c r="A407" s="492"/>
      <c r="B407" s="643"/>
      <c r="C407" s="515"/>
      <c r="D407" s="514"/>
      <c r="E407" s="674"/>
      <c r="F407" s="675"/>
      <c r="G407" s="675"/>
      <c r="H407" s="675"/>
      <c r="I407" s="675"/>
      <c r="J407" s="675"/>
      <c r="K407" s="675"/>
      <c r="L407" s="675"/>
      <c r="M407" s="676"/>
      <c r="N407" s="655"/>
      <c r="O407" s="656"/>
      <c r="P407" s="657"/>
      <c r="Q407" s="677"/>
      <c r="R407" s="678"/>
      <c r="S407" s="678"/>
      <c r="T407" s="678"/>
      <c r="U407" s="679"/>
      <c r="V407" s="45"/>
      <c r="W407" s="41"/>
      <c r="X407" s="41"/>
      <c r="Y407" s="41"/>
      <c r="Z407" s="29"/>
      <c r="AA407" s="44"/>
      <c r="AB407" s="29"/>
      <c r="AC407" s="29"/>
      <c r="AD407" s="29"/>
    </row>
    <row r="408" spans="1:30" s="488" customFormat="1" ht="45" hidden="1" customHeight="1" thickBot="1">
      <c r="A408" s="492"/>
      <c r="B408" s="644"/>
      <c r="C408" s="516"/>
      <c r="D408" s="517"/>
      <c r="E408" s="680" t="s">
        <v>369</v>
      </c>
      <c r="F408" s="680" t="s">
        <v>306</v>
      </c>
      <c r="G408" s="680"/>
      <c r="H408" s="680"/>
      <c r="I408" s="680"/>
      <c r="J408" s="680"/>
      <c r="K408" s="680"/>
      <c r="L408" s="499">
        <f>ROUND((I400+J400+K400+L403)*3.93%,2)</f>
        <v>734.45</v>
      </c>
      <c r="M408" s="46">
        <f>L408</f>
        <v>734.45</v>
      </c>
      <c r="N408" s="658"/>
      <c r="O408" s="659"/>
      <c r="P408" s="660"/>
      <c r="Q408" s="681"/>
      <c r="R408" s="682"/>
      <c r="S408" s="683"/>
      <c r="T408" s="500">
        <f>H400*M408*N400*O400*P400</f>
        <v>0</v>
      </c>
      <c r="U408" s="47">
        <f>T408</f>
        <v>0</v>
      </c>
      <c r="V408" s="48"/>
      <c r="W408" s="41"/>
      <c r="X408" s="41"/>
      <c r="Y408" s="41"/>
      <c r="Z408" s="29"/>
      <c r="AA408" s="29"/>
      <c r="AB408" s="44"/>
      <c r="AC408" s="29"/>
      <c r="AD408" s="44">
        <f>T408</f>
        <v>0</v>
      </c>
    </row>
    <row r="409" spans="1:30" s="488" customFormat="1" ht="150" hidden="1" customHeight="1" thickBot="1">
      <c r="A409" s="492"/>
      <c r="B409" s="642">
        <v>1</v>
      </c>
      <c r="C409" s="511">
        <v>5</v>
      </c>
      <c r="D409" s="512"/>
      <c r="E409" s="493" t="s">
        <v>437</v>
      </c>
      <c r="F409" s="487" t="s">
        <v>438</v>
      </c>
      <c r="G409" s="645" t="s">
        <v>388</v>
      </c>
      <c r="H409" s="688">
        <v>0</v>
      </c>
      <c r="I409" s="494">
        <v>17094.169999999998</v>
      </c>
      <c r="J409" s="494">
        <v>730.61</v>
      </c>
      <c r="K409" s="494">
        <v>564.54999999999995</v>
      </c>
      <c r="L409" s="494">
        <f>SUM(L411:L417)</f>
        <v>2138.04</v>
      </c>
      <c r="M409" s="33">
        <f>SUM(I409:L409)</f>
        <v>20527.37</v>
      </c>
      <c r="N409" s="501">
        <v>1</v>
      </c>
      <c r="O409" s="502">
        <v>1</v>
      </c>
      <c r="P409" s="37">
        <v>1</v>
      </c>
      <c r="Q409" s="34">
        <f>H409*I409*N409*O409*P409</f>
        <v>0</v>
      </c>
      <c r="R409" s="35">
        <f>H409*J409*N409*O409*P409</f>
        <v>0</v>
      </c>
      <c r="S409" s="36">
        <f>H409*K409*N409*O409*P409</f>
        <v>0</v>
      </c>
      <c r="T409" s="36">
        <f>H409*L409*N409*O409*P409</f>
        <v>0</v>
      </c>
      <c r="U409" s="37">
        <f>SUM(Q409:T409)</f>
        <v>0</v>
      </c>
      <c r="V409" s="38">
        <f>(Q409+R409+S409+T413+T414+T415+T417)*'Прогнозная стоимость РСС ИП '!$M$11+T412*'Прогнозная стоимость РСС ИП '!$M$10</f>
        <v>0</v>
      </c>
      <c r="W409" s="39">
        <f>T409</f>
        <v>0</v>
      </c>
      <c r="X409" s="39">
        <f>U409</f>
        <v>0</v>
      </c>
      <c r="Y409" s="39">
        <f>V409</f>
        <v>0</v>
      </c>
      <c r="Z409" s="29"/>
      <c r="AA409" s="29"/>
      <c r="AB409" s="29"/>
      <c r="AC409" s="29"/>
      <c r="AD409" s="29"/>
    </row>
    <row r="410" spans="1:30" s="488" customFormat="1" ht="41.25" hidden="1" customHeight="1">
      <c r="A410" s="492"/>
      <c r="B410" s="643"/>
      <c r="C410" s="513"/>
      <c r="D410" s="514"/>
      <c r="E410" s="495"/>
      <c r="F410" s="496"/>
      <c r="G410" s="646"/>
      <c r="H410" s="688"/>
      <c r="I410" s="649"/>
      <c r="J410" s="650"/>
      <c r="K410" s="650"/>
      <c r="L410" s="650"/>
      <c r="M410" s="651"/>
      <c r="N410" s="652"/>
      <c r="O410" s="653"/>
      <c r="P410" s="654"/>
      <c r="Q410" s="661"/>
      <c r="R410" s="662"/>
      <c r="S410" s="662"/>
      <c r="T410" s="662"/>
      <c r="U410" s="663"/>
      <c r="V410" s="40"/>
      <c r="W410" s="41"/>
      <c r="X410" s="41"/>
      <c r="Y410" s="41"/>
      <c r="Z410" s="29"/>
      <c r="AA410" s="29"/>
      <c r="AB410" s="29"/>
      <c r="AC410" s="29"/>
      <c r="AD410" s="29"/>
    </row>
    <row r="411" spans="1:30" s="488" customFormat="1" ht="41.25" hidden="1" customHeight="1">
      <c r="A411" s="492"/>
      <c r="B411" s="643"/>
      <c r="C411" s="513"/>
      <c r="D411" s="514"/>
      <c r="E411" s="664" t="s">
        <v>29</v>
      </c>
      <c r="F411" s="665"/>
      <c r="G411" s="665"/>
      <c r="H411" s="665"/>
      <c r="I411" s="665"/>
      <c r="J411" s="665"/>
      <c r="K411" s="665"/>
      <c r="L411" s="665"/>
      <c r="M411" s="666"/>
      <c r="N411" s="655"/>
      <c r="O411" s="656"/>
      <c r="P411" s="657"/>
      <c r="Q411" s="667"/>
      <c r="R411" s="689"/>
      <c r="S411" s="689"/>
      <c r="T411" s="689"/>
      <c r="U411" s="690"/>
      <c r="V411" s="42"/>
      <c r="W411" s="41"/>
      <c r="X411" s="41"/>
      <c r="Y411" s="41"/>
      <c r="Z411" s="29"/>
      <c r="AA411" s="29"/>
      <c r="AB411" s="29"/>
      <c r="AC411" s="29"/>
      <c r="AD411" s="29"/>
    </row>
    <row r="412" spans="1:30" s="488" customFormat="1" ht="41.25" hidden="1" customHeight="1">
      <c r="A412" s="492"/>
      <c r="B412" s="643"/>
      <c r="C412" s="513">
        <v>55</v>
      </c>
      <c r="D412" s="514"/>
      <c r="E412" s="670" t="s">
        <v>30</v>
      </c>
      <c r="F412" s="670"/>
      <c r="G412" s="670"/>
      <c r="H412" s="670"/>
      <c r="I412" s="670"/>
      <c r="J412" s="670"/>
      <c r="K412" s="670"/>
      <c r="L412" s="498">
        <v>407.89</v>
      </c>
      <c r="M412" s="459">
        <f>L412</f>
        <v>407.89</v>
      </c>
      <c r="N412" s="655"/>
      <c r="O412" s="656"/>
      <c r="P412" s="657"/>
      <c r="Q412" s="671"/>
      <c r="R412" s="672"/>
      <c r="S412" s="673"/>
      <c r="T412" s="457">
        <f>H409*M412*N409*O409*P409</f>
        <v>0</v>
      </c>
      <c r="U412" s="458">
        <f>T412</f>
        <v>0</v>
      </c>
      <c r="V412" s="42"/>
      <c r="W412" s="39"/>
      <c r="X412" s="41"/>
      <c r="Y412" s="41"/>
      <c r="Z412" s="43">
        <f>T412</f>
        <v>0</v>
      </c>
      <c r="AA412" s="29"/>
      <c r="AB412" s="29"/>
      <c r="AC412" s="29"/>
      <c r="AD412" s="29"/>
    </row>
    <row r="413" spans="1:30" s="488" customFormat="1" ht="41.25" hidden="1" customHeight="1">
      <c r="A413" s="492"/>
      <c r="B413" s="643"/>
      <c r="C413" s="513"/>
      <c r="D413" s="514"/>
      <c r="E413" s="670" t="s">
        <v>31</v>
      </c>
      <c r="F413" s="670"/>
      <c r="G413" s="670"/>
      <c r="H413" s="670"/>
      <c r="I413" s="670"/>
      <c r="J413" s="670"/>
      <c r="K413" s="670"/>
      <c r="L413" s="498">
        <f>ROUND((I409+J409+K409)*2.14%,2)</f>
        <v>393.53</v>
      </c>
      <c r="M413" s="459">
        <f>L413</f>
        <v>393.53</v>
      </c>
      <c r="N413" s="655"/>
      <c r="O413" s="656"/>
      <c r="P413" s="657"/>
      <c r="Q413" s="671"/>
      <c r="R413" s="672"/>
      <c r="S413" s="673"/>
      <c r="T413" s="457">
        <f>H409*M413*N409*O409*P409</f>
        <v>0</v>
      </c>
      <c r="U413" s="458">
        <f>T413</f>
        <v>0</v>
      </c>
      <c r="V413" s="42"/>
      <c r="W413" s="41"/>
      <c r="X413" s="39"/>
      <c r="Y413" s="41"/>
      <c r="Z413" s="29"/>
      <c r="AA413" s="43">
        <f>T413</f>
        <v>0</v>
      </c>
      <c r="AB413" s="29"/>
      <c r="AC413" s="29"/>
      <c r="AD413" s="29"/>
    </row>
    <row r="414" spans="1:30" s="488" customFormat="1" ht="41.25" hidden="1" customHeight="1">
      <c r="A414" s="492"/>
      <c r="B414" s="643"/>
      <c r="C414" s="515"/>
      <c r="D414" s="514"/>
      <c r="E414" s="670" t="s">
        <v>376</v>
      </c>
      <c r="F414" s="670"/>
      <c r="G414" s="670"/>
      <c r="H414" s="670"/>
      <c r="I414" s="670"/>
      <c r="J414" s="670"/>
      <c r="K414" s="670"/>
      <c r="L414" s="498">
        <f>ROUND((I409+J409+K409+L412+L413+L417)*3%,2)+0.01</f>
        <v>597.89</v>
      </c>
      <c r="M414" s="459">
        <f>L414</f>
        <v>597.89</v>
      </c>
      <c r="N414" s="655"/>
      <c r="O414" s="656"/>
      <c r="P414" s="657"/>
      <c r="Q414" s="671"/>
      <c r="R414" s="672"/>
      <c r="S414" s="673"/>
      <c r="T414" s="457">
        <f>H409*M414*N409*O409*P409</f>
        <v>0</v>
      </c>
      <c r="U414" s="458">
        <f>T414</f>
        <v>0</v>
      </c>
      <c r="V414" s="42"/>
      <c r="W414" s="41"/>
      <c r="X414" s="41"/>
      <c r="Y414" s="39"/>
      <c r="Z414" s="29"/>
      <c r="AA414" s="29"/>
      <c r="AB414" s="43">
        <f>T414</f>
        <v>0</v>
      </c>
      <c r="AC414" s="29"/>
      <c r="AD414" s="29"/>
    </row>
    <row r="415" spans="1:30" s="488" customFormat="1" ht="54.75" hidden="1" customHeight="1">
      <c r="A415" s="492"/>
      <c r="B415" s="643"/>
      <c r="C415" s="515"/>
      <c r="D415" s="514"/>
      <c r="E415" s="670" t="s">
        <v>377</v>
      </c>
      <c r="F415" s="670"/>
      <c r="G415" s="670"/>
      <c r="H415" s="670"/>
      <c r="I415" s="670"/>
      <c r="J415" s="670"/>
      <c r="K415" s="670"/>
      <c r="L415" s="498">
        <f>2104.7-K409-L412-L413-L417</f>
        <v>0</v>
      </c>
      <c r="M415" s="459">
        <f>L415</f>
        <v>0</v>
      </c>
      <c r="N415" s="655"/>
      <c r="O415" s="656"/>
      <c r="P415" s="657"/>
      <c r="Q415" s="671"/>
      <c r="R415" s="672"/>
      <c r="S415" s="673"/>
      <c r="T415" s="457">
        <f>H409*M415*N409*O409*P409</f>
        <v>0</v>
      </c>
      <c r="U415" s="458">
        <f>T415</f>
        <v>0</v>
      </c>
      <c r="V415" s="42"/>
      <c r="W415" s="41"/>
      <c r="X415" s="41"/>
      <c r="Y415" s="41"/>
      <c r="Z415" s="44"/>
      <c r="AA415" s="29"/>
      <c r="AB415" s="29"/>
      <c r="AC415" s="44">
        <f>T415</f>
        <v>0</v>
      </c>
      <c r="AD415" s="29"/>
    </row>
    <row r="416" spans="1:30" s="488" customFormat="1" ht="45" hidden="1" customHeight="1">
      <c r="A416" s="492"/>
      <c r="B416" s="643"/>
      <c r="C416" s="515"/>
      <c r="D416" s="514"/>
      <c r="E416" s="674"/>
      <c r="F416" s="675"/>
      <c r="G416" s="675"/>
      <c r="H416" s="675"/>
      <c r="I416" s="675"/>
      <c r="J416" s="675"/>
      <c r="K416" s="675"/>
      <c r="L416" s="675"/>
      <c r="M416" s="676"/>
      <c r="N416" s="655"/>
      <c r="O416" s="656"/>
      <c r="P416" s="657"/>
      <c r="Q416" s="677"/>
      <c r="R416" s="678"/>
      <c r="S416" s="678"/>
      <c r="T416" s="678"/>
      <c r="U416" s="679"/>
      <c r="V416" s="45"/>
      <c r="W416" s="41"/>
      <c r="X416" s="41"/>
      <c r="Y416" s="41"/>
      <c r="Z416" s="29"/>
      <c r="AA416" s="44"/>
      <c r="AB416" s="29"/>
      <c r="AC416" s="29"/>
      <c r="AD416" s="29"/>
    </row>
    <row r="417" spans="1:30" s="488" customFormat="1" ht="45" hidden="1" customHeight="1" thickBot="1">
      <c r="A417" s="492"/>
      <c r="B417" s="644"/>
      <c r="C417" s="516"/>
      <c r="D417" s="517"/>
      <c r="E417" s="680" t="s">
        <v>369</v>
      </c>
      <c r="F417" s="680" t="s">
        <v>306</v>
      </c>
      <c r="G417" s="680"/>
      <c r="H417" s="680"/>
      <c r="I417" s="680"/>
      <c r="J417" s="680"/>
      <c r="K417" s="680"/>
      <c r="L417" s="499">
        <f>ROUND((I409+J409+K409+L412)*3.93%,2)</f>
        <v>738.73</v>
      </c>
      <c r="M417" s="46">
        <f>L417</f>
        <v>738.73</v>
      </c>
      <c r="N417" s="658"/>
      <c r="O417" s="659"/>
      <c r="P417" s="660"/>
      <c r="Q417" s="681"/>
      <c r="R417" s="682"/>
      <c r="S417" s="683"/>
      <c r="T417" s="500">
        <f>H409*M417*N409*O409*P409</f>
        <v>0</v>
      </c>
      <c r="U417" s="47">
        <f>T417</f>
        <v>0</v>
      </c>
      <c r="V417" s="48"/>
      <c r="W417" s="41"/>
      <c r="X417" s="41"/>
      <c r="Y417" s="41"/>
      <c r="Z417" s="29"/>
      <c r="AA417" s="29"/>
      <c r="AB417" s="44"/>
      <c r="AC417" s="29"/>
      <c r="AD417" s="44">
        <f>T417</f>
        <v>0</v>
      </c>
    </row>
    <row r="418" spans="1:30" s="488" customFormat="1" ht="150" hidden="1" customHeight="1" thickBot="1">
      <c r="A418" s="492"/>
      <c r="B418" s="642">
        <v>1</v>
      </c>
      <c r="C418" s="511">
        <v>5</v>
      </c>
      <c r="D418" s="512"/>
      <c r="E418" s="493" t="s">
        <v>439</v>
      </c>
      <c r="F418" s="487" t="s">
        <v>440</v>
      </c>
      <c r="G418" s="645" t="s">
        <v>388</v>
      </c>
      <c r="H418" s="688">
        <v>0</v>
      </c>
      <c r="I418" s="494">
        <v>17269.71</v>
      </c>
      <c r="J418" s="494">
        <v>730.61</v>
      </c>
      <c r="K418" s="494">
        <v>564.54999999999995</v>
      </c>
      <c r="L418" s="494">
        <f>SUM(L420:L426)</f>
        <v>2324.91</v>
      </c>
      <c r="M418" s="33">
        <f>SUM(I418:L418)</f>
        <v>20889.78</v>
      </c>
      <c r="N418" s="501">
        <v>1</v>
      </c>
      <c r="O418" s="502">
        <v>1</v>
      </c>
      <c r="P418" s="37">
        <v>1</v>
      </c>
      <c r="Q418" s="34">
        <f>H418*I418*N418*O418*P418</f>
        <v>0</v>
      </c>
      <c r="R418" s="35">
        <f>H418*J418*N418*O418*P418</f>
        <v>0</v>
      </c>
      <c r="S418" s="36">
        <f>H418*K418*N418*O418*P418</f>
        <v>0</v>
      </c>
      <c r="T418" s="36">
        <f>H418*L418*N418*O418*P418</f>
        <v>0</v>
      </c>
      <c r="U418" s="37">
        <f>SUM(Q418:T418)</f>
        <v>0</v>
      </c>
      <c r="V418" s="38">
        <f>(Q418+R418+S418+T422+T423+T424+T426)*'Прогнозная стоимость РСС ИП '!$M$11+T421*'Прогнозная стоимость РСС ИП '!$M$10</f>
        <v>0</v>
      </c>
      <c r="W418" s="39">
        <f>T418</f>
        <v>0</v>
      </c>
      <c r="X418" s="39">
        <f>U418</f>
        <v>0</v>
      </c>
      <c r="Y418" s="39">
        <f>V418</f>
        <v>0</v>
      </c>
      <c r="Z418" s="29"/>
      <c r="AA418" s="29"/>
      <c r="AB418" s="29"/>
      <c r="AC418" s="29"/>
      <c r="AD418" s="29"/>
    </row>
    <row r="419" spans="1:30" s="488" customFormat="1" ht="41.25" hidden="1" customHeight="1">
      <c r="A419" s="492"/>
      <c r="B419" s="643"/>
      <c r="C419" s="513"/>
      <c r="D419" s="514"/>
      <c r="E419" s="495"/>
      <c r="F419" s="496"/>
      <c r="G419" s="646"/>
      <c r="H419" s="688"/>
      <c r="I419" s="649"/>
      <c r="J419" s="650"/>
      <c r="K419" s="650"/>
      <c r="L419" s="650"/>
      <c r="M419" s="651"/>
      <c r="N419" s="652"/>
      <c r="O419" s="653"/>
      <c r="P419" s="654"/>
      <c r="Q419" s="661"/>
      <c r="R419" s="662"/>
      <c r="S419" s="662"/>
      <c r="T419" s="662"/>
      <c r="U419" s="663"/>
      <c r="V419" s="40"/>
      <c r="W419" s="41"/>
      <c r="X419" s="41"/>
      <c r="Y419" s="41"/>
      <c r="Z419" s="29"/>
      <c r="AA419" s="29"/>
      <c r="AB419" s="29"/>
      <c r="AC419" s="29"/>
      <c r="AD419" s="29"/>
    </row>
    <row r="420" spans="1:30" s="488" customFormat="1" ht="41.25" hidden="1" customHeight="1">
      <c r="A420" s="492"/>
      <c r="B420" s="643"/>
      <c r="C420" s="513"/>
      <c r="D420" s="514"/>
      <c r="E420" s="664" t="s">
        <v>29</v>
      </c>
      <c r="F420" s="665"/>
      <c r="G420" s="665"/>
      <c r="H420" s="665"/>
      <c r="I420" s="665"/>
      <c r="J420" s="665"/>
      <c r="K420" s="665"/>
      <c r="L420" s="665"/>
      <c r="M420" s="666"/>
      <c r="N420" s="655"/>
      <c r="O420" s="656"/>
      <c r="P420" s="657"/>
      <c r="Q420" s="667"/>
      <c r="R420" s="689"/>
      <c r="S420" s="689"/>
      <c r="T420" s="689"/>
      <c r="U420" s="690"/>
      <c r="V420" s="42"/>
      <c r="W420" s="41"/>
      <c r="X420" s="41"/>
      <c r="Y420" s="41"/>
      <c r="Z420" s="29"/>
      <c r="AA420" s="29"/>
      <c r="AB420" s="29"/>
      <c r="AC420" s="29"/>
      <c r="AD420" s="29"/>
    </row>
    <row r="421" spans="1:30" s="488" customFormat="1" ht="41.25" hidden="1" customHeight="1">
      <c r="A421" s="492"/>
      <c r="B421" s="643"/>
      <c r="C421" s="513">
        <v>55</v>
      </c>
      <c r="D421" s="514"/>
      <c r="E421" s="670" t="s">
        <v>30</v>
      </c>
      <c r="F421" s="670"/>
      <c r="G421" s="670"/>
      <c r="H421" s="670"/>
      <c r="I421" s="670"/>
      <c r="J421" s="670"/>
      <c r="K421" s="670"/>
      <c r="L421" s="498">
        <v>567.29</v>
      </c>
      <c r="M421" s="459">
        <f>L421</f>
        <v>567.29</v>
      </c>
      <c r="N421" s="655"/>
      <c r="O421" s="656"/>
      <c r="P421" s="657"/>
      <c r="Q421" s="671"/>
      <c r="R421" s="672"/>
      <c r="S421" s="673"/>
      <c r="T421" s="457">
        <f>H418*M421*N418*O418*P418</f>
        <v>0</v>
      </c>
      <c r="U421" s="458">
        <f>T421</f>
        <v>0</v>
      </c>
      <c r="V421" s="42"/>
      <c r="W421" s="39"/>
      <c r="X421" s="41"/>
      <c r="Y421" s="41"/>
      <c r="Z421" s="43">
        <f>T421</f>
        <v>0</v>
      </c>
      <c r="AA421" s="29"/>
      <c r="AB421" s="29"/>
      <c r="AC421" s="29"/>
      <c r="AD421" s="29"/>
    </row>
    <row r="422" spans="1:30" s="488" customFormat="1" ht="41.25" hidden="1" customHeight="1">
      <c r="A422" s="492"/>
      <c r="B422" s="643"/>
      <c r="C422" s="513"/>
      <c r="D422" s="514"/>
      <c r="E422" s="670" t="s">
        <v>31</v>
      </c>
      <c r="F422" s="670"/>
      <c r="G422" s="670"/>
      <c r="H422" s="670"/>
      <c r="I422" s="670"/>
      <c r="J422" s="670"/>
      <c r="K422" s="670"/>
      <c r="L422" s="498">
        <f>ROUND((I418+J418+K418)*2.14%,2)</f>
        <v>397.29</v>
      </c>
      <c r="M422" s="459">
        <f>L422</f>
        <v>397.29</v>
      </c>
      <c r="N422" s="655"/>
      <c r="O422" s="656"/>
      <c r="P422" s="657"/>
      <c r="Q422" s="671"/>
      <c r="R422" s="672"/>
      <c r="S422" s="673"/>
      <c r="T422" s="457">
        <f>H418*M422*N418*O418*P418</f>
        <v>0</v>
      </c>
      <c r="U422" s="458">
        <f>T422</f>
        <v>0</v>
      </c>
      <c r="V422" s="42"/>
      <c r="W422" s="41"/>
      <c r="X422" s="39"/>
      <c r="Y422" s="41"/>
      <c r="Z422" s="29"/>
      <c r="AA422" s="43">
        <f>T422</f>
        <v>0</v>
      </c>
      <c r="AB422" s="29"/>
      <c r="AC422" s="29"/>
      <c r="AD422" s="29"/>
    </row>
    <row r="423" spans="1:30" s="488" customFormat="1" ht="41.25" hidden="1" customHeight="1">
      <c r="A423" s="492"/>
      <c r="B423" s="643"/>
      <c r="C423" s="515"/>
      <c r="D423" s="514"/>
      <c r="E423" s="670" t="s">
        <v>376</v>
      </c>
      <c r="F423" s="670"/>
      <c r="G423" s="670"/>
      <c r="H423" s="670"/>
      <c r="I423" s="670"/>
      <c r="J423" s="670"/>
      <c r="K423" s="670"/>
      <c r="L423" s="498">
        <f>ROUND((I418+J418+K418+L421+L422+L426)*3%,2)</f>
        <v>608.44000000000005</v>
      </c>
      <c r="M423" s="459">
        <f>L423</f>
        <v>608.44000000000005</v>
      </c>
      <c r="N423" s="655"/>
      <c r="O423" s="656"/>
      <c r="P423" s="657"/>
      <c r="Q423" s="671"/>
      <c r="R423" s="672"/>
      <c r="S423" s="673"/>
      <c r="T423" s="457">
        <f>H418*M423*N418*O418*P418</f>
        <v>0</v>
      </c>
      <c r="U423" s="458">
        <f>T423</f>
        <v>0</v>
      </c>
      <c r="V423" s="42"/>
      <c r="W423" s="41"/>
      <c r="X423" s="41"/>
      <c r="Y423" s="39"/>
      <c r="Z423" s="29"/>
      <c r="AA423" s="29"/>
      <c r="AB423" s="43">
        <f>T423</f>
        <v>0</v>
      </c>
      <c r="AC423" s="29"/>
      <c r="AD423" s="29"/>
    </row>
    <row r="424" spans="1:30" s="488" customFormat="1" ht="54.75" hidden="1" customHeight="1">
      <c r="A424" s="492"/>
      <c r="B424" s="643"/>
      <c r="C424" s="515"/>
      <c r="D424" s="514"/>
      <c r="E424" s="670" t="s">
        <v>377</v>
      </c>
      <c r="F424" s="670"/>
      <c r="G424" s="670"/>
      <c r="H424" s="670"/>
      <c r="I424" s="670"/>
      <c r="J424" s="670"/>
      <c r="K424" s="670"/>
      <c r="L424" s="498">
        <f>2281.02-K418-L421-L422-L426</f>
        <v>0</v>
      </c>
      <c r="M424" s="459">
        <f>L424</f>
        <v>0</v>
      </c>
      <c r="N424" s="655"/>
      <c r="O424" s="656"/>
      <c r="P424" s="657"/>
      <c r="Q424" s="671"/>
      <c r="R424" s="672"/>
      <c r="S424" s="673"/>
      <c r="T424" s="457">
        <f>H418*M424*N418*O418*P418</f>
        <v>0</v>
      </c>
      <c r="U424" s="458">
        <f>T424</f>
        <v>0</v>
      </c>
      <c r="V424" s="42"/>
      <c r="W424" s="41"/>
      <c r="X424" s="41"/>
      <c r="Y424" s="41"/>
      <c r="Z424" s="44"/>
      <c r="AA424" s="29"/>
      <c r="AB424" s="29"/>
      <c r="AC424" s="44">
        <f>T424</f>
        <v>0</v>
      </c>
      <c r="AD424" s="29"/>
    </row>
    <row r="425" spans="1:30" s="488" customFormat="1" ht="45" hidden="1" customHeight="1">
      <c r="A425" s="492"/>
      <c r="B425" s="643"/>
      <c r="C425" s="515"/>
      <c r="D425" s="514"/>
      <c r="E425" s="674"/>
      <c r="F425" s="675"/>
      <c r="G425" s="675"/>
      <c r="H425" s="675"/>
      <c r="I425" s="675"/>
      <c r="J425" s="675"/>
      <c r="K425" s="675"/>
      <c r="L425" s="675"/>
      <c r="M425" s="676"/>
      <c r="N425" s="655"/>
      <c r="O425" s="656"/>
      <c r="P425" s="657"/>
      <c r="Q425" s="677"/>
      <c r="R425" s="678"/>
      <c r="S425" s="678"/>
      <c r="T425" s="678"/>
      <c r="U425" s="679"/>
      <c r="V425" s="45"/>
      <c r="W425" s="41"/>
      <c r="X425" s="41"/>
      <c r="Y425" s="41"/>
      <c r="Z425" s="29"/>
      <c r="AA425" s="44"/>
      <c r="AB425" s="29"/>
      <c r="AC425" s="29"/>
      <c r="AD425" s="29"/>
    </row>
    <row r="426" spans="1:30" s="488" customFormat="1" ht="45" hidden="1" customHeight="1" thickBot="1">
      <c r="A426" s="492"/>
      <c r="B426" s="644"/>
      <c r="C426" s="516"/>
      <c r="D426" s="517"/>
      <c r="E426" s="680" t="s">
        <v>369</v>
      </c>
      <c r="F426" s="680" t="s">
        <v>306</v>
      </c>
      <c r="G426" s="680"/>
      <c r="H426" s="680"/>
      <c r="I426" s="680"/>
      <c r="J426" s="680"/>
      <c r="K426" s="680"/>
      <c r="L426" s="499">
        <f>ROUND((I418+J418+K418+L421)*3.93%,2)</f>
        <v>751.89</v>
      </c>
      <c r="M426" s="46">
        <f>L426</f>
        <v>751.89</v>
      </c>
      <c r="N426" s="658"/>
      <c r="O426" s="659"/>
      <c r="P426" s="660"/>
      <c r="Q426" s="681"/>
      <c r="R426" s="682"/>
      <c r="S426" s="683"/>
      <c r="T426" s="500">
        <f>H418*M426*N418*O418*P418</f>
        <v>0</v>
      </c>
      <c r="U426" s="47">
        <f>T426</f>
        <v>0</v>
      </c>
      <c r="V426" s="48"/>
      <c r="W426" s="41"/>
      <c r="X426" s="41"/>
      <c r="Y426" s="41"/>
      <c r="Z426" s="29"/>
      <c r="AA426" s="29"/>
      <c r="AB426" s="44"/>
      <c r="AC426" s="29"/>
      <c r="AD426" s="44">
        <f>T426</f>
        <v>0</v>
      </c>
    </row>
    <row r="427" spans="1:30" s="488" customFormat="1" ht="150" hidden="1" customHeight="1" thickBot="1">
      <c r="A427" s="492"/>
      <c r="B427" s="642">
        <v>1</v>
      </c>
      <c r="C427" s="511">
        <v>5</v>
      </c>
      <c r="D427" s="512"/>
      <c r="E427" s="493" t="s">
        <v>441</v>
      </c>
      <c r="F427" s="487" t="s">
        <v>442</v>
      </c>
      <c r="G427" s="645" t="s">
        <v>388</v>
      </c>
      <c r="H427" s="688">
        <v>0</v>
      </c>
      <c r="I427" s="494">
        <v>17465.669999999998</v>
      </c>
      <c r="J427" s="494">
        <v>730.61</v>
      </c>
      <c r="K427" s="494">
        <v>564.54999999999995</v>
      </c>
      <c r="L427" s="494">
        <f>SUM(L429:L435)</f>
        <v>2343.46</v>
      </c>
      <c r="M427" s="33">
        <f>SUM(I427:L427)</f>
        <v>21104.289999999997</v>
      </c>
      <c r="N427" s="501">
        <v>1</v>
      </c>
      <c r="O427" s="502">
        <v>1</v>
      </c>
      <c r="P427" s="37">
        <v>1</v>
      </c>
      <c r="Q427" s="34">
        <f>H427*I427*N427*O427*P427</f>
        <v>0</v>
      </c>
      <c r="R427" s="35">
        <f>H427*J427*N427*O427*P427</f>
        <v>0</v>
      </c>
      <c r="S427" s="36">
        <f>H427*K427*N427*O427*P427</f>
        <v>0</v>
      </c>
      <c r="T427" s="36">
        <f>H427*L427*N427*O427*P427</f>
        <v>0</v>
      </c>
      <c r="U427" s="37">
        <f>SUM(Q427:T427)</f>
        <v>0</v>
      </c>
      <c r="V427" s="38">
        <f>(Q427+R427+S427+T431+T432+T433+T435)*'Прогнозная стоимость РСС ИП '!$M$11+T430*'Прогнозная стоимость РСС ИП '!$M$10</f>
        <v>0</v>
      </c>
      <c r="W427" s="39">
        <f>T427</f>
        <v>0</v>
      </c>
      <c r="X427" s="39">
        <f>U427</f>
        <v>0</v>
      </c>
      <c r="Y427" s="39">
        <f>V427</f>
        <v>0</v>
      </c>
      <c r="Z427" s="29"/>
      <c r="AA427" s="29"/>
      <c r="AB427" s="29"/>
      <c r="AC427" s="29"/>
      <c r="AD427" s="29"/>
    </row>
    <row r="428" spans="1:30" s="488" customFormat="1" ht="41.25" hidden="1" customHeight="1">
      <c r="A428" s="492"/>
      <c r="B428" s="643"/>
      <c r="C428" s="513"/>
      <c r="D428" s="514"/>
      <c r="E428" s="495"/>
      <c r="F428" s="496"/>
      <c r="G428" s="646"/>
      <c r="H428" s="688"/>
      <c r="I428" s="649"/>
      <c r="J428" s="650"/>
      <c r="K428" s="650"/>
      <c r="L428" s="650"/>
      <c r="M428" s="651"/>
      <c r="N428" s="652"/>
      <c r="O428" s="653"/>
      <c r="P428" s="654"/>
      <c r="Q428" s="661"/>
      <c r="R428" s="662"/>
      <c r="S428" s="662"/>
      <c r="T428" s="662"/>
      <c r="U428" s="663"/>
      <c r="V428" s="40"/>
      <c r="W428" s="41"/>
      <c r="X428" s="41"/>
      <c r="Y428" s="41"/>
      <c r="Z428" s="29"/>
      <c r="AA428" s="29"/>
      <c r="AB428" s="29"/>
      <c r="AC428" s="29"/>
      <c r="AD428" s="29"/>
    </row>
    <row r="429" spans="1:30" s="488" customFormat="1" ht="41.25" hidden="1" customHeight="1">
      <c r="A429" s="492"/>
      <c r="B429" s="643"/>
      <c r="C429" s="513"/>
      <c r="D429" s="514"/>
      <c r="E429" s="664" t="s">
        <v>29</v>
      </c>
      <c r="F429" s="665"/>
      <c r="G429" s="665"/>
      <c r="H429" s="665"/>
      <c r="I429" s="665"/>
      <c r="J429" s="665"/>
      <c r="K429" s="665"/>
      <c r="L429" s="665"/>
      <c r="M429" s="666"/>
      <c r="N429" s="655"/>
      <c r="O429" s="656"/>
      <c r="P429" s="657"/>
      <c r="Q429" s="667"/>
      <c r="R429" s="689"/>
      <c r="S429" s="689"/>
      <c r="T429" s="689"/>
      <c r="U429" s="690"/>
      <c r="V429" s="42"/>
      <c r="W429" s="41"/>
      <c r="X429" s="41"/>
      <c r="Y429" s="41"/>
      <c r="Z429" s="29"/>
      <c r="AA429" s="29"/>
      <c r="AB429" s="29"/>
      <c r="AC429" s="29"/>
      <c r="AD429" s="29"/>
    </row>
    <row r="430" spans="1:30" s="488" customFormat="1" ht="41.25" hidden="1" customHeight="1">
      <c r="A430" s="492"/>
      <c r="B430" s="643"/>
      <c r="C430" s="513">
        <v>55</v>
      </c>
      <c r="D430" s="514"/>
      <c r="E430" s="670" t="s">
        <v>30</v>
      </c>
      <c r="F430" s="670"/>
      <c r="G430" s="670"/>
      <c r="H430" s="670"/>
      <c r="I430" s="670"/>
      <c r="J430" s="670"/>
      <c r="K430" s="670"/>
      <c r="L430" s="498">
        <v>567.67999999999995</v>
      </c>
      <c r="M430" s="459">
        <f>L430</f>
        <v>567.67999999999995</v>
      </c>
      <c r="N430" s="655"/>
      <c r="O430" s="656"/>
      <c r="P430" s="657"/>
      <c r="Q430" s="671"/>
      <c r="R430" s="672"/>
      <c r="S430" s="673"/>
      <c r="T430" s="457">
        <f>H427*M430*N427*O427*P427</f>
        <v>0</v>
      </c>
      <c r="U430" s="458">
        <f>T430</f>
        <v>0</v>
      </c>
      <c r="V430" s="42"/>
      <c r="W430" s="39"/>
      <c r="X430" s="41"/>
      <c r="Y430" s="41"/>
      <c r="Z430" s="43">
        <f>T430</f>
        <v>0</v>
      </c>
      <c r="AA430" s="29"/>
      <c r="AB430" s="29"/>
      <c r="AC430" s="29"/>
      <c r="AD430" s="29"/>
    </row>
    <row r="431" spans="1:30" s="488" customFormat="1" ht="41.25" hidden="1" customHeight="1">
      <c r="A431" s="492"/>
      <c r="B431" s="643"/>
      <c r="C431" s="513"/>
      <c r="D431" s="514"/>
      <c r="E431" s="670" t="s">
        <v>31</v>
      </c>
      <c r="F431" s="670"/>
      <c r="G431" s="670"/>
      <c r="H431" s="670"/>
      <c r="I431" s="670"/>
      <c r="J431" s="670"/>
      <c r="K431" s="670"/>
      <c r="L431" s="498">
        <f>ROUND((I427+J427+K427)*2.14%,2)</f>
        <v>401.48</v>
      </c>
      <c r="M431" s="459">
        <f>L431</f>
        <v>401.48</v>
      </c>
      <c r="N431" s="655"/>
      <c r="O431" s="656"/>
      <c r="P431" s="657"/>
      <c r="Q431" s="671"/>
      <c r="R431" s="672"/>
      <c r="S431" s="673"/>
      <c r="T431" s="457">
        <f>H427*M431*N427*O427*P427</f>
        <v>0</v>
      </c>
      <c r="U431" s="458">
        <f>T431</f>
        <v>0</v>
      </c>
      <c r="V431" s="42"/>
      <c r="W431" s="41"/>
      <c r="X431" s="39"/>
      <c r="Y431" s="41"/>
      <c r="Z431" s="29"/>
      <c r="AA431" s="43">
        <f>T431</f>
        <v>0</v>
      </c>
      <c r="AB431" s="29"/>
      <c r="AC431" s="29"/>
      <c r="AD431" s="29"/>
    </row>
    <row r="432" spans="1:30" s="488" customFormat="1" ht="41.25" hidden="1" customHeight="1">
      <c r="A432" s="492"/>
      <c r="B432" s="643"/>
      <c r="C432" s="515"/>
      <c r="D432" s="514"/>
      <c r="E432" s="670" t="s">
        <v>376</v>
      </c>
      <c r="F432" s="670"/>
      <c r="G432" s="670"/>
      <c r="H432" s="670"/>
      <c r="I432" s="670"/>
      <c r="J432" s="670"/>
      <c r="K432" s="670"/>
      <c r="L432" s="498">
        <f>ROUND((I427+J427+K427+L430+L431+L435)*3%,2)</f>
        <v>614.69000000000005</v>
      </c>
      <c r="M432" s="459">
        <f>L432</f>
        <v>614.69000000000005</v>
      </c>
      <c r="N432" s="655"/>
      <c r="O432" s="656"/>
      <c r="P432" s="657"/>
      <c r="Q432" s="671"/>
      <c r="R432" s="672"/>
      <c r="S432" s="673"/>
      <c r="T432" s="457">
        <f>H427*M432*N427*O427*P427</f>
        <v>0</v>
      </c>
      <c r="U432" s="458">
        <f>T432</f>
        <v>0</v>
      </c>
      <c r="V432" s="42"/>
      <c r="W432" s="41"/>
      <c r="X432" s="41"/>
      <c r="Y432" s="39"/>
      <c r="Z432" s="29"/>
      <c r="AA432" s="29"/>
      <c r="AB432" s="43">
        <f>T432</f>
        <v>0</v>
      </c>
      <c r="AC432" s="29"/>
      <c r="AD432" s="29"/>
    </row>
    <row r="433" spans="1:30" s="488" customFormat="1" ht="54.75" hidden="1" customHeight="1">
      <c r="A433" s="492"/>
      <c r="B433" s="643"/>
      <c r="C433" s="515"/>
      <c r="D433" s="514"/>
      <c r="E433" s="670" t="s">
        <v>377</v>
      </c>
      <c r="F433" s="670"/>
      <c r="G433" s="670"/>
      <c r="H433" s="670"/>
      <c r="I433" s="670"/>
      <c r="J433" s="670"/>
      <c r="K433" s="670"/>
      <c r="L433" s="498">
        <f>2293.32-K427-L430-L431-L435</f>
        <v>0</v>
      </c>
      <c r="M433" s="459">
        <f>L433</f>
        <v>0</v>
      </c>
      <c r="N433" s="655"/>
      <c r="O433" s="656"/>
      <c r="P433" s="657"/>
      <c r="Q433" s="671"/>
      <c r="R433" s="672"/>
      <c r="S433" s="673"/>
      <c r="T433" s="457">
        <f>H427*M433*N427*O427*P427</f>
        <v>0</v>
      </c>
      <c r="U433" s="458">
        <f>T433</f>
        <v>0</v>
      </c>
      <c r="V433" s="42"/>
      <c r="W433" s="41"/>
      <c r="X433" s="41"/>
      <c r="Y433" s="41"/>
      <c r="Z433" s="44"/>
      <c r="AA433" s="29"/>
      <c r="AB433" s="29"/>
      <c r="AC433" s="44">
        <f>T433</f>
        <v>0</v>
      </c>
      <c r="AD433" s="29"/>
    </row>
    <row r="434" spans="1:30" s="488" customFormat="1" ht="45" hidden="1" customHeight="1">
      <c r="A434" s="492"/>
      <c r="B434" s="643"/>
      <c r="C434" s="515"/>
      <c r="D434" s="514"/>
      <c r="E434" s="674"/>
      <c r="F434" s="675"/>
      <c r="G434" s="675"/>
      <c r="H434" s="675"/>
      <c r="I434" s="675"/>
      <c r="J434" s="675"/>
      <c r="K434" s="675"/>
      <c r="L434" s="675"/>
      <c r="M434" s="676"/>
      <c r="N434" s="655"/>
      <c r="O434" s="656"/>
      <c r="P434" s="657"/>
      <c r="Q434" s="677"/>
      <c r="R434" s="678"/>
      <c r="S434" s="678"/>
      <c r="T434" s="678"/>
      <c r="U434" s="679"/>
      <c r="V434" s="45"/>
      <c r="W434" s="41"/>
      <c r="X434" s="41"/>
      <c r="Y434" s="41"/>
      <c r="Z434" s="29"/>
      <c r="AA434" s="44"/>
      <c r="AB434" s="29"/>
      <c r="AC434" s="29"/>
      <c r="AD434" s="29"/>
    </row>
    <row r="435" spans="1:30" s="488" customFormat="1" ht="45" hidden="1" customHeight="1" thickBot="1">
      <c r="A435" s="492"/>
      <c r="B435" s="644"/>
      <c r="C435" s="516"/>
      <c r="D435" s="517"/>
      <c r="E435" s="680" t="s">
        <v>369</v>
      </c>
      <c r="F435" s="680" t="s">
        <v>306</v>
      </c>
      <c r="G435" s="680"/>
      <c r="H435" s="680"/>
      <c r="I435" s="680"/>
      <c r="J435" s="680"/>
      <c r="K435" s="680"/>
      <c r="L435" s="499">
        <f>ROUND((I427+J427+K427+L430)*3.93%,2)</f>
        <v>759.61</v>
      </c>
      <c r="M435" s="46">
        <f>L435</f>
        <v>759.61</v>
      </c>
      <c r="N435" s="658"/>
      <c r="O435" s="659"/>
      <c r="P435" s="660"/>
      <c r="Q435" s="681"/>
      <c r="R435" s="682"/>
      <c r="S435" s="683"/>
      <c r="T435" s="500">
        <f>H427*M435*N427*O427*P427</f>
        <v>0</v>
      </c>
      <c r="U435" s="47">
        <f>T435</f>
        <v>0</v>
      </c>
      <c r="V435" s="48"/>
      <c r="W435" s="41"/>
      <c r="X435" s="41"/>
      <c r="Y435" s="41"/>
      <c r="Z435" s="29"/>
      <c r="AA435" s="29"/>
      <c r="AB435" s="44"/>
      <c r="AC435" s="29"/>
      <c r="AD435" s="44">
        <f>T435</f>
        <v>0</v>
      </c>
    </row>
    <row r="436" spans="1:30" s="488" customFormat="1" ht="150" hidden="1" customHeight="1" thickBot="1">
      <c r="A436" s="492"/>
      <c r="B436" s="642">
        <v>1</v>
      </c>
      <c r="C436" s="511">
        <v>5</v>
      </c>
      <c r="D436" s="512"/>
      <c r="E436" s="493" t="s">
        <v>443</v>
      </c>
      <c r="F436" s="487" t="s">
        <v>444</v>
      </c>
      <c r="G436" s="645" t="s">
        <v>388</v>
      </c>
      <c r="H436" s="688">
        <v>0</v>
      </c>
      <c r="I436" s="494">
        <v>17764.41</v>
      </c>
      <c r="J436" s="494">
        <v>730.61</v>
      </c>
      <c r="K436" s="494">
        <v>564.54999999999995</v>
      </c>
      <c r="L436" s="494">
        <f>SUM(L438:L444)</f>
        <v>2371.73</v>
      </c>
      <c r="M436" s="33">
        <f>SUM(I436:L436)</f>
        <v>21431.3</v>
      </c>
      <c r="N436" s="501">
        <v>1</v>
      </c>
      <c r="O436" s="502">
        <v>1</v>
      </c>
      <c r="P436" s="37">
        <v>1</v>
      </c>
      <c r="Q436" s="34">
        <f>H436*I436*N436*O436*P436</f>
        <v>0</v>
      </c>
      <c r="R436" s="35">
        <f>H436*J436*N436*O436*P436</f>
        <v>0</v>
      </c>
      <c r="S436" s="36">
        <f>H436*K436*N436*O436*P436</f>
        <v>0</v>
      </c>
      <c r="T436" s="36">
        <f>H436*L436*N436*O436*P436</f>
        <v>0</v>
      </c>
      <c r="U436" s="37">
        <f>SUM(Q436:T436)</f>
        <v>0</v>
      </c>
      <c r="V436" s="38">
        <f>(Q436+R436+S436+T440+T441+T442+T444)*'Прогнозная стоимость РСС ИП '!$M$11+T439*'Прогнозная стоимость РСС ИП '!$M$10</f>
        <v>0</v>
      </c>
      <c r="W436" s="39">
        <f>T436</f>
        <v>0</v>
      </c>
      <c r="X436" s="39">
        <f>U436</f>
        <v>0</v>
      </c>
      <c r="Y436" s="39">
        <f>V436</f>
        <v>0</v>
      </c>
      <c r="Z436" s="29"/>
      <c r="AA436" s="29"/>
      <c r="AB436" s="29"/>
      <c r="AC436" s="29"/>
      <c r="AD436" s="29"/>
    </row>
    <row r="437" spans="1:30" s="488" customFormat="1" ht="41.25" hidden="1" customHeight="1">
      <c r="A437" s="492"/>
      <c r="B437" s="643"/>
      <c r="C437" s="513"/>
      <c r="D437" s="514"/>
      <c r="E437" s="495"/>
      <c r="F437" s="496"/>
      <c r="G437" s="646"/>
      <c r="H437" s="688"/>
      <c r="I437" s="649"/>
      <c r="J437" s="650"/>
      <c r="K437" s="650"/>
      <c r="L437" s="650"/>
      <c r="M437" s="651"/>
      <c r="N437" s="652"/>
      <c r="O437" s="653"/>
      <c r="P437" s="654"/>
      <c r="Q437" s="661"/>
      <c r="R437" s="662"/>
      <c r="S437" s="662"/>
      <c r="T437" s="662"/>
      <c r="U437" s="663"/>
      <c r="V437" s="40"/>
      <c r="W437" s="41"/>
      <c r="X437" s="41"/>
      <c r="Y437" s="41"/>
      <c r="Z437" s="29"/>
      <c r="AA437" s="29"/>
      <c r="AB437" s="29"/>
      <c r="AC437" s="29"/>
      <c r="AD437" s="29"/>
    </row>
    <row r="438" spans="1:30" s="488" customFormat="1" ht="41.25" hidden="1" customHeight="1">
      <c r="A438" s="492"/>
      <c r="B438" s="643"/>
      <c r="C438" s="513"/>
      <c r="D438" s="514"/>
      <c r="E438" s="664" t="s">
        <v>29</v>
      </c>
      <c r="F438" s="665"/>
      <c r="G438" s="665"/>
      <c r="H438" s="665"/>
      <c r="I438" s="665"/>
      <c r="J438" s="665"/>
      <c r="K438" s="665"/>
      <c r="L438" s="665"/>
      <c r="M438" s="666"/>
      <c r="N438" s="655"/>
      <c r="O438" s="656"/>
      <c r="P438" s="657"/>
      <c r="Q438" s="667"/>
      <c r="R438" s="689"/>
      <c r="S438" s="689"/>
      <c r="T438" s="689"/>
      <c r="U438" s="690"/>
      <c r="V438" s="42"/>
      <c r="W438" s="41"/>
      <c r="X438" s="41"/>
      <c r="Y438" s="41"/>
      <c r="Z438" s="29"/>
      <c r="AA438" s="29"/>
      <c r="AB438" s="29"/>
      <c r="AC438" s="29"/>
      <c r="AD438" s="29"/>
    </row>
    <row r="439" spans="1:30" s="488" customFormat="1" ht="41.25" hidden="1" customHeight="1">
      <c r="A439" s="492"/>
      <c r="B439" s="643"/>
      <c r="C439" s="513">
        <v>55</v>
      </c>
      <c r="D439" s="514"/>
      <c r="E439" s="670" t="s">
        <v>30</v>
      </c>
      <c r="F439" s="670"/>
      <c r="G439" s="670"/>
      <c r="H439" s="670"/>
      <c r="I439" s="670"/>
      <c r="J439" s="670"/>
      <c r="K439" s="670"/>
      <c r="L439" s="498">
        <v>568.28</v>
      </c>
      <c r="M439" s="459">
        <f>L439</f>
        <v>568.28</v>
      </c>
      <c r="N439" s="655"/>
      <c r="O439" s="656"/>
      <c r="P439" s="657"/>
      <c r="Q439" s="671"/>
      <c r="R439" s="672"/>
      <c r="S439" s="673"/>
      <c r="T439" s="457">
        <f>H436*M439*N436*O436*P436</f>
        <v>0</v>
      </c>
      <c r="U439" s="458">
        <f>T439</f>
        <v>0</v>
      </c>
      <c r="V439" s="42"/>
      <c r="W439" s="39"/>
      <c r="X439" s="41"/>
      <c r="Y439" s="41"/>
      <c r="Z439" s="43">
        <f>T439</f>
        <v>0</v>
      </c>
      <c r="AA439" s="29"/>
      <c r="AB439" s="29"/>
      <c r="AC439" s="29"/>
      <c r="AD439" s="29"/>
    </row>
    <row r="440" spans="1:30" s="488" customFormat="1" ht="41.25" hidden="1" customHeight="1">
      <c r="A440" s="492"/>
      <c r="B440" s="643"/>
      <c r="C440" s="513"/>
      <c r="D440" s="514"/>
      <c r="E440" s="670" t="s">
        <v>31</v>
      </c>
      <c r="F440" s="670"/>
      <c r="G440" s="670"/>
      <c r="H440" s="670"/>
      <c r="I440" s="670"/>
      <c r="J440" s="670"/>
      <c r="K440" s="670"/>
      <c r="L440" s="498">
        <f>ROUND((I436+J436+K436)*2.14%,2)</f>
        <v>407.87</v>
      </c>
      <c r="M440" s="459">
        <f>L440</f>
        <v>407.87</v>
      </c>
      <c r="N440" s="655"/>
      <c r="O440" s="656"/>
      <c r="P440" s="657"/>
      <c r="Q440" s="671"/>
      <c r="R440" s="672"/>
      <c r="S440" s="673"/>
      <c r="T440" s="457">
        <f>H436*M440*N436*O436*P436</f>
        <v>0</v>
      </c>
      <c r="U440" s="458">
        <f>T440</f>
        <v>0</v>
      </c>
      <c r="V440" s="42"/>
      <c r="W440" s="41"/>
      <c r="X440" s="39"/>
      <c r="Y440" s="41"/>
      <c r="Z440" s="29"/>
      <c r="AA440" s="43">
        <f>T440</f>
        <v>0</v>
      </c>
      <c r="AB440" s="29"/>
      <c r="AC440" s="29"/>
      <c r="AD440" s="29"/>
    </row>
    <row r="441" spans="1:30" s="488" customFormat="1" ht="41.25" hidden="1" customHeight="1">
      <c r="A441" s="492"/>
      <c r="B441" s="643"/>
      <c r="C441" s="515"/>
      <c r="D441" s="514"/>
      <c r="E441" s="670" t="s">
        <v>376</v>
      </c>
      <c r="F441" s="670"/>
      <c r="G441" s="670"/>
      <c r="H441" s="670"/>
      <c r="I441" s="670"/>
      <c r="J441" s="670"/>
      <c r="K441" s="670"/>
      <c r="L441" s="498">
        <f>ROUND((I436+J436+K436+L439+L440+L444)*3%,2)</f>
        <v>624.21</v>
      </c>
      <c r="M441" s="459">
        <f>L441</f>
        <v>624.21</v>
      </c>
      <c r="N441" s="655"/>
      <c r="O441" s="656"/>
      <c r="P441" s="657"/>
      <c r="Q441" s="671"/>
      <c r="R441" s="672"/>
      <c r="S441" s="673"/>
      <c r="T441" s="457">
        <f>H436*M441*N436*O436*P436</f>
        <v>0</v>
      </c>
      <c r="U441" s="458">
        <f>T441</f>
        <v>0</v>
      </c>
      <c r="V441" s="42"/>
      <c r="W441" s="41"/>
      <c r="X441" s="41"/>
      <c r="Y441" s="39"/>
      <c r="Z441" s="29"/>
      <c r="AA441" s="29"/>
      <c r="AB441" s="43">
        <f>T441</f>
        <v>0</v>
      </c>
      <c r="AC441" s="29"/>
      <c r="AD441" s="29"/>
    </row>
    <row r="442" spans="1:30" s="488" customFormat="1" ht="54.75" hidden="1" customHeight="1">
      <c r="A442" s="492"/>
      <c r="B442" s="643"/>
      <c r="C442" s="515"/>
      <c r="D442" s="514"/>
      <c r="E442" s="670" t="s">
        <v>377</v>
      </c>
      <c r="F442" s="670"/>
      <c r="G442" s="670"/>
      <c r="H442" s="670"/>
      <c r="I442" s="670"/>
      <c r="J442" s="670"/>
      <c r="K442" s="670"/>
      <c r="L442" s="498">
        <f>2312.07-K436-L439-L440-L444</f>
        <v>0</v>
      </c>
      <c r="M442" s="459">
        <f>L442</f>
        <v>0</v>
      </c>
      <c r="N442" s="655"/>
      <c r="O442" s="656"/>
      <c r="P442" s="657"/>
      <c r="Q442" s="671"/>
      <c r="R442" s="672"/>
      <c r="S442" s="673"/>
      <c r="T442" s="457">
        <f>H436*M442*N436*O436*P436</f>
        <v>0</v>
      </c>
      <c r="U442" s="458">
        <f>T442</f>
        <v>0</v>
      </c>
      <c r="V442" s="42"/>
      <c r="W442" s="41"/>
      <c r="X442" s="41"/>
      <c r="Y442" s="41"/>
      <c r="Z442" s="44"/>
      <c r="AA442" s="29"/>
      <c r="AB442" s="29"/>
      <c r="AC442" s="44">
        <f>T442</f>
        <v>0</v>
      </c>
      <c r="AD442" s="29"/>
    </row>
    <row r="443" spans="1:30" s="488" customFormat="1" ht="45" hidden="1" customHeight="1">
      <c r="A443" s="492"/>
      <c r="B443" s="643"/>
      <c r="C443" s="515"/>
      <c r="D443" s="514"/>
      <c r="E443" s="674"/>
      <c r="F443" s="675"/>
      <c r="G443" s="675"/>
      <c r="H443" s="675"/>
      <c r="I443" s="675"/>
      <c r="J443" s="675"/>
      <c r="K443" s="675"/>
      <c r="L443" s="675"/>
      <c r="M443" s="676"/>
      <c r="N443" s="655"/>
      <c r="O443" s="656"/>
      <c r="P443" s="657"/>
      <c r="Q443" s="677"/>
      <c r="R443" s="678"/>
      <c r="S443" s="678"/>
      <c r="T443" s="678"/>
      <c r="U443" s="679"/>
      <c r="V443" s="45"/>
      <c r="W443" s="41"/>
      <c r="X443" s="41"/>
      <c r="Y443" s="41"/>
      <c r="Z443" s="29"/>
      <c r="AA443" s="44"/>
      <c r="AB443" s="29"/>
      <c r="AC443" s="29"/>
      <c r="AD443" s="29"/>
    </row>
    <row r="444" spans="1:30" s="488" customFormat="1" ht="45" hidden="1" customHeight="1" thickBot="1">
      <c r="A444" s="492"/>
      <c r="B444" s="644"/>
      <c r="C444" s="516"/>
      <c r="D444" s="517"/>
      <c r="E444" s="680" t="s">
        <v>369</v>
      </c>
      <c r="F444" s="680" t="s">
        <v>306</v>
      </c>
      <c r="G444" s="680"/>
      <c r="H444" s="680"/>
      <c r="I444" s="680"/>
      <c r="J444" s="680"/>
      <c r="K444" s="680"/>
      <c r="L444" s="499">
        <f>ROUND((I436+J436+K436+L439)*3.93%,2)</f>
        <v>771.37</v>
      </c>
      <c r="M444" s="46">
        <f>L444</f>
        <v>771.37</v>
      </c>
      <c r="N444" s="658"/>
      <c r="O444" s="659"/>
      <c r="P444" s="660"/>
      <c r="Q444" s="681"/>
      <c r="R444" s="682"/>
      <c r="S444" s="683"/>
      <c r="T444" s="500">
        <f>H436*M444*N436*O436*P436</f>
        <v>0</v>
      </c>
      <c r="U444" s="47">
        <f>T444</f>
        <v>0</v>
      </c>
      <c r="V444" s="48"/>
      <c r="W444" s="41"/>
      <c r="X444" s="41"/>
      <c r="Y444" s="41"/>
      <c r="Z444" s="29"/>
      <c r="AA444" s="29"/>
      <c r="AB444" s="44"/>
      <c r="AC444" s="29"/>
      <c r="AD444" s="44">
        <f>T444</f>
        <v>0</v>
      </c>
    </row>
    <row r="445" spans="1:30" s="488" customFormat="1" ht="150" hidden="1" customHeight="1" thickBot="1">
      <c r="A445" s="492"/>
      <c r="B445" s="642">
        <v>1</v>
      </c>
      <c r="C445" s="511">
        <v>5</v>
      </c>
      <c r="D445" s="512"/>
      <c r="E445" s="493" t="s">
        <v>445</v>
      </c>
      <c r="F445" s="487" t="s">
        <v>446</v>
      </c>
      <c r="G445" s="645" t="s">
        <v>388</v>
      </c>
      <c r="H445" s="688">
        <v>0</v>
      </c>
      <c r="I445" s="494">
        <v>18298.73</v>
      </c>
      <c r="J445" s="494">
        <v>730.61</v>
      </c>
      <c r="K445" s="494">
        <v>564.54999999999995</v>
      </c>
      <c r="L445" s="494">
        <f>SUM(L447:L453)</f>
        <v>2588.5</v>
      </c>
      <c r="M445" s="33">
        <f>SUM(I445:L445)</f>
        <v>22182.39</v>
      </c>
      <c r="N445" s="501">
        <v>1</v>
      </c>
      <c r="O445" s="502">
        <v>1</v>
      </c>
      <c r="P445" s="37">
        <v>1</v>
      </c>
      <c r="Q445" s="34">
        <f>H445*I445*N445*O445*P445</f>
        <v>0</v>
      </c>
      <c r="R445" s="35">
        <f>H445*J445*N445*O445*P445</f>
        <v>0</v>
      </c>
      <c r="S445" s="36">
        <f>H445*K445*N445*O445*P445</f>
        <v>0</v>
      </c>
      <c r="T445" s="36">
        <f>H445*L445*N445*O445*P445</f>
        <v>0</v>
      </c>
      <c r="U445" s="37">
        <f>SUM(Q445:T445)</f>
        <v>0</v>
      </c>
      <c r="V445" s="38">
        <f>(Q445+R445+S445+T449+T450+T451+T453)*'Прогнозная стоимость РСС ИП '!$M$11+T448*'Прогнозная стоимость РСС ИП '!$M$10</f>
        <v>0</v>
      </c>
      <c r="W445" s="39">
        <f>T445</f>
        <v>0</v>
      </c>
      <c r="X445" s="39">
        <f>U445</f>
        <v>0</v>
      </c>
      <c r="Y445" s="39">
        <f>V445</f>
        <v>0</v>
      </c>
      <c r="Z445" s="29"/>
      <c r="AA445" s="29"/>
      <c r="AB445" s="29"/>
      <c r="AC445" s="29"/>
      <c r="AD445" s="29"/>
    </row>
    <row r="446" spans="1:30" s="488" customFormat="1" ht="41.25" hidden="1" customHeight="1">
      <c r="A446" s="492"/>
      <c r="B446" s="643"/>
      <c r="C446" s="513"/>
      <c r="D446" s="514"/>
      <c r="E446" s="495"/>
      <c r="F446" s="496"/>
      <c r="G446" s="646"/>
      <c r="H446" s="688"/>
      <c r="I446" s="649"/>
      <c r="J446" s="650"/>
      <c r="K446" s="650"/>
      <c r="L446" s="650"/>
      <c r="M446" s="651"/>
      <c r="N446" s="652"/>
      <c r="O446" s="653"/>
      <c r="P446" s="654"/>
      <c r="Q446" s="661"/>
      <c r="R446" s="662"/>
      <c r="S446" s="662"/>
      <c r="T446" s="662"/>
      <c r="U446" s="663"/>
      <c r="V446" s="40"/>
      <c r="W446" s="41"/>
      <c r="X446" s="41"/>
      <c r="Y446" s="41"/>
      <c r="Z446" s="29"/>
      <c r="AA446" s="29"/>
      <c r="AB446" s="29"/>
      <c r="AC446" s="29"/>
      <c r="AD446" s="29"/>
    </row>
    <row r="447" spans="1:30" s="488" customFormat="1" ht="41.25" hidden="1" customHeight="1">
      <c r="A447" s="492"/>
      <c r="B447" s="643"/>
      <c r="C447" s="513"/>
      <c r="D447" s="514"/>
      <c r="E447" s="664" t="s">
        <v>29</v>
      </c>
      <c r="F447" s="665"/>
      <c r="G447" s="665"/>
      <c r="H447" s="665"/>
      <c r="I447" s="665"/>
      <c r="J447" s="665"/>
      <c r="K447" s="665"/>
      <c r="L447" s="665"/>
      <c r="M447" s="666"/>
      <c r="N447" s="655"/>
      <c r="O447" s="656"/>
      <c r="P447" s="657"/>
      <c r="Q447" s="667"/>
      <c r="R447" s="689"/>
      <c r="S447" s="689"/>
      <c r="T447" s="689"/>
      <c r="U447" s="690"/>
      <c r="V447" s="42"/>
      <c r="W447" s="41"/>
      <c r="X447" s="41"/>
      <c r="Y447" s="41"/>
      <c r="Z447" s="29"/>
      <c r="AA447" s="29"/>
      <c r="AB447" s="29"/>
      <c r="AC447" s="29"/>
      <c r="AD447" s="29"/>
    </row>
    <row r="448" spans="1:30" s="488" customFormat="1" ht="41.25" hidden="1" customHeight="1">
      <c r="A448" s="492"/>
      <c r="B448" s="643"/>
      <c r="C448" s="513">
        <v>55</v>
      </c>
      <c r="D448" s="514"/>
      <c r="E448" s="670" t="s">
        <v>30</v>
      </c>
      <c r="F448" s="670"/>
      <c r="G448" s="670"/>
      <c r="H448" s="670"/>
      <c r="I448" s="670"/>
      <c r="J448" s="670"/>
      <c r="K448" s="670"/>
      <c r="L448" s="498">
        <v>724.58</v>
      </c>
      <c r="M448" s="459">
        <f>L448</f>
        <v>724.58</v>
      </c>
      <c r="N448" s="655"/>
      <c r="O448" s="656"/>
      <c r="P448" s="657"/>
      <c r="Q448" s="671"/>
      <c r="R448" s="672"/>
      <c r="S448" s="673"/>
      <c r="T448" s="457">
        <f>H445*M448*N445*O445*P445</f>
        <v>0</v>
      </c>
      <c r="U448" s="458">
        <f>T448</f>
        <v>0</v>
      </c>
      <c r="V448" s="42"/>
      <c r="W448" s="39"/>
      <c r="X448" s="41"/>
      <c r="Y448" s="41"/>
      <c r="Z448" s="43">
        <f>T448</f>
        <v>0</v>
      </c>
      <c r="AA448" s="29"/>
      <c r="AB448" s="29"/>
      <c r="AC448" s="29"/>
      <c r="AD448" s="29"/>
    </row>
    <row r="449" spans="1:30" s="488" customFormat="1" ht="41.25" hidden="1" customHeight="1">
      <c r="A449" s="492"/>
      <c r="B449" s="643"/>
      <c r="C449" s="513"/>
      <c r="D449" s="514"/>
      <c r="E449" s="670" t="s">
        <v>31</v>
      </c>
      <c r="F449" s="670"/>
      <c r="G449" s="670"/>
      <c r="H449" s="670"/>
      <c r="I449" s="670"/>
      <c r="J449" s="670"/>
      <c r="K449" s="670"/>
      <c r="L449" s="498">
        <f>ROUND((I445+J445+K445)*2.14%,2)</f>
        <v>419.31</v>
      </c>
      <c r="M449" s="459">
        <f>L449</f>
        <v>419.31</v>
      </c>
      <c r="N449" s="655"/>
      <c r="O449" s="656"/>
      <c r="P449" s="657"/>
      <c r="Q449" s="671"/>
      <c r="R449" s="672"/>
      <c r="S449" s="673"/>
      <c r="T449" s="457">
        <f>H445*M449*N445*O445*P445</f>
        <v>0</v>
      </c>
      <c r="U449" s="458">
        <f>T449</f>
        <v>0</v>
      </c>
      <c r="V449" s="42"/>
      <c r="W449" s="41"/>
      <c r="X449" s="39"/>
      <c r="Y449" s="41"/>
      <c r="Z449" s="29"/>
      <c r="AA449" s="43">
        <f>T449</f>
        <v>0</v>
      </c>
      <c r="AB449" s="29"/>
      <c r="AC449" s="29"/>
      <c r="AD449" s="29"/>
    </row>
    <row r="450" spans="1:30" s="488" customFormat="1" ht="41.25" hidden="1" customHeight="1">
      <c r="A450" s="492"/>
      <c r="B450" s="643"/>
      <c r="C450" s="515"/>
      <c r="D450" s="514"/>
      <c r="E450" s="670" t="s">
        <v>376</v>
      </c>
      <c r="F450" s="670"/>
      <c r="G450" s="670"/>
      <c r="H450" s="670"/>
      <c r="I450" s="670"/>
      <c r="J450" s="670"/>
      <c r="K450" s="670"/>
      <c r="L450" s="498">
        <f>ROUND((I445+J445+K445+L448+L449+L453)*3%,2)</f>
        <v>646.09</v>
      </c>
      <c r="M450" s="459">
        <f>L450</f>
        <v>646.09</v>
      </c>
      <c r="N450" s="655"/>
      <c r="O450" s="656"/>
      <c r="P450" s="657"/>
      <c r="Q450" s="671"/>
      <c r="R450" s="672"/>
      <c r="S450" s="673"/>
      <c r="T450" s="457">
        <f>H445*M450*N445*O445*P445</f>
        <v>0</v>
      </c>
      <c r="U450" s="458">
        <f>T450</f>
        <v>0</v>
      </c>
      <c r="V450" s="42"/>
      <c r="W450" s="41"/>
      <c r="X450" s="41"/>
      <c r="Y450" s="39"/>
      <c r="Z450" s="29"/>
      <c r="AA450" s="29"/>
      <c r="AB450" s="43">
        <f>T450</f>
        <v>0</v>
      </c>
      <c r="AC450" s="29"/>
      <c r="AD450" s="29"/>
    </row>
    <row r="451" spans="1:30" s="488" customFormat="1" ht="54.75" hidden="1" customHeight="1">
      <c r="A451" s="492"/>
      <c r="B451" s="643"/>
      <c r="C451" s="515"/>
      <c r="D451" s="514"/>
      <c r="E451" s="670" t="s">
        <v>377</v>
      </c>
      <c r="F451" s="670"/>
      <c r="G451" s="670"/>
      <c r="H451" s="670"/>
      <c r="I451" s="670"/>
      <c r="J451" s="670"/>
      <c r="K451" s="670"/>
      <c r="L451" s="498">
        <f>2506.96-K445-L448-L449-L453</f>
        <v>0</v>
      </c>
      <c r="M451" s="459">
        <f>L451</f>
        <v>0</v>
      </c>
      <c r="N451" s="655"/>
      <c r="O451" s="656"/>
      <c r="P451" s="657"/>
      <c r="Q451" s="671"/>
      <c r="R451" s="672"/>
      <c r="S451" s="673"/>
      <c r="T451" s="457">
        <f>H445*M451*N445*O445*P445</f>
        <v>0</v>
      </c>
      <c r="U451" s="458">
        <f>T451</f>
        <v>0</v>
      </c>
      <c r="V451" s="42"/>
      <c r="W451" s="41"/>
      <c r="X451" s="41"/>
      <c r="Y451" s="41"/>
      <c r="Z451" s="44"/>
      <c r="AA451" s="29"/>
      <c r="AB451" s="29"/>
      <c r="AC451" s="44">
        <f>T451</f>
        <v>0</v>
      </c>
      <c r="AD451" s="29"/>
    </row>
    <row r="452" spans="1:30" s="488" customFormat="1" ht="45" hidden="1" customHeight="1">
      <c r="A452" s="492"/>
      <c r="B452" s="643"/>
      <c r="C452" s="515"/>
      <c r="D452" s="514"/>
      <c r="E452" s="674"/>
      <c r="F452" s="675"/>
      <c r="G452" s="675"/>
      <c r="H452" s="675"/>
      <c r="I452" s="675"/>
      <c r="J452" s="675"/>
      <c r="K452" s="675"/>
      <c r="L452" s="675"/>
      <c r="M452" s="676"/>
      <c r="N452" s="655"/>
      <c r="O452" s="656"/>
      <c r="P452" s="657"/>
      <c r="Q452" s="677"/>
      <c r="R452" s="678"/>
      <c r="S452" s="678"/>
      <c r="T452" s="678"/>
      <c r="U452" s="679"/>
      <c r="V452" s="45"/>
      <c r="W452" s="41"/>
      <c r="X452" s="41"/>
      <c r="Y452" s="41"/>
      <c r="Z452" s="29"/>
      <c r="AA452" s="44"/>
      <c r="AB452" s="29"/>
      <c r="AC452" s="29"/>
      <c r="AD452" s="29"/>
    </row>
    <row r="453" spans="1:30" s="488" customFormat="1" ht="45" hidden="1" customHeight="1" thickBot="1">
      <c r="A453" s="492"/>
      <c r="B453" s="644"/>
      <c r="C453" s="516"/>
      <c r="D453" s="517"/>
      <c r="E453" s="680" t="s">
        <v>369</v>
      </c>
      <c r="F453" s="680" t="s">
        <v>306</v>
      </c>
      <c r="G453" s="680"/>
      <c r="H453" s="680"/>
      <c r="I453" s="680"/>
      <c r="J453" s="680"/>
      <c r="K453" s="680"/>
      <c r="L453" s="499">
        <f>ROUND((I445+J445+K445+L448)*3.93%,2)</f>
        <v>798.52</v>
      </c>
      <c r="M453" s="46">
        <f>L453</f>
        <v>798.52</v>
      </c>
      <c r="N453" s="658"/>
      <c r="O453" s="659"/>
      <c r="P453" s="660"/>
      <c r="Q453" s="681"/>
      <c r="R453" s="682"/>
      <c r="S453" s="683"/>
      <c r="T453" s="500">
        <f>H445*M453*N445*O445*P445</f>
        <v>0</v>
      </c>
      <c r="U453" s="47">
        <f>T453</f>
        <v>0</v>
      </c>
      <c r="V453" s="48"/>
      <c r="W453" s="41"/>
      <c r="X453" s="41"/>
      <c r="Y453" s="41"/>
      <c r="Z453" s="29"/>
      <c r="AA453" s="29"/>
      <c r="AB453" s="44"/>
      <c r="AC453" s="29"/>
      <c r="AD453" s="44">
        <f>T453</f>
        <v>0</v>
      </c>
    </row>
    <row r="454" spans="1:30" s="488" customFormat="1" ht="150" hidden="1" customHeight="1" thickBot="1">
      <c r="A454" s="492"/>
      <c r="B454" s="642">
        <v>1</v>
      </c>
      <c r="C454" s="511">
        <v>5</v>
      </c>
      <c r="D454" s="512"/>
      <c r="E454" s="493" t="s">
        <v>447</v>
      </c>
      <c r="F454" s="487" t="s">
        <v>448</v>
      </c>
      <c r="G454" s="645" t="s">
        <v>388</v>
      </c>
      <c r="H454" s="688">
        <v>0</v>
      </c>
      <c r="I454" s="494">
        <v>19425.310000000001</v>
      </c>
      <c r="J454" s="494">
        <v>730.61</v>
      </c>
      <c r="K454" s="494">
        <v>564.54999999999995</v>
      </c>
      <c r="L454" s="494">
        <f>SUM(L456:L462)</f>
        <v>2695.14</v>
      </c>
      <c r="M454" s="33">
        <f>SUM(I454:L454)</f>
        <v>23415.61</v>
      </c>
      <c r="N454" s="501">
        <v>1</v>
      </c>
      <c r="O454" s="502">
        <v>1</v>
      </c>
      <c r="P454" s="37">
        <v>1</v>
      </c>
      <c r="Q454" s="34">
        <f>H454*I454*N454*O454*P454</f>
        <v>0</v>
      </c>
      <c r="R454" s="35">
        <f>H454*J454*N454*O454*P454</f>
        <v>0</v>
      </c>
      <c r="S454" s="36">
        <f>H454*K454*N454*O454*P454</f>
        <v>0</v>
      </c>
      <c r="T454" s="36">
        <f>H454*L454*N454*O454*P454</f>
        <v>0</v>
      </c>
      <c r="U454" s="37">
        <f>SUM(Q454:T454)</f>
        <v>0</v>
      </c>
      <c r="V454" s="38">
        <f>(Q454+R454+S454+T458+T459+T460+T462)*'Прогнозная стоимость РСС ИП '!$M$11+T457*'Прогнозная стоимость РСС ИП '!$M$10</f>
        <v>0</v>
      </c>
      <c r="W454" s="39">
        <f>T454</f>
        <v>0</v>
      </c>
      <c r="X454" s="39">
        <f>U454</f>
        <v>0</v>
      </c>
      <c r="Y454" s="39">
        <f>V454</f>
        <v>0</v>
      </c>
      <c r="Z454" s="29"/>
      <c r="AA454" s="29"/>
      <c r="AB454" s="29"/>
      <c r="AC454" s="29"/>
      <c r="AD454" s="29"/>
    </row>
    <row r="455" spans="1:30" s="488" customFormat="1" ht="41.25" hidden="1" customHeight="1">
      <c r="A455" s="492"/>
      <c r="B455" s="643"/>
      <c r="C455" s="513"/>
      <c r="D455" s="514"/>
      <c r="E455" s="495"/>
      <c r="F455" s="496"/>
      <c r="G455" s="646"/>
      <c r="H455" s="688"/>
      <c r="I455" s="649"/>
      <c r="J455" s="650"/>
      <c r="K455" s="650"/>
      <c r="L455" s="650"/>
      <c r="M455" s="651"/>
      <c r="N455" s="652"/>
      <c r="O455" s="653"/>
      <c r="P455" s="654"/>
      <c r="Q455" s="661"/>
      <c r="R455" s="662"/>
      <c r="S455" s="662"/>
      <c r="T455" s="662"/>
      <c r="U455" s="663"/>
      <c r="V455" s="40"/>
      <c r="W455" s="41"/>
      <c r="X455" s="41"/>
      <c r="Y455" s="41"/>
      <c r="Z455" s="29"/>
      <c r="AA455" s="29"/>
      <c r="AB455" s="29"/>
      <c r="AC455" s="29"/>
      <c r="AD455" s="29"/>
    </row>
    <row r="456" spans="1:30" s="488" customFormat="1" ht="41.25" hidden="1" customHeight="1">
      <c r="A456" s="492"/>
      <c r="B456" s="643"/>
      <c r="C456" s="513"/>
      <c r="D456" s="514"/>
      <c r="E456" s="664" t="s">
        <v>29</v>
      </c>
      <c r="F456" s="665"/>
      <c r="G456" s="665"/>
      <c r="H456" s="665"/>
      <c r="I456" s="665"/>
      <c r="J456" s="665"/>
      <c r="K456" s="665"/>
      <c r="L456" s="665"/>
      <c r="M456" s="666"/>
      <c r="N456" s="655"/>
      <c r="O456" s="656"/>
      <c r="P456" s="657"/>
      <c r="Q456" s="667"/>
      <c r="R456" s="689"/>
      <c r="S456" s="689"/>
      <c r="T456" s="689"/>
      <c r="U456" s="690"/>
      <c r="V456" s="42"/>
      <c r="W456" s="41"/>
      <c r="X456" s="41"/>
      <c r="Y456" s="41"/>
      <c r="Z456" s="29"/>
      <c r="AA456" s="29"/>
      <c r="AB456" s="29"/>
      <c r="AC456" s="29"/>
      <c r="AD456" s="29"/>
    </row>
    <row r="457" spans="1:30" s="488" customFormat="1" ht="41.25" hidden="1" customHeight="1">
      <c r="A457" s="492"/>
      <c r="B457" s="643"/>
      <c r="C457" s="513">
        <v>55</v>
      </c>
      <c r="D457" s="514"/>
      <c r="E457" s="670" t="s">
        <v>30</v>
      </c>
      <c r="F457" s="670"/>
      <c r="G457" s="670"/>
      <c r="H457" s="670"/>
      <c r="I457" s="670"/>
      <c r="J457" s="670"/>
      <c r="K457" s="670"/>
      <c r="L457" s="498">
        <v>726.83</v>
      </c>
      <c r="M457" s="459">
        <f>L457</f>
        <v>726.83</v>
      </c>
      <c r="N457" s="655"/>
      <c r="O457" s="656"/>
      <c r="P457" s="657"/>
      <c r="Q457" s="671"/>
      <c r="R457" s="672"/>
      <c r="S457" s="673"/>
      <c r="T457" s="457">
        <f>H454*M457*N454*O454*P454</f>
        <v>0</v>
      </c>
      <c r="U457" s="458">
        <f>T457</f>
        <v>0</v>
      </c>
      <c r="V457" s="42"/>
      <c r="W457" s="39"/>
      <c r="X457" s="41"/>
      <c r="Y457" s="41"/>
      <c r="Z457" s="43">
        <f>T457</f>
        <v>0</v>
      </c>
      <c r="AA457" s="29"/>
      <c r="AB457" s="29"/>
      <c r="AC457" s="29"/>
      <c r="AD457" s="29"/>
    </row>
    <row r="458" spans="1:30" s="488" customFormat="1" ht="41.25" hidden="1" customHeight="1">
      <c r="A458" s="492"/>
      <c r="B458" s="643"/>
      <c r="C458" s="513"/>
      <c r="D458" s="514"/>
      <c r="E458" s="670" t="s">
        <v>31</v>
      </c>
      <c r="F458" s="670"/>
      <c r="G458" s="670"/>
      <c r="H458" s="670"/>
      <c r="I458" s="670"/>
      <c r="J458" s="670"/>
      <c r="K458" s="670"/>
      <c r="L458" s="498">
        <f>ROUND((I454+J454+K454)*2.14%,2)</f>
        <v>443.42</v>
      </c>
      <c r="M458" s="459">
        <f>L458</f>
        <v>443.42</v>
      </c>
      <c r="N458" s="655"/>
      <c r="O458" s="656"/>
      <c r="P458" s="657"/>
      <c r="Q458" s="671"/>
      <c r="R458" s="672"/>
      <c r="S458" s="673"/>
      <c r="T458" s="457">
        <f>H454*M458*N454*O454*P454</f>
        <v>0</v>
      </c>
      <c r="U458" s="458">
        <f>T458</f>
        <v>0</v>
      </c>
      <c r="V458" s="42"/>
      <c r="W458" s="41"/>
      <c r="X458" s="39"/>
      <c r="Y458" s="41"/>
      <c r="Z458" s="29"/>
      <c r="AA458" s="43">
        <f>T458</f>
        <v>0</v>
      </c>
      <c r="AB458" s="29"/>
      <c r="AC458" s="29"/>
      <c r="AD458" s="29"/>
    </row>
    <row r="459" spans="1:30" s="488" customFormat="1" ht="41.25" hidden="1" customHeight="1">
      <c r="A459" s="492"/>
      <c r="B459" s="643"/>
      <c r="C459" s="515"/>
      <c r="D459" s="514"/>
      <c r="E459" s="670" t="s">
        <v>376</v>
      </c>
      <c r="F459" s="670"/>
      <c r="G459" s="670"/>
      <c r="H459" s="670"/>
      <c r="I459" s="670"/>
      <c r="J459" s="670"/>
      <c r="K459" s="670"/>
      <c r="L459" s="498">
        <f>ROUND((I454+J454+K454+L457+L458+L462)*3%,2)</f>
        <v>682.01</v>
      </c>
      <c r="M459" s="459">
        <f>L459</f>
        <v>682.01</v>
      </c>
      <c r="N459" s="655"/>
      <c r="O459" s="656"/>
      <c r="P459" s="657"/>
      <c r="Q459" s="671"/>
      <c r="R459" s="672"/>
      <c r="S459" s="673"/>
      <c r="T459" s="457">
        <f>H454*M459*N454*O454*P454</f>
        <v>0</v>
      </c>
      <c r="U459" s="458">
        <f>T459</f>
        <v>0</v>
      </c>
      <c r="V459" s="42"/>
      <c r="W459" s="41"/>
      <c r="X459" s="41"/>
      <c r="Y459" s="39"/>
      <c r="Z459" s="29"/>
      <c r="AA459" s="29"/>
      <c r="AB459" s="43">
        <f>T459</f>
        <v>0</v>
      </c>
      <c r="AC459" s="29"/>
      <c r="AD459" s="29"/>
    </row>
    <row r="460" spans="1:30" s="488" customFormat="1" ht="54.75" hidden="1" customHeight="1">
      <c r="A460" s="492"/>
      <c r="B460" s="643"/>
      <c r="C460" s="515"/>
      <c r="D460" s="514"/>
      <c r="E460" s="670" t="s">
        <v>377</v>
      </c>
      <c r="F460" s="670"/>
      <c r="G460" s="670"/>
      <c r="H460" s="670"/>
      <c r="I460" s="670"/>
      <c r="J460" s="670"/>
      <c r="K460" s="670"/>
      <c r="L460" s="498">
        <f>2577.68-K454-L457-L458-L462</f>
        <v>0</v>
      </c>
      <c r="M460" s="459">
        <f>L460</f>
        <v>0</v>
      </c>
      <c r="N460" s="655"/>
      <c r="O460" s="656"/>
      <c r="P460" s="657"/>
      <c r="Q460" s="671"/>
      <c r="R460" s="672"/>
      <c r="S460" s="673"/>
      <c r="T460" s="457">
        <f>H454*M460*N454*O454*P454</f>
        <v>0</v>
      </c>
      <c r="U460" s="458">
        <f>T460</f>
        <v>0</v>
      </c>
      <c r="V460" s="42"/>
      <c r="W460" s="41"/>
      <c r="X460" s="41"/>
      <c r="Y460" s="41"/>
      <c r="Z460" s="44"/>
      <c r="AA460" s="29"/>
      <c r="AB460" s="29"/>
      <c r="AC460" s="44">
        <f>T460</f>
        <v>0</v>
      </c>
      <c r="AD460" s="29"/>
    </row>
    <row r="461" spans="1:30" s="488" customFormat="1" ht="45" hidden="1" customHeight="1">
      <c r="A461" s="492"/>
      <c r="B461" s="643"/>
      <c r="C461" s="515"/>
      <c r="D461" s="514"/>
      <c r="E461" s="674"/>
      <c r="F461" s="675"/>
      <c r="G461" s="675"/>
      <c r="H461" s="675"/>
      <c r="I461" s="675"/>
      <c r="J461" s="675"/>
      <c r="K461" s="675"/>
      <c r="L461" s="675"/>
      <c r="M461" s="676"/>
      <c r="N461" s="655"/>
      <c r="O461" s="656"/>
      <c r="P461" s="657"/>
      <c r="Q461" s="677"/>
      <c r="R461" s="678"/>
      <c r="S461" s="678"/>
      <c r="T461" s="678"/>
      <c r="U461" s="679"/>
      <c r="V461" s="45"/>
      <c r="W461" s="41"/>
      <c r="X461" s="41"/>
      <c r="Y461" s="41"/>
      <c r="Z461" s="29"/>
      <c r="AA461" s="44"/>
      <c r="AB461" s="29"/>
      <c r="AC461" s="29"/>
      <c r="AD461" s="29"/>
    </row>
    <row r="462" spans="1:30" s="488" customFormat="1" ht="45" hidden="1" customHeight="1" thickBot="1">
      <c r="A462" s="492"/>
      <c r="B462" s="644"/>
      <c r="C462" s="516"/>
      <c r="D462" s="517"/>
      <c r="E462" s="680" t="s">
        <v>369</v>
      </c>
      <c r="F462" s="680" t="s">
        <v>306</v>
      </c>
      <c r="G462" s="680"/>
      <c r="H462" s="680"/>
      <c r="I462" s="680"/>
      <c r="J462" s="680"/>
      <c r="K462" s="680"/>
      <c r="L462" s="499">
        <f>ROUND((I454+J454+K454+L457)*3.93%,2)</f>
        <v>842.88</v>
      </c>
      <c r="M462" s="46">
        <f>L462</f>
        <v>842.88</v>
      </c>
      <c r="N462" s="658"/>
      <c r="O462" s="659"/>
      <c r="P462" s="660"/>
      <c r="Q462" s="681"/>
      <c r="R462" s="682"/>
      <c r="S462" s="683"/>
      <c r="T462" s="500">
        <f>H454*M462*N454*O454*P454</f>
        <v>0</v>
      </c>
      <c r="U462" s="47">
        <f>T462</f>
        <v>0</v>
      </c>
      <c r="V462" s="48"/>
      <c r="W462" s="41"/>
      <c r="X462" s="41"/>
      <c r="Y462" s="41"/>
      <c r="Z462" s="29"/>
      <c r="AA462" s="29"/>
      <c r="AB462" s="44"/>
      <c r="AC462" s="29"/>
      <c r="AD462" s="44">
        <f>T462</f>
        <v>0</v>
      </c>
    </row>
    <row r="463" spans="1:30" s="488" customFormat="1" ht="150" hidden="1" customHeight="1" thickBot="1">
      <c r="A463" s="492"/>
      <c r="B463" s="642">
        <v>1</v>
      </c>
      <c r="C463" s="511">
        <v>5</v>
      </c>
      <c r="D463" s="512"/>
      <c r="E463" s="493" t="s">
        <v>449</v>
      </c>
      <c r="F463" s="487" t="s">
        <v>450</v>
      </c>
      <c r="G463" s="645" t="s">
        <v>388</v>
      </c>
      <c r="H463" s="688">
        <v>0</v>
      </c>
      <c r="I463" s="494">
        <v>20158.919999999998</v>
      </c>
      <c r="J463" s="494">
        <v>730.61</v>
      </c>
      <c r="K463" s="494">
        <v>564.54999999999995</v>
      </c>
      <c r="L463" s="494">
        <f>SUM(L465:L471)</f>
        <v>2791.91</v>
      </c>
      <c r="M463" s="33">
        <f>SUM(I463:L463)</f>
        <v>24245.989999999998</v>
      </c>
      <c r="N463" s="501">
        <v>1</v>
      </c>
      <c r="O463" s="502">
        <v>1</v>
      </c>
      <c r="P463" s="37">
        <v>1</v>
      </c>
      <c r="Q463" s="34">
        <f>H463*I463*N463*O463*P463</f>
        <v>0</v>
      </c>
      <c r="R463" s="35">
        <f>H463*J463*N463*O463*P463</f>
        <v>0</v>
      </c>
      <c r="S463" s="36">
        <f>H463*K463*N463*O463*P463</f>
        <v>0</v>
      </c>
      <c r="T463" s="36">
        <f>H463*L463*N463*O463*P463</f>
        <v>0</v>
      </c>
      <c r="U463" s="37">
        <f>SUM(Q463:T463)</f>
        <v>0</v>
      </c>
      <c r="V463" s="38">
        <f>(Q463+R463+S463+T467+T468+T469+T471)*'Прогнозная стоимость РСС ИП '!$M$11+T466*'Прогнозная стоимость РСС ИП '!$M$10</f>
        <v>0</v>
      </c>
      <c r="W463" s="39">
        <f>T463</f>
        <v>0</v>
      </c>
      <c r="X463" s="39">
        <f>U463</f>
        <v>0</v>
      </c>
      <c r="Y463" s="39">
        <f>V463</f>
        <v>0</v>
      </c>
      <c r="Z463" s="29"/>
      <c r="AA463" s="29"/>
      <c r="AB463" s="29"/>
      <c r="AC463" s="29"/>
      <c r="AD463" s="29"/>
    </row>
    <row r="464" spans="1:30" s="488" customFormat="1" ht="41.25" hidden="1" customHeight="1">
      <c r="A464" s="492"/>
      <c r="B464" s="643"/>
      <c r="C464" s="513"/>
      <c r="D464" s="514"/>
      <c r="E464" s="495"/>
      <c r="F464" s="496"/>
      <c r="G464" s="646"/>
      <c r="H464" s="688"/>
      <c r="I464" s="649"/>
      <c r="J464" s="650"/>
      <c r="K464" s="650"/>
      <c r="L464" s="650"/>
      <c r="M464" s="651"/>
      <c r="N464" s="652"/>
      <c r="O464" s="653"/>
      <c r="P464" s="654"/>
      <c r="Q464" s="661"/>
      <c r="R464" s="662"/>
      <c r="S464" s="662"/>
      <c r="T464" s="662"/>
      <c r="U464" s="663"/>
      <c r="V464" s="40"/>
      <c r="W464" s="41"/>
      <c r="X464" s="41"/>
      <c r="Y464" s="41"/>
      <c r="Z464" s="29"/>
      <c r="AA464" s="29"/>
      <c r="AB464" s="29"/>
      <c r="AC464" s="29"/>
      <c r="AD464" s="29"/>
    </row>
    <row r="465" spans="1:30" s="488" customFormat="1" ht="41.25" hidden="1" customHeight="1">
      <c r="A465" s="492"/>
      <c r="B465" s="643"/>
      <c r="C465" s="513"/>
      <c r="D465" s="514"/>
      <c r="E465" s="664" t="s">
        <v>29</v>
      </c>
      <c r="F465" s="665"/>
      <c r="G465" s="665"/>
      <c r="H465" s="665"/>
      <c r="I465" s="665"/>
      <c r="J465" s="665"/>
      <c r="K465" s="665"/>
      <c r="L465" s="665"/>
      <c r="M465" s="666"/>
      <c r="N465" s="655"/>
      <c r="O465" s="656"/>
      <c r="P465" s="657"/>
      <c r="Q465" s="667"/>
      <c r="R465" s="689"/>
      <c r="S465" s="689"/>
      <c r="T465" s="689"/>
      <c r="U465" s="690"/>
      <c r="V465" s="42"/>
      <c r="W465" s="41"/>
      <c r="X465" s="41"/>
      <c r="Y465" s="41"/>
      <c r="Z465" s="29"/>
      <c r="AA465" s="29"/>
      <c r="AB465" s="29"/>
      <c r="AC465" s="29"/>
      <c r="AD465" s="29"/>
    </row>
    <row r="466" spans="1:30" s="488" customFormat="1" ht="41.25" hidden="1" customHeight="1">
      <c r="A466" s="492"/>
      <c r="B466" s="643"/>
      <c r="C466" s="513">
        <v>55</v>
      </c>
      <c r="D466" s="514"/>
      <c r="E466" s="670" t="s">
        <v>30</v>
      </c>
      <c r="F466" s="670"/>
      <c r="G466" s="670"/>
      <c r="H466" s="670"/>
      <c r="I466" s="670"/>
      <c r="J466" s="670"/>
      <c r="K466" s="670"/>
      <c r="L466" s="498">
        <v>753.82</v>
      </c>
      <c r="M466" s="459">
        <f>L466</f>
        <v>753.82</v>
      </c>
      <c r="N466" s="655"/>
      <c r="O466" s="656"/>
      <c r="P466" s="657"/>
      <c r="Q466" s="671"/>
      <c r="R466" s="672"/>
      <c r="S466" s="673"/>
      <c r="T466" s="457">
        <f>H463*M466*N463*O463*P463</f>
        <v>0</v>
      </c>
      <c r="U466" s="458">
        <f>T466</f>
        <v>0</v>
      </c>
      <c r="V466" s="42"/>
      <c r="W466" s="39"/>
      <c r="X466" s="41"/>
      <c r="Y466" s="41"/>
      <c r="Z466" s="43">
        <f>T466</f>
        <v>0</v>
      </c>
      <c r="AA466" s="29"/>
      <c r="AB466" s="29"/>
      <c r="AC466" s="29"/>
      <c r="AD466" s="29"/>
    </row>
    <row r="467" spans="1:30" s="488" customFormat="1" ht="41.25" hidden="1" customHeight="1">
      <c r="A467" s="492"/>
      <c r="B467" s="643"/>
      <c r="C467" s="513"/>
      <c r="D467" s="514"/>
      <c r="E467" s="670" t="s">
        <v>31</v>
      </c>
      <c r="F467" s="670"/>
      <c r="G467" s="670"/>
      <c r="H467" s="670"/>
      <c r="I467" s="670"/>
      <c r="J467" s="670"/>
      <c r="K467" s="670"/>
      <c r="L467" s="498">
        <f>ROUND((I463+J463+K463)*2.14%,2)</f>
        <v>459.12</v>
      </c>
      <c r="M467" s="459">
        <f>L467</f>
        <v>459.12</v>
      </c>
      <c r="N467" s="655"/>
      <c r="O467" s="656"/>
      <c r="P467" s="657"/>
      <c r="Q467" s="671"/>
      <c r="R467" s="672"/>
      <c r="S467" s="673"/>
      <c r="T467" s="457">
        <f>H463*M467*N463*O463*P463</f>
        <v>0</v>
      </c>
      <c r="U467" s="458">
        <f>T467</f>
        <v>0</v>
      </c>
      <c r="V467" s="42"/>
      <c r="W467" s="41"/>
      <c r="X467" s="39"/>
      <c r="Y467" s="41"/>
      <c r="Z467" s="29"/>
      <c r="AA467" s="43">
        <f>T467</f>
        <v>0</v>
      </c>
      <c r="AB467" s="29"/>
      <c r="AC467" s="29"/>
      <c r="AD467" s="29"/>
    </row>
    <row r="468" spans="1:30" s="488" customFormat="1" ht="41.25" hidden="1" customHeight="1">
      <c r="A468" s="492"/>
      <c r="B468" s="643"/>
      <c r="C468" s="515"/>
      <c r="D468" s="514"/>
      <c r="E468" s="670" t="s">
        <v>376</v>
      </c>
      <c r="F468" s="670"/>
      <c r="G468" s="670"/>
      <c r="H468" s="670"/>
      <c r="I468" s="670"/>
      <c r="J468" s="670"/>
      <c r="K468" s="670"/>
      <c r="L468" s="498">
        <f>ROUND((I463+J463+K463+L466+L467+L471)*3%,2)+0.01</f>
        <v>706.2</v>
      </c>
      <c r="M468" s="459">
        <f>L468</f>
        <v>706.2</v>
      </c>
      <c r="N468" s="655"/>
      <c r="O468" s="656"/>
      <c r="P468" s="657"/>
      <c r="Q468" s="671"/>
      <c r="R468" s="672"/>
      <c r="S468" s="673"/>
      <c r="T468" s="457">
        <f>H463*M468*N463*O463*P463</f>
        <v>0</v>
      </c>
      <c r="U468" s="458">
        <f>T468</f>
        <v>0</v>
      </c>
      <c r="V468" s="42"/>
      <c r="W468" s="41"/>
      <c r="X468" s="41"/>
      <c r="Y468" s="39"/>
      <c r="Z468" s="29"/>
      <c r="AA468" s="29"/>
      <c r="AB468" s="43">
        <f>T468</f>
        <v>0</v>
      </c>
      <c r="AC468" s="29"/>
      <c r="AD468" s="29"/>
    </row>
    <row r="469" spans="1:30" s="488" customFormat="1" ht="54.75" hidden="1" customHeight="1">
      <c r="A469" s="492"/>
      <c r="B469" s="643"/>
      <c r="C469" s="515"/>
      <c r="D469" s="514"/>
      <c r="E469" s="670" t="s">
        <v>377</v>
      </c>
      <c r="F469" s="670"/>
      <c r="G469" s="670"/>
      <c r="H469" s="670"/>
      <c r="I469" s="670"/>
      <c r="J469" s="670"/>
      <c r="K469" s="670"/>
      <c r="L469" s="498">
        <f>2650.26-K463-L466-L467-L471</f>
        <v>0</v>
      </c>
      <c r="M469" s="459">
        <f>L469</f>
        <v>0</v>
      </c>
      <c r="N469" s="655"/>
      <c r="O469" s="656"/>
      <c r="P469" s="657"/>
      <c r="Q469" s="671"/>
      <c r="R469" s="672"/>
      <c r="S469" s="673"/>
      <c r="T469" s="457">
        <f>H463*M469*N463*O463*P463</f>
        <v>0</v>
      </c>
      <c r="U469" s="458">
        <f>T469</f>
        <v>0</v>
      </c>
      <c r="V469" s="42"/>
      <c r="W469" s="41"/>
      <c r="X469" s="41"/>
      <c r="Y469" s="41"/>
      <c r="Z469" s="44"/>
      <c r="AA469" s="29"/>
      <c r="AB469" s="29"/>
      <c r="AC469" s="44">
        <f>T469</f>
        <v>0</v>
      </c>
      <c r="AD469" s="29"/>
    </row>
    <row r="470" spans="1:30" s="488" customFormat="1" ht="45" hidden="1" customHeight="1">
      <c r="A470" s="492"/>
      <c r="B470" s="643"/>
      <c r="C470" s="515"/>
      <c r="D470" s="514"/>
      <c r="E470" s="674"/>
      <c r="F470" s="675"/>
      <c r="G470" s="675"/>
      <c r="H470" s="675"/>
      <c r="I470" s="675"/>
      <c r="J470" s="675"/>
      <c r="K470" s="675"/>
      <c r="L470" s="675"/>
      <c r="M470" s="676"/>
      <c r="N470" s="655"/>
      <c r="O470" s="656"/>
      <c r="P470" s="657"/>
      <c r="Q470" s="677"/>
      <c r="R470" s="678"/>
      <c r="S470" s="678"/>
      <c r="T470" s="678"/>
      <c r="U470" s="679"/>
      <c r="V470" s="45"/>
      <c r="W470" s="41"/>
      <c r="X470" s="41"/>
      <c r="Y470" s="41"/>
      <c r="Z470" s="29"/>
      <c r="AA470" s="44"/>
      <c r="AB470" s="29"/>
      <c r="AC470" s="29"/>
      <c r="AD470" s="29"/>
    </row>
    <row r="471" spans="1:30" s="488" customFormat="1" ht="45" hidden="1" customHeight="1" thickBot="1">
      <c r="A471" s="492"/>
      <c r="B471" s="644"/>
      <c r="C471" s="516"/>
      <c r="D471" s="517"/>
      <c r="E471" s="680" t="s">
        <v>369</v>
      </c>
      <c r="F471" s="680" t="s">
        <v>306</v>
      </c>
      <c r="G471" s="680"/>
      <c r="H471" s="680"/>
      <c r="I471" s="680"/>
      <c r="J471" s="680"/>
      <c r="K471" s="680"/>
      <c r="L471" s="499">
        <f>ROUND((I463+J463+K463+L466)*3.93%,2)</f>
        <v>872.77</v>
      </c>
      <c r="M471" s="46">
        <f>L471</f>
        <v>872.77</v>
      </c>
      <c r="N471" s="658"/>
      <c r="O471" s="659"/>
      <c r="P471" s="660"/>
      <c r="Q471" s="681"/>
      <c r="R471" s="682"/>
      <c r="S471" s="683"/>
      <c r="T471" s="500">
        <f>H463*M471*N463*O463*P463</f>
        <v>0</v>
      </c>
      <c r="U471" s="47">
        <f>T471</f>
        <v>0</v>
      </c>
      <c r="V471" s="48"/>
      <c r="W471" s="41"/>
      <c r="X471" s="41"/>
      <c r="Y471" s="41"/>
      <c r="Z471" s="29"/>
      <c r="AA471" s="29"/>
      <c r="AB471" s="44"/>
      <c r="AC471" s="29"/>
      <c r="AD471" s="44">
        <f>T471</f>
        <v>0</v>
      </c>
    </row>
    <row r="472" spans="1:30" s="488" customFormat="1" ht="150" hidden="1" customHeight="1" thickBot="1">
      <c r="A472" s="492"/>
      <c r="B472" s="642">
        <v>1</v>
      </c>
      <c r="C472" s="511">
        <v>5</v>
      </c>
      <c r="D472" s="512"/>
      <c r="E472" s="493" t="s">
        <v>451</v>
      </c>
      <c r="F472" s="487" t="s">
        <v>452</v>
      </c>
      <c r="G472" s="645" t="s">
        <v>388</v>
      </c>
      <c r="H472" s="688">
        <v>0</v>
      </c>
      <c r="I472" s="494">
        <v>20532.71</v>
      </c>
      <c r="J472" s="494">
        <v>730.61</v>
      </c>
      <c r="K472" s="494">
        <v>564.54999999999995</v>
      </c>
      <c r="L472" s="494">
        <f>SUM(L474:L480)</f>
        <v>2827.29</v>
      </c>
      <c r="M472" s="33">
        <f>SUM(I472:L472)</f>
        <v>24655.16</v>
      </c>
      <c r="N472" s="501">
        <v>1</v>
      </c>
      <c r="O472" s="502">
        <v>1</v>
      </c>
      <c r="P472" s="37">
        <v>1</v>
      </c>
      <c r="Q472" s="34">
        <f>H472*I472*N472*O472*P472</f>
        <v>0</v>
      </c>
      <c r="R472" s="35">
        <f>H472*J472*N472*O472*P472</f>
        <v>0</v>
      </c>
      <c r="S472" s="36">
        <f>H472*K472*N472*O472*P472</f>
        <v>0</v>
      </c>
      <c r="T472" s="36">
        <f>H472*L472*N472*O472*P472</f>
        <v>0</v>
      </c>
      <c r="U472" s="37">
        <f>SUM(Q472:T472)</f>
        <v>0</v>
      </c>
      <c r="V472" s="38">
        <f>(Q472+R472+S472+T476+T477+T478+T480)*'Прогнозная стоимость РСС ИП '!$M$11+T475*'Прогнозная стоимость РСС ИП '!$M$10</f>
        <v>0</v>
      </c>
      <c r="W472" s="39">
        <f>T472</f>
        <v>0</v>
      </c>
      <c r="X472" s="39">
        <f>U472</f>
        <v>0</v>
      </c>
      <c r="Y472" s="39">
        <f>V472</f>
        <v>0</v>
      </c>
      <c r="Z472" s="29"/>
      <c r="AA472" s="29"/>
      <c r="AB472" s="29"/>
      <c r="AC472" s="29"/>
      <c r="AD472" s="29"/>
    </row>
    <row r="473" spans="1:30" s="488" customFormat="1" ht="41.25" hidden="1" customHeight="1">
      <c r="A473" s="492"/>
      <c r="B473" s="643"/>
      <c r="C473" s="513"/>
      <c r="D473" s="514"/>
      <c r="E473" s="495"/>
      <c r="F473" s="496"/>
      <c r="G473" s="646"/>
      <c r="H473" s="688"/>
      <c r="I473" s="649"/>
      <c r="J473" s="650"/>
      <c r="K473" s="650"/>
      <c r="L473" s="650"/>
      <c r="M473" s="651"/>
      <c r="N473" s="652"/>
      <c r="O473" s="653"/>
      <c r="P473" s="654"/>
      <c r="Q473" s="661"/>
      <c r="R473" s="662"/>
      <c r="S473" s="662"/>
      <c r="T473" s="662"/>
      <c r="U473" s="663"/>
      <c r="V473" s="40"/>
      <c r="W473" s="41"/>
      <c r="X473" s="41"/>
      <c r="Y473" s="41"/>
      <c r="Z473" s="29"/>
      <c r="AA473" s="29"/>
      <c r="AB473" s="29"/>
      <c r="AC473" s="29"/>
      <c r="AD473" s="29"/>
    </row>
    <row r="474" spans="1:30" s="488" customFormat="1" ht="41.25" hidden="1" customHeight="1">
      <c r="A474" s="492"/>
      <c r="B474" s="643"/>
      <c r="C474" s="513"/>
      <c r="D474" s="514"/>
      <c r="E474" s="664" t="s">
        <v>29</v>
      </c>
      <c r="F474" s="665"/>
      <c r="G474" s="665"/>
      <c r="H474" s="665"/>
      <c r="I474" s="665"/>
      <c r="J474" s="665"/>
      <c r="K474" s="665"/>
      <c r="L474" s="665"/>
      <c r="M474" s="666"/>
      <c r="N474" s="655"/>
      <c r="O474" s="656"/>
      <c r="P474" s="657"/>
      <c r="Q474" s="667"/>
      <c r="R474" s="689"/>
      <c r="S474" s="689"/>
      <c r="T474" s="689"/>
      <c r="U474" s="690"/>
      <c r="V474" s="42"/>
      <c r="W474" s="41"/>
      <c r="X474" s="41"/>
      <c r="Y474" s="41"/>
      <c r="Z474" s="29"/>
      <c r="AA474" s="29"/>
      <c r="AB474" s="29"/>
      <c r="AC474" s="29"/>
      <c r="AD474" s="29"/>
    </row>
    <row r="475" spans="1:30" s="488" customFormat="1" ht="41.25" hidden="1" customHeight="1">
      <c r="A475" s="492"/>
      <c r="B475" s="643"/>
      <c r="C475" s="513">
        <v>55</v>
      </c>
      <c r="D475" s="514"/>
      <c r="E475" s="670" t="s">
        <v>30</v>
      </c>
      <c r="F475" s="670"/>
      <c r="G475" s="670"/>
      <c r="H475" s="670"/>
      <c r="I475" s="670"/>
      <c r="J475" s="670"/>
      <c r="K475" s="670"/>
      <c r="L475" s="498">
        <v>754.57</v>
      </c>
      <c r="M475" s="459">
        <f>L475</f>
        <v>754.57</v>
      </c>
      <c r="N475" s="655"/>
      <c r="O475" s="656"/>
      <c r="P475" s="657"/>
      <c r="Q475" s="671"/>
      <c r="R475" s="672"/>
      <c r="S475" s="673"/>
      <c r="T475" s="457">
        <f>H472*M475*N472*O472*P472</f>
        <v>0</v>
      </c>
      <c r="U475" s="458">
        <f>T475</f>
        <v>0</v>
      </c>
      <c r="V475" s="42"/>
      <c r="W475" s="39"/>
      <c r="X475" s="41"/>
      <c r="Y475" s="41"/>
      <c r="Z475" s="43">
        <f>T475</f>
        <v>0</v>
      </c>
      <c r="AA475" s="29"/>
      <c r="AB475" s="29"/>
      <c r="AC475" s="29"/>
      <c r="AD475" s="29"/>
    </row>
    <row r="476" spans="1:30" s="488" customFormat="1" ht="41.25" hidden="1" customHeight="1">
      <c r="A476" s="492"/>
      <c r="B476" s="643"/>
      <c r="C476" s="513"/>
      <c r="D476" s="514"/>
      <c r="E476" s="670" t="s">
        <v>31</v>
      </c>
      <c r="F476" s="670"/>
      <c r="G476" s="670"/>
      <c r="H476" s="670"/>
      <c r="I476" s="670"/>
      <c r="J476" s="670"/>
      <c r="K476" s="670"/>
      <c r="L476" s="498">
        <f>ROUND((I472+J472+K472)*2.14%,2)</f>
        <v>467.12</v>
      </c>
      <c r="M476" s="459">
        <f>L476</f>
        <v>467.12</v>
      </c>
      <c r="N476" s="655"/>
      <c r="O476" s="656"/>
      <c r="P476" s="657"/>
      <c r="Q476" s="671"/>
      <c r="R476" s="672"/>
      <c r="S476" s="673"/>
      <c r="T476" s="457">
        <f>H472*M476*N472*O472*P472</f>
        <v>0</v>
      </c>
      <c r="U476" s="458">
        <f>T476</f>
        <v>0</v>
      </c>
      <c r="V476" s="42"/>
      <c r="W476" s="41"/>
      <c r="X476" s="39"/>
      <c r="Y476" s="41"/>
      <c r="Z476" s="29"/>
      <c r="AA476" s="43">
        <f>T476</f>
        <v>0</v>
      </c>
      <c r="AB476" s="29"/>
      <c r="AC476" s="29"/>
      <c r="AD476" s="29"/>
    </row>
    <row r="477" spans="1:30" s="488" customFormat="1" ht="41.25" hidden="1" customHeight="1">
      <c r="A477" s="492"/>
      <c r="B477" s="643"/>
      <c r="C477" s="515"/>
      <c r="D477" s="514"/>
      <c r="E477" s="670" t="s">
        <v>376</v>
      </c>
      <c r="F477" s="670"/>
      <c r="G477" s="670"/>
      <c r="H477" s="670"/>
      <c r="I477" s="670"/>
      <c r="J477" s="670"/>
      <c r="K477" s="670"/>
      <c r="L477" s="498">
        <f>ROUND((I472+J472+K472+L475+L476+L480)*3%,2)</f>
        <v>718.11</v>
      </c>
      <c r="M477" s="459">
        <f>L477</f>
        <v>718.11</v>
      </c>
      <c r="N477" s="655"/>
      <c r="O477" s="656"/>
      <c r="P477" s="657"/>
      <c r="Q477" s="671"/>
      <c r="R477" s="672"/>
      <c r="S477" s="673"/>
      <c r="T477" s="457">
        <f>H472*M477*N472*O472*P472</f>
        <v>0</v>
      </c>
      <c r="U477" s="458">
        <f>T477</f>
        <v>0</v>
      </c>
      <c r="V477" s="42"/>
      <c r="W477" s="41"/>
      <c r="X477" s="41"/>
      <c r="Y477" s="39"/>
      <c r="Z477" s="29"/>
      <c r="AA477" s="29"/>
      <c r="AB477" s="43">
        <f>T477</f>
        <v>0</v>
      </c>
      <c r="AC477" s="29"/>
      <c r="AD477" s="29"/>
    </row>
    <row r="478" spans="1:30" s="488" customFormat="1" ht="54.75" hidden="1" customHeight="1">
      <c r="A478" s="492"/>
      <c r="B478" s="643"/>
      <c r="C478" s="515"/>
      <c r="D478" s="514"/>
      <c r="E478" s="670" t="s">
        <v>377</v>
      </c>
      <c r="F478" s="670"/>
      <c r="G478" s="670"/>
      <c r="H478" s="670"/>
      <c r="I478" s="670"/>
      <c r="J478" s="670"/>
      <c r="K478" s="670"/>
      <c r="L478" s="498">
        <f>2673.73-K472-L475-L476-L480</f>
        <v>0</v>
      </c>
      <c r="M478" s="459">
        <f>L478</f>
        <v>0</v>
      </c>
      <c r="N478" s="655"/>
      <c r="O478" s="656"/>
      <c r="P478" s="657"/>
      <c r="Q478" s="671"/>
      <c r="R478" s="672"/>
      <c r="S478" s="673"/>
      <c r="T478" s="457">
        <f>H472*M478*N472*O472*P472</f>
        <v>0</v>
      </c>
      <c r="U478" s="458">
        <f>T478</f>
        <v>0</v>
      </c>
      <c r="V478" s="42"/>
      <c r="W478" s="41"/>
      <c r="X478" s="41"/>
      <c r="Y478" s="41"/>
      <c r="Z478" s="44"/>
      <c r="AA478" s="29"/>
      <c r="AB478" s="29"/>
      <c r="AC478" s="44">
        <f>T478</f>
        <v>0</v>
      </c>
      <c r="AD478" s="29"/>
    </row>
    <row r="479" spans="1:30" s="488" customFormat="1" ht="45" hidden="1" customHeight="1">
      <c r="A479" s="492"/>
      <c r="B479" s="643"/>
      <c r="C479" s="515"/>
      <c r="D479" s="514"/>
      <c r="E479" s="674"/>
      <c r="F479" s="675"/>
      <c r="G479" s="675"/>
      <c r="H479" s="675"/>
      <c r="I479" s="675"/>
      <c r="J479" s="675"/>
      <c r="K479" s="675"/>
      <c r="L479" s="675"/>
      <c r="M479" s="676"/>
      <c r="N479" s="655"/>
      <c r="O479" s="656"/>
      <c r="P479" s="657"/>
      <c r="Q479" s="677"/>
      <c r="R479" s="678"/>
      <c r="S479" s="678"/>
      <c r="T479" s="678"/>
      <c r="U479" s="679"/>
      <c r="V479" s="45"/>
      <c r="W479" s="41"/>
      <c r="X479" s="41"/>
      <c r="Y479" s="41"/>
      <c r="Z479" s="29"/>
      <c r="AA479" s="44"/>
      <c r="AB479" s="29"/>
      <c r="AC479" s="29"/>
      <c r="AD479" s="29"/>
    </row>
    <row r="480" spans="1:30" s="488" customFormat="1" ht="45" hidden="1" customHeight="1" thickBot="1">
      <c r="A480" s="492"/>
      <c r="B480" s="644"/>
      <c r="C480" s="516"/>
      <c r="D480" s="517"/>
      <c r="E480" s="680" t="s">
        <v>369</v>
      </c>
      <c r="F480" s="680" t="s">
        <v>306</v>
      </c>
      <c r="G480" s="680"/>
      <c r="H480" s="680"/>
      <c r="I480" s="680"/>
      <c r="J480" s="680"/>
      <c r="K480" s="680"/>
      <c r="L480" s="499">
        <f>ROUND((I472+J472+K472+L475)*3.93%,2)</f>
        <v>887.49</v>
      </c>
      <c r="M480" s="46">
        <f>L480</f>
        <v>887.49</v>
      </c>
      <c r="N480" s="658"/>
      <c r="O480" s="659"/>
      <c r="P480" s="660"/>
      <c r="Q480" s="681"/>
      <c r="R480" s="682"/>
      <c r="S480" s="683"/>
      <c r="T480" s="500">
        <f>H472*M480*N472*O472*P472</f>
        <v>0</v>
      </c>
      <c r="U480" s="47">
        <f>T480</f>
        <v>0</v>
      </c>
      <c r="V480" s="48"/>
      <c r="W480" s="41"/>
      <c r="X480" s="41"/>
      <c r="Y480" s="41"/>
      <c r="Z480" s="29"/>
      <c r="AA480" s="29"/>
      <c r="AB480" s="44"/>
      <c r="AC480" s="29"/>
      <c r="AD480" s="44">
        <f>T480</f>
        <v>0</v>
      </c>
    </row>
    <row r="481" spans="1:30" s="488" customFormat="1" ht="150" hidden="1" customHeight="1" thickBot="1">
      <c r="A481" s="492"/>
      <c r="B481" s="642">
        <v>1</v>
      </c>
      <c r="C481" s="511">
        <v>5</v>
      </c>
      <c r="D481" s="512"/>
      <c r="E481" s="493" t="s">
        <v>453</v>
      </c>
      <c r="F481" s="487" t="s">
        <v>454</v>
      </c>
      <c r="G481" s="645" t="s">
        <v>388</v>
      </c>
      <c r="H481" s="688">
        <v>0</v>
      </c>
      <c r="I481" s="494">
        <v>21967</v>
      </c>
      <c r="J481" s="494">
        <v>730.61</v>
      </c>
      <c r="K481" s="494">
        <v>564.54999999999995</v>
      </c>
      <c r="L481" s="494">
        <f>SUM(L483:L489)</f>
        <v>2963.05</v>
      </c>
      <c r="M481" s="33">
        <f>SUM(I481:L481)</f>
        <v>26225.21</v>
      </c>
      <c r="N481" s="501">
        <v>1</v>
      </c>
      <c r="O481" s="502">
        <v>1</v>
      </c>
      <c r="P481" s="37">
        <v>1</v>
      </c>
      <c r="Q481" s="34">
        <f>H481*I481*N481*O481*P481</f>
        <v>0</v>
      </c>
      <c r="R481" s="35">
        <f>H481*J481*N481*O481*P481</f>
        <v>0</v>
      </c>
      <c r="S481" s="36">
        <f>H481*K481*N481*O481*P481</f>
        <v>0</v>
      </c>
      <c r="T481" s="36">
        <f>H481*L481*N481*O481*P481</f>
        <v>0</v>
      </c>
      <c r="U481" s="37">
        <f>SUM(Q481:T481)</f>
        <v>0</v>
      </c>
      <c r="V481" s="38">
        <f>(Q481+R481+S481+T485+T486+T487+T489)*'Прогнозная стоимость РСС ИП '!$M$11+T484*'Прогнозная стоимость РСС ИП '!$M$10</f>
        <v>0</v>
      </c>
      <c r="W481" s="39">
        <f>T481</f>
        <v>0</v>
      </c>
      <c r="X481" s="39">
        <f>U481</f>
        <v>0</v>
      </c>
      <c r="Y481" s="39">
        <f>V481</f>
        <v>0</v>
      </c>
      <c r="Z481" s="29"/>
      <c r="AA481" s="29"/>
      <c r="AB481" s="29"/>
      <c r="AC481" s="29"/>
      <c r="AD481" s="29"/>
    </row>
    <row r="482" spans="1:30" s="488" customFormat="1" ht="41.25" hidden="1" customHeight="1">
      <c r="A482" s="492"/>
      <c r="B482" s="643"/>
      <c r="C482" s="513"/>
      <c r="D482" s="514"/>
      <c r="E482" s="495"/>
      <c r="F482" s="496"/>
      <c r="G482" s="646"/>
      <c r="H482" s="688"/>
      <c r="I482" s="649"/>
      <c r="J482" s="650"/>
      <c r="K482" s="650"/>
      <c r="L482" s="650"/>
      <c r="M482" s="651"/>
      <c r="N482" s="652"/>
      <c r="O482" s="653"/>
      <c r="P482" s="654"/>
      <c r="Q482" s="661"/>
      <c r="R482" s="662"/>
      <c r="S482" s="662"/>
      <c r="T482" s="662"/>
      <c r="U482" s="663"/>
      <c r="V482" s="40"/>
      <c r="W482" s="41"/>
      <c r="X482" s="41"/>
      <c r="Y482" s="41"/>
      <c r="Z482" s="29"/>
      <c r="AA482" s="29"/>
      <c r="AB482" s="29"/>
      <c r="AC482" s="29"/>
      <c r="AD482" s="29"/>
    </row>
    <row r="483" spans="1:30" s="488" customFormat="1" ht="41.25" hidden="1" customHeight="1">
      <c r="A483" s="492"/>
      <c r="B483" s="643"/>
      <c r="C483" s="513"/>
      <c r="D483" s="514"/>
      <c r="E483" s="664" t="s">
        <v>29</v>
      </c>
      <c r="F483" s="665"/>
      <c r="G483" s="665"/>
      <c r="H483" s="665"/>
      <c r="I483" s="665"/>
      <c r="J483" s="665"/>
      <c r="K483" s="665"/>
      <c r="L483" s="665"/>
      <c r="M483" s="666"/>
      <c r="N483" s="655"/>
      <c r="O483" s="656"/>
      <c r="P483" s="657"/>
      <c r="Q483" s="667"/>
      <c r="R483" s="689"/>
      <c r="S483" s="689"/>
      <c r="T483" s="689"/>
      <c r="U483" s="690"/>
      <c r="V483" s="42"/>
      <c r="W483" s="41"/>
      <c r="X483" s="41"/>
      <c r="Y483" s="41"/>
      <c r="Z483" s="29"/>
      <c r="AA483" s="29"/>
      <c r="AB483" s="29"/>
      <c r="AC483" s="29"/>
      <c r="AD483" s="29"/>
    </row>
    <row r="484" spans="1:30" s="488" customFormat="1" ht="41.25" hidden="1" customHeight="1">
      <c r="A484" s="492"/>
      <c r="B484" s="643"/>
      <c r="C484" s="513">
        <v>55</v>
      </c>
      <c r="D484" s="514"/>
      <c r="E484" s="670" t="s">
        <v>30</v>
      </c>
      <c r="F484" s="670"/>
      <c r="G484" s="670"/>
      <c r="H484" s="670"/>
      <c r="I484" s="670"/>
      <c r="J484" s="670"/>
      <c r="K484" s="670"/>
      <c r="L484" s="498">
        <v>757.43</v>
      </c>
      <c r="M484" s="459">
        <f>L484</f>
        <v>757.43</v>
      </c>
      <c r="N484" s="655"/>
      <c r="O484" s="656"/>
      <c r="P484" s="657"/>
      <c r="Q484" s="671"/>
      <c r="R484" s="672"/>
      <c r="S484" s="673"/>
      <c r="T484" s="457">
        <f>H481*M484*N481*O481*P481</f>
        <v>0</v>
      </c>
      <c r="U484" s="458">
        <f>T484</f>
        <v>0</v>
      </c>
      <c r="V484" s="42"/>
      <c r="W484" s="39"/>
      <c r="X484" s="41"/>
      <c r="Y484" s="41"/>
      <c r="Z484" s="43">
        <f>T484</f>
        <v>0</v>
      </c>
      <c r="AA484" s="29"/>
      <c r="AB484" s="29"/>
      <c r="AC484" s="29"/>
      <c r="AD484" s="29"/>
    </row>
    <row r="485" spans="1:30" s="488" customFormat="1" ht="41.25" hidden="1" customHeight="1">
      <c r="A485" s="492"/>
      <c r="B485" s="643"/>
      <c r="C485" s="513"/>
      <c r="D485" s="514"/>
      <c r="E485" s="670" t="s">
        <v>31</v>
      </c>
      <c r="F485" s="670"/>
      <c r="G485" s="670"/>
      <c r="H485" s="670"/>
      <c r="I485" s="670"/>
      <c r="J485" s="670"/>
      <c r="K485" s="670"/>
      <c r="L485" s="498">
        <f>ROUND((I481+J481+K481)*2.14%,2)</f>
        <v>497.81</v>
      </c>
      <c r="M485" s="459">
        <f>L485</f>
        <v>497.81</v>
      </c>
      <c r="N485" s="655"/>
      <c r="O485" s="656"/>
      <c r="P485" s="657"/>
      <c r="Q485" s="671"/>
      <c r="R485" s="672"/>
      <c r="S485" s="673"/>
      <c r="T485" s="457">
        <f>H481*M485*N481*O481*P481</f>
        <v>0</v>
      </c>
      <c r="U485" s="458">
        <f>T485</f>
        <v>0</v>
      </c>
      <c r="V485" s="42"/>
      <c r="W485" s="41"/>
      <c r="X485" s="39"/>
      <c r="Y485" s="41"/>
      <c r="Z485" s="29"/>
      <c r="AA485" s="43">
        <f>T485</f>
        <v>0</v>
      </c>
      <c r="AB485" s="29"/>
      <c r="AC485" s="29"/>
      <c r="AD485" s="29"/>
    </row>
    <row r="486" spans="1:30" s="488" customFormat="1" ht="41.25" hidden="1" customHeight="1">
      <c r="A486" s="492"/>
      <c r="B486" s="643"/>
      <c r="C486" s="515"/>
      <c r="D486" s="514"/>
      <c r="E486" s="670" t="s">
        <v>376</v>
      </c>
      <c r="F486" s="670"/>
      <c r="G486" s="670"/>
      <c r="H486" s="670"/>
      <c r="I486" s="670"/>
      <c r="J486" s="670"/>
      <c r="K486" s="670"/>
      <c r="L486" s="498">
        <f>ROUND((I481+J481+K481+L484+L485+L489)*3%,2)</f>
        <v>763.84</v>
      </c>
      <c r="M486" s="459">
        <f>L486</f>
        <v>763.84</v>
      </c>
      <c r="N486" s="655"/>
      <c r="O486" s="656"/>
      <c r="P486" s="657"/>
      <c r="Q486" s="671"/>
      <c r="R486" s="672"/>
      <c r="S486" s="673"/>
      <c r="T486" s="457">
        <f>H481*M486*N481*O481*P481</f>
        <v>0</v>
      </c>
      <c r="U486" s="458">
        <f>T486</f>
        <v>0</v>
      </c>
      <c r="V486" s="42"/>
      <c r="W486" s="41"/>
      <c r="X486" s="41"/>
      <c r="Y486" s="39"/>
      <c r="Z486" s="29"/>
      <c r="AA486" s="29"/>
      <c r="AB486" s="43">
        <f>T486</f>
        <v>0</v>
      </c>
      <c r="AC486" s="29"/>
      <c r="AD486" s="29"/>
    </row>
    <row r="487" spans="1:30" s="488" customFormat="1" ht="54.75" hidden="1" customHeight="1">
      <c r="A487" s="492"/>
      <c r="B487" s="643"/>
      <c r="C487" s="515"/>
      <c r="D487" s="514"/>
      <c r="E487" s="670" t="s">
        <v>377</v>
      </c>
      <c r="F487" s="670"/>
      <c r="G487" s="670"/>
      <c r="H487" s="670"/>
      <c r="I487" s="670"/>
      <c r="J487" s="670"/>
      <c r="K487" s="670"/>
      <c r="L487" s="498">
        <f>2763.76-K481-L484-L485-L489</f>
        <v>0</v>
      </c>
      <c r="M487" s="459">
        <f>L487</f>
        <v>0</v>
      </c>
      <c r="N487" s="655"/>
      <c r="O487" s="656"/>
      <c r="P487" s="657"/>
      <c r="Q487" s="671"/>
      <c r="R487" s="672"/>
      <c r="S487" s="673"/>
      <c r="T487" s="457">
        <f>H481*M487*N481*O481*P481</f>
        <v>0</v>
      </c>
      <c r="U487" s="458">
        <f>T487</f>
        <v>0</v>
      </c>
      <c r="V487" s="42"/>
      <c r="W487" s="41"/>
      <c r="X487" s="41"/>
      <c r="Y487" s="41"/>
      <c r="Z487" s="44"/>
      <c r="AA487" s="29"/>
      <c r="AB487" s="29"/>
      <c r="AC487" s="44">
        <f>T487</f>
        <v>0</v>
      </c>
      <c r="AD487" s="29"/>
    </row>
    <row r="488" spans="1:30" s="488" customFormat="1" ht="45" hidden="1" customHeight="1">
      <c r="A488" s="492"/>
      <c r="B488" s="643"/>
      <c r="C488" s="515"/>
      <c r="D488" s="514"/>
      <c r="E488" s="674"/>
      <c r="F488" s="675"/>
      <c r="G488" s="675"/>
      <c r="H488" s="675"/>
      <c r="I488" s="675"/>
      <c r="J488" s="675"/>
      <c r="K488" s="675"/>
      <c r="L488" s="675"/>
      <c r="M488" s="676"/>
      <c r="N488" s="655"/>
      <c r="O488" s="656"/>
      <c r="P488" s="657"/>
      <c r="Q488" s="677"/>
      <c r="R488" s="678"/>
      <c r="S488" s="678"/>
      <c r="T488" s="678"/>
      <c r="U488" s="679"/>
      <c r="V488" s="45"/>
      <c r="W488" s="41"/>
      <c r="X488" s="41"/>
      <c r="Y488" s="41"/>
      <c r="Z488" s="29"/>
      <c r="AA488" s="44"/>
      <c r="AB488" s="29"/>
      <c r="AC488" s="29"/>
      <c r="AD488" s="29"/>
    </row>
    <row r="489" spans="1:30" s="488" customFormat="1" ht="45" hidden="1" customHeight="1" thickBot="1">
      <c r="A489" s="492"/>
      <c r="B489" s="644"/>
      <c r="C489" s="516"/>
      <c r="D489" s="517"/>
      <c r="E489" s="680" t="s">
        <v>369</v>
      </c>
      <c r="F489" s="680" t="s">
        <v>306</v>
      </c>
      <c r="G489" s="680"/>
      <c r="H489" s="680"/>
      <c r="I489" s="680"/>
      <c r="J489" s="680"/>
      <c r="K489" s="680"/>
      <c r="L489" s="499">
        <f>ROUND((I481+J481+K481+L484)*3.93%,2)</f>
        <v>943.97</v>
      </c>
      <c r="M489" s="46">
        <f>L489</f>
        <v>943.97</v>
      </c>
      <c r="N489" s="658"/>
      <c r="O489" s="659"/>
      <c r="P489" s="660"/>
      <c r="Q489" s="681"/>
      <c r="R489" s="682"/>
      <c r="S489" s="683"/>
      <c r="T489" s="500">
        <f>H481*M489*N481*O481*P481</f>
        <v>0</v>
      </c>
      <c r="U489" s="47">
        <f>T489</f>
        <v>0</v>
      </c>
      <c r="V489" s="48"/>
      <c r="W489" s="41"/>
      <c r="X489" s="41"/>
      <c r="Y489" s="41"/>
      <c r="Z489" s="29"/>
      <c r="AA489" s="29"/>
      <c r="AB489" s="44"/>
      <c r="AC489" s="29"/>
      <c r="AD489" s="44">
        <f>T489</f>
        <v>0</v>
      </c>
    </row>
    <row r="490" spans="1:30" s="488" customFormat="1" ht="150" hidden="1" customHeight="1" thickBot="1">
      <c r="A490" s="492"/>
      <c r="B490" s="642">
        <v>1</v>
      </c>
      <c r="C490" s="511">
        <v>5</v>
      </c>
      <c r="D490" s="512"/>
      <c r="E490" s="493" t="s">
        <v>455</v>
      </c>
      <c r="F490" s="487" t="s">
        <v>456</v>
      </c>
      <c r="G490" s="645" t="s">
        <v>388</v>
      </c>
      <c r="H490" s="688">
        <v>0</v>
      </c>
      <c r="I490" s="494">
        <v>0</v>
      </c>
      <c r="J490" s="494">
        <v>67.260000000000005</v>
      </c>
      <c r="K490" s="494">
        <v>0</v>
      </c>
      <c r="L490" s="494">
        <f>SUM(L492:L498)</f>
        <v>10.94</v>
      </c>
      <c r="M490" s="33">
        <f>SUM(I490:L490)</f>
        <v>78.2</v>
      </c>
      <c r="N490" s="501">
        <v>1</v>
      </c>
      <c r="O490" s="502">
        <v>1</v>
      </c>
      <c r="P490" s="37">
        <v>1</v>
      </c>
      <c r="Q490" s="34">
        <f>H490*I490*N490*O490*P490</f>
        <v>0</v>
      </c>
      <c r="R490" s="35">
        <f>H490*J490*N490*O490*P490</f>
        <v>0</v>
      </c>
      <c r="S490" s="36">
        <f>H490*K490*N490*O490*P490</f>
        <v>0</v>
      </c>
      <c r="T490" s="36">
        <f>H490*L490*N490*O490*P490</f>
        <v>0</v>
      </c>
      <c r="U490" s="37">
        <f>SUM(Q490:T490)</f>
        <v>0</v>
      </c>
      <c r="V490" s="38">
        <f>(Q490+R490+S490+T494+T495+T496+T498)*'Прогнозная стоимость РСС ИП '!$M$11+T493*'Прогнозная стоимость РСС ИП '!$M$10</f>
        <v>0</v>
      </c>
      <c r="W490" s="39">
        <f>T490</f>
        <v>0</v>
      </c>
      <c r="X490" s="39">
        <f>U490</f>
        <v>0</v>
      </c>
      <c r="Y490" s="39">
        <f>V490</f>
        <v>0</v>
      </c>
      <c r="Z490" s="29"/>
      <c r="AA490" s="29"/>
      <c r="AB490" s="29"/>
      <c r="AC490" s="29"/>
      <c r="AD490" s="29"/>
    </row>
    <row r="491" spans="1:30" s="488" customFormat="1" ht="41.25" hidden="1" customHeight="1">
      <c r="A491" s="492"/>
      <c r="B491" s="643"/>
      <c r="C491" s="513"/>
      <c r="D491" s="514"/>
      <c r="E491" s="495"/>
      <c r="F491" s="496"/>
      <c r="G491" s="646"/>
      <c r="H491" s="688"/>
      <c r="I491" s="649"/>
      <c r="J491" s="650"/>
      <c r="K491" s="650"/>
      <c r="L491" s="650"/>
      <c r="M491" s="651"/>
      <c r="N491" s="652"/>
      <c r="O491" s="653"/>
      <c r="P491" s="654"/>
      <c r="Q491" s="661"/>
      <c r="R491" s="662"/>
      <c r="S491" s="662"/>
      <c r="T491" s="662"/>
      <c r="U491" s="663"/>
      <c r="V491" s="40"/>
      <c r="W491" s="41"/>
      <c r="X491" s="41"/>
      <c r="Y491" s="41"/>
      <c r="Z491" s="29"/>
      <c r="AA491" s="29"/>
      <c r="AB491" s="29"/>
      <c r="AC491" s="29"/>
      <c r="AD491" s="29"/>
    </row>
    <row r="492" spans="1:30" s="488" customFormat="1" ht="41.25" hidden="1" customHeight="1">
      <c r="A492" s="492"/>
      <c r="B492" s="643"/>
      <c r="C492" s="513"/>
      <c r="D492" s="514"/>
      <c r="E492" s="664" t="s">
        <v>29</v>
      </c>
      <c r="F492" s="665"/>
      <c r="G492" s="665"/>
      <c r="H492" s="665"/>
      <c r="I492" s="665"/>
      <c r="J492" s="665"/>
      <c r="K492" s="665"/>
      <c r="L492" s="665"/>
      <c r="M492" s="666"/>
      <c r="N492" s="655"/>
      <c r="O492" s="656"/>
      <c r="P492" s="657"/>
      <c r="Q492" s="667"/>
      <c r="R492" s="689"/>
      <c r="S492" s="689"/>
      <c r="T492" s="689"/>
      <c r="U492" s="690"/>
      <c r="V492" s="42"/>
      <c r="W492" s="41"/>
      <c r="X492" s="41"/>
      <c r="Y492" s="41"/>
      <c r="Z492" s="29"/>
      <c r="AA492" s="29"/>
      <c r="AB492" s="29"/>
      <c r="AC492" s="29"/>
      <c r="AD492" s="29"/>
    </row>
    <row r="493" spans="1:30" s="488" customFormat="1" ht="41.25" hidden="1" customHeight="1">
      <c r="A493" s="492"/>
      <c r="B493" s="643"/>
      <c r="C493" s="513">
        <v>55</v>
      </c>
      <c r="D493" s="514"/>
      <c r="E493" s="670" t="s">
        <v>30</v>
      </c>
      <c r="F493" s="670"/>
      <c r="G493" s="670"/>
      <c r="H493" s="670"/>
      <c r="I493" s="670"/>
      <c r="J493" s="670"/>
      <c r="K493" s="670"/>
      <c r="L493" s="498">
        <v>4.4000000000000004</v>
      </c>
      <c r="M493" s="459">
        <f>L493</f>
        <v>4.4000000000000004</v>
      </c>
      <c r="N493" s="655"/>
      <c r="O493" s="656"/>
      <c r="P493" s="657"/>
      <c r="Q493" s="671"/>
      <c r="R493" s="672"/>
      <c r="S493" s="673"/>
      <c r="T493" s="457">
        <f>H490*M493*N490*O490*P490</f>
        <v>0</v>
      </c>
      <c r="U493" s="458">
        <f>T493</f>
        <v>0</v>
      </c>
      <c r="V493" s="42"/>
      <c r="W493" s="39"/>
      <c r="X493" s="41"/>
      <c r="Y493" s="41"/>
      <c r="Z493" s="43">
        <f>T493</f>
        <v>0</v>
      </c>
      <c r="AA493" s="29"/>
      <c r="AB493" s="29"/>
      <c r="AC493" s="29"/>
      <c r="AD493" s="29"/>
    </row>
    <row r="494" spans="1:30" s="488" customFormat="1" ht="41.25" hidden="1" customHeight="1">
      <c r="A494" s="492"/>
      <c r="B494" s="643"/>
      <c r="C494" s="513"/>
      <c r="D494" s="514"/>
      <c r="E494" s="670" t="s">
        <v>31</v>
      </c>
      <c r="F494" s="670"/>
      <c r="G494" s="670"/>
      <c r="H494" s="670"/>
      <c r="I494" s="670"/>
      <c r="J494" s="670"/>
      <c r="K494" s="670"/>
      <c r="L494" s="498">
        <f>ROUND((I490+J490+K490)*2.14%,2)</f>
        <v>1.44</v>
      </c>
      <c r="M494" s="459">
        <f>L494</f>
        <v>1.44</v>
      </c>
      <c r="N494" s="655"/>
      <c r="O494" s="656"/>
      <c r="P494" s="657"/>
      <c r="Q494" s="671"/>
      <c r="R494" s="672"/>
      <c r="S494" s="673"/>
      <c r="T494" s="457">
        <f>H490*M494*N490*O490*P490</f>
        <v>0</v>
      </c>
      <c r="U494" s="458">
        <f>T494</f>
        <v>0</v>
      </c>
      <c r="V494" s="42"/>
      <c r="W494" s="41"/>
      <c r="X494" s="39"/>
      <c r="Y494" s="41"/>
      <c r="Z494" s="29"/>
      <c r="AA494" s="43">
        <f>T494</f>
        <v>0</v>
      </c>
      <c r="AB494" s="29"/>
      <c r="AC494" s="29"/>
      <c r="AD494" s="29"/>
    </row>
    <row r="495" spans="1:30" s="488" customFormat="1" ht="41.25" hidden="1" customHeight="1">
      <c r="A495" s="492"/>
      <c r="B495" s="643"/>
      <c r="C495" s="515"/>
      <c r="D495" s="514"/>
      <c r="E495" s="670" t="s">
        <v>376</v>
      </c>
      <c r="F495" s="670"/>
      <c r="G495" s="670"/>
      <c r="H495" s="670"/>
      <c r="I495" s="670"/>
      <c r="J495" s="670"/>
      <c r="K495" s="670"/>
      <c r="L495" s="498">
        <f>ROUND((I490+J490+K490+L493+L494+L498)*3%,2)</f>
        <v>2.2799999999999998</v>
      </c>
      <c r="M495" s="459">
        <f>L495</f>
        <v>2.2799999999999998</v>
      </c>
      <c r="N495" s="655"/>
      <c r="O495" s="656"/>
      <c r="P495" s="657"/>
      <c r="Q495" s="671"/>
      <c r="R495" s="672"/>
      <c r="S495" s="673"/>
      <c r="T495" s="457">
        <f>H490*M495*N490*O490*P490</f>
        <v>0</v>
      </c>
      <c r="U495" s="458">
        <f>T495</f>
        <v>0</v>
      </c>
      <c r="V495" s="42"/>
      <c r="W495" s="41"/>
      <c r="X495" s="41"/>
      <c r="Y495" s="39"/>
      <c r="Z495" s="29"/>
      <c r="AA495" s="29"/>
      <c r="AB495" s="43">
        <f>T495</f>
        <v>0</v>
      </c>
      <c r="AC495" s="29"/>
      <c r="AD495" s="29"/>
    </row>
    <row r="496" spans="1:30" s="488" customFormat="1" ht="54.75" hidden="1" customHeight="1">
      <c r="A496" s="492"/>
      <c r="B496" s="643"/>
      <c r="C496" s="515"/>
      <c r="D496" s="514"/>
      <c r="E496" s="670" t="s">
        <v>377</v>
      </c>
      <c r="F496" s="670"/>
      <c r="G496" s="670"/>
      <c r="H496" s="670"/>
      <c r="I496" s="670"/>
      <c r="J496" s="670"/>
      <c r="K496" s="670"/>
      <c r="L496" s="498">
        <f>8.66-K490-L493-L494-L498</f>
        <v>0</v>
      </c>
      <c r="M496" s="459">
        <f>L496</f>
        <v>0</v>
      </c>
      <c r="N496" s="655"/>
      <c r="O496" s="656"/>
      <c r="P496" s="657"/>
      <c r="Q496" s="671"/>
      <c r="R496" s="672"/>
      <c r="S496" s="673"/>
      <c r="T496" s="457">
        <f>H490*M496*N490*O490*P490</f>
        <v>0</v>
      </c>
      <c r="U496" s="458">
        <f>T496</f>
        <v>0</v>
      </c>
      <c r="V496" s="42"/>
      <c r="W496" s="41"/>
      <c r="X496" s="41"/>
      <c r="Y496" s="41"/>
      <c r="Z496" s="44"/>
      <c r="AA496" s="29"/>
      <c r="AB496" s="29"/>
      <c r="AC496" s="44">
        <f>T496</f>
        <v>0</v>
      </c>
      <c r="AD496" s="29"/>
    </row>
    <row r="497" spans="1:30" s="488" customFormat="1" ht="45" hidden="1" customHeight="1">
      <c r="A497" s="492"/>
      <c r="B497" s="643"/>
      <c r="C497" s="515"/>
      <c r="D497" s="514"/>
      <c r="E497" s="674"/>
      <c r="F497" s="675"/>
      <c r="G497" s="675"/>
      <c r="H497" s="675"/>
      <c r="I497" s="675"/>
      <c r="J497" s="675"/>
      <c r="K497" s="675"/>
      <c r="L497" s="675"/>
      <c r="M497" s="676"/>
      <c r="N497" s="655"/>
      <c r="O497" s="656"/>
      <c r="P497" s="657"/>
      <c r="Q497" s="677"/>
      <c r="R497" s="678"/>
      <c r="S497" s="678"/>
      <c r="T497" s="678"/>
      <c r="U497" s="679"/>
      <c r="V497" s="45"/>
      <c r="W497" s="41"/>
      <c r="X497" s="41"/>
      <c r="Y497" s="41"/>
      <c r="Z497" s="29"/>
      <c r="AA497" s="44"/>
      <c r="AB497" s="29"/>
      <c r="AC497" s="29"/>
      <c r="AD497" s="29"/>
    </row>
    <row r="498" spans="1:30" s="488" customFormat="1" ht="45" hidden="1" customHeight="1" thickBot="1">
      <c r="A498" s="492"/>
      <c r="B498" s="644"/>
      <c r="C498" s="516"/>
      <c r="D498" s="517"/>
      <c r="E498" s="680" t="s">
        <v>369</v>
      </c>
      <c r="F498" s="680" t="s">
        <v>306</v>
      </c>
      <c r="G498" s="680"/>
      <c r="H498" s="680"/>
      <c r="I498" s="680"/>
      <c r="J498" s="680"/>
      <c r="K498" s="680"/>
      <c r="L498" s="499">
        <f>ROUND((I490+J490+K490+L493)*3.93%,2)</f>
        <v>2.82</v>
      </c>
      <c r="M498" s="46">
        <f>L498</f>
        <v>2.82</v>
      </c>
      <c r="N498" s="658"/>
      <c r="O498" s="659"/>
      <c r="P498" s="660"/>
      <c r="Q498" s="681"/>
      <c r="R498" s="682"/>
      <c r="S498" s="683"/>
      <c r="T498" s="500">
        <f>H490*M498*N490*O490*P490</f>
        <v>0</v>
      </c>
      <c r="U498" s="47">
        <f>T498</f>
        <v>0</v>
      </c>
      <c r="V498" s="48"/>
      <c r="W498" s="41"/>
      <c r="X498" s="41"/>
      <c r="Y498" s="41"/>
      <c r="Z498" s="29"/>
      <c r="AA498" s="29"/>
      <c r="AB498" s="44"/>
      <c r="AC498" s="29"/>
      <c r="AD498" s="44">
        <f>T498</f>
        <v>0</v>
      </c>
    </row>
    <row r="499" spans="1:30" s="488" customFormat="1" ht="150" hidden="1" customHeight="1" thickBot="1">
      <c r="A499" s="492"/>
      <c r="B499" s="642">
        <v>1</v>
      </c>
      <c r="C499" s="511">
        <v>5</v>
      </c>
      <c r="D499" s="512"/>
      <c r="E499" s="493" t="s">
        <v>457</v>
      </c>
      <c r="F499" s="487" t="s">
        <v>458</v>
      </c>
      <c r="G499" s="645" t="s">
        <v>388</v>
      </c>
      <c r="H499" s="688">
        <v>0</v>
      </c>
      <c r="I499" s="494">
        <v>701.55</v>
      </c>
      <c r="J499" s="494">
        <v>176.69</v>
      </c>
      <c r="K499" s="494">
        <v>38.74</v>
      </c>
      <c r="L499" s="494">
        <f>SUM(L501:L507)</f>
        <v>178.22955999999999</v>
      </c>
      <c r="M499" s="33">
        <f>SUM(I499:L499)</f>
        <v>1095.20956</v>
      </c>
      <c r="N499" s="501">
        <v>1</v>
      </c>
      <c r="O499" s="502">
        <v>1</v>
      </c>
      <c r="P499" s="37">
        <v>1</v>
      </c>
      <c r="Q499" s="34">
        <f>H499*I499*N499*O499*P499</f>
        <v>0</v>
      </c>
      <c r="R499" s="35">
        <f>H499*J499*N499*O499*P499</f>
        <v>0</v>
      </c>
      <c r="S499" s="36">
        <f>H499*K499*N499*O499*P499</f>
        <v>0</v>
      </c>
      <c r="T499" s="36">
        <f>H499*L499*N499*O499*P499</f>
        <v>0</v>
      </c>
      <c r="U499" s="37">
        <f>SUM(Q499:T499)</f>
        <v>0</v>
      </c>
      <c r="V499" s="38">
        <f>(Q499+R499+S499+T503+T504+T505+T507)*'Прогнозная стоимость РСС ИП '!$M$11+T502*'Прогнозная стоимость РСС ИП '!$M$10</f>
        <v>0</v>
      </c>
      <c r="W499" s="39">
        <f>T499</f>
        <v>0</v>
      </c>
      <c r="X499" s="39">
        <f>U499</f>
        <v>0</v>
      </c>
      <c r="Y499" s="39">
        <f>V499</f>
        <v>0</v>
      </c>
      <c r="Z499" s="29"/>
      <c r="AA499" s="29"/>
      <c r="AB499" s="29"/>
      <c r="AC499" s="29"/>
      <c r="AD499" s="29"/>
    </row>
    <row r="500" spans="1:30" s="488" customFormat="1" ht="41.25" hidden="1" customHeight="1">
      <c r="A500" s="492"/>
      <c r="B500" s="643"/>
      <c r="C500" s="513"/>
      <c r="D500" s="514"/>
      <c r="E500" s="495"/>
      <c r="F500" s="496"/>
      <c r="G500" s="646"/>
      <c r="H500" s="688"/>
      <c r="I500" s="649"/>
      <c r="J500" s="650"/>
      <c r="K500" s="650"/>
      <c r="L500" s="650"/>
      <c r="M500" s="651"/>
      <c r="N500" s="652"/>
      <c r="O500" s="653"/>
      <c r="P500" s="654"/>
      <c r="Q500" s="661"/>
      <c r="R500" s="662"/>
      <c r="S500" s="662"/>
      <c r="T500" s="662"/>
      <c r="U500" s="663"/>
      <c r="V500" s="40"/>
      <c r="W500" s="41"/>
      <c r="X500" s="41"/>
      <c r="Y500" s="41"/>
      <c r="Z500" s="29"/>
      <c r="AA500" s="29"/>
      <c r="AB500" s="29"/>
      <c r="AC500" s="29"/>
      <c r="AD500" s="29"/>
    </row>
    <row r="501" spans="1:30" s="488" customFormat="1" ht="41.25" hidden="1" customHeight="1">
      <c r="A501" s="492"/>
      <c r="B501" s="643"/>
      <c r="C501" s="513"/>
      <c r="D501" s="514"/>
      <c r="E501" s="664" t="s">
        <v>29</v>
      </c>
      <c r="F501" s="665"/>
      <c r="G501" s="665"/>
      <c r="H501" s="665"/>
      <c r="I501" s="665"/>
      <c r="J501" s="665"/>
      <c r="K501" s="665"/>
      <c r="L501" s="665"/>
      <c r="M501" s="666"/>
      <c r="N501" s="655"/>
      <c r="O501" s="656"/>
      <c r="P501" s="657"/>
      <c r="Q501" s="667"/>
      <c r="R501" s="689"/>
      <c r="S501" s="689"/>
      <c r="T501" s="689"/>
      <c r="U501" s="690"/>
      <c r="V501" s="42"/>
      <c r="W501" s="41"/>
      <c r="X501" s="41"/>
      <c r="Y501" s="41"/>
      <c r="Z501" s="29"/>
      <c r="AA501" s="29"/>
      <c r="AB501" s="29"/>
      <c r="AC501" s="29"/>
      <c r="AD501" s="29"/>
    </row>
    <row r="502" spans="1:30" s="488" customFormat="1" ht="41.25" hidden="1" customHeight="1">
      <c r="A502" s="492"/>
      <c r="B502" s="643"/>
      <c r="C502" s="513">
        <v>55</v>
      </c>
      <c r="D502" s="514"/>
      <c r="E502" s="670" t="s">
        <v>30</v>
      </c>
      <c r="F502" s="670"/>
      <c r="G502" s="670"/>
      <c r="H502" s="670"/>
      <c r="I502" s="670"/>
      <c r="J502" s="670"/>
      <c r="K502" s="670"/>
      <c r="L502" s="498">
        <v>87.239559999999997</v>
      </c>
      <c r="M502" s="459">
        <f>L502</f>
        <v>87.239559999999997</v>
      </c>
      <c r="N502" s="655"/>
      <c r="O502" s="656"/>
      <c r="P502" s="657"/>
      <c r="Q502" s="671"/>
      <c r="R502" s="672"/>
      <c r="S502" s="673"/>
      <c r="T502" s="457">
        <f>H499*M502*N499*O499*P499</f>
        <v>0</v>
      </c>
      <c r="U502" s="458">
        <f>T502</f>
        <v>0</v>
      </c>
      <c r="V502" s="42"/>
      <c r="W502" s="39"/>
      <c r="X502" s="41"/>
      <c r="Y502" s="41"/>
      <c r="Z502" s="43">
        <f>T502</f>
        <v>0</v>
      </c>
      <c r="AA502" s="29"/>
      <c r="AB502" s="29"/>
      <c r="AC502" s="29"/>
      <c r="AD502" s="29"/>
    </row>
    <row r="503" spans="1:30" s="488" customFormat="1" ht="41.25" hidden="1" customHeight="1">
      <c r="A503" s="492"/>
      <c r="B503" s="643"/>
      <c r="C503" s="513"/>
      <c r="D503" s="514"/>
      <c r="E503" s="670" t="s">
        <v>31</v>
      </c>
      <c r="F503" s="670"/>
      <c r="G503" s="670"/>
      <c r="H503" s="670"/>
      <c r="I503" s="670"/>
      <c r="J503" s="670"/>
      <c r="K503" s="670"/>
      <c r="L503" s="498">
        <f>ROUND((I499+J499+K499)*2.14%,2)</f>
        <v>19.62</v>
      </c>
      <c r="M503" s="459">
        <f>L503</f>
        <v>19.62</v>
      </c>
      <c r="N503" s="655"/>
      <c r="O503" s="656"/>
      <c r="P503" s="657"/>
      <c r="Q503" s="671"/>
      <c r="R503" s="672"/>
      <c r="S503" s="673"/>
      <c r="T503" s="457">
        <f>H499*M503*N499*O499*P499</f>
        <v>0</v>
      </c>
      <c r="U503" s="458">
        <f>T503</f>
        <v>0</v>
      </c>
      <c r="V503" s="42"/>
      <c r="W503" s="41"/>
      <c r="X503" s="39"/>
      <c r="Y503" s="41"/>
      <c r="Z503" s="29"/>
      <c r="AA503" s="43">
        <f>T503</f>
        <v>0</v>
      </c>
      <c r="AB503" s="29"/>
      <c r="AC503" s="29"/>
      <c r="AD503" s="29"/>
    </row>
    <row r="504" spans="1:30" s="488" customFormat="1" ht="41.25" hidden="1" customHeight="1">
      <c r="A504" s="492"/>
      <c r="B504" s="643"/>
      <c r="C504" s="515"/>
      <c r="D504" s="514"/>
      <c r="E504" s="670" t="s">
        <v>376</v>
      </c>
      <c r="F504" s="670"/>
      <c r="G504" s="670"/>
      <c r="H504" s="670"/>
      <c r="I504" s="670"/>
      <c r="J504" s="670"/>
      <c r="K504" s="670"/>
      <c r="L504" s="498">
        <f>ROUND((I499+J499+K499+L502+L503+L507)*3%,2)</f>
        <v>31.9</v>
      </c>
      <c r="M504" s="459">
        <f>L504</f>
        <v>31.9</v>
      </c>
      <c r="N504" s="655"/>
      <c r="O504" s="656"/>
      <c r="P504" s="657"/>
      <c r="Q504" s="671"/>
      <c r="R504" s="672"/>
      <c r="S504" s="673"/>
      <c r="T504" s="457">
        <f>H499*M504*N499*O499*P499</f>
        <v>0</v>
      </c>
      <c r="U504" s="458">
        <f>T504</f>
        <v>0</v>
      </c>
      <c r="V504" s="42"/>
      <c r="W504" s="41"/>
      <c r="X504" s="41"/>
      <c r="Y504" s="39"/>
      <c r="Z504" s="29"/>
      <c r="AA504" s="29"/>
      <c r="AB504" s="43">
        <f>T504</f>
        <v>0</v>
      </c>
      <c r="AC504" s="29"/>
      <c r="AD504" s="29"/>
    </row>
    <row r="505" spans="1:30" s="488" customFormat="1" ht="54.75" hidden="1" customHeight="1">
      <c r="A505" s="492"/>
      <c r="B505" s="643"/>
      <c r="C505" s="515"/>
      <c r="D505" s="514"/>
      <c r="E505" s="670" t="s">
        <v>377</v>
      </c>
      <c r="F505" s="670"/>
      <c r="G505" s="670"/>
      <c r="H505" s="670"/>
      <c r="I505" s="670"/>
      <c r="J505" s="670"/>
      <c r="K505" s="670"/>
      <c r="L505" s="498">
        <f>185.06956-K499-L502-L503-L507</f>
        <v>0</v>
      </c>
      <c r="M505" s="459">
        <f>L505</f>
        <v>0</v>
      </c>
      <c r="N505" s="655"/>
      <c r="O505" s="656"/>
      <c r="P505" s="657"/>
      <c r="Q505" s="671"/>
      <c r="R505" s="672"/>
      <c r="S505" s="673"/>
      <c r="T505" s="457">
        <f>H499*M505*N499*O499*P499</f>
        <v>0</v>
      </c>
      <c r="U505" s="458">
        <f>T505</f>
        <v>0</v>
      </c>
      <c r="V505" s="42"/>
      <c r="W505" s="41"/>
      <c r="X505" s="41"/>
      <c r="Y505" s="41"/>
      <c r="Z505" s="44"/>
      <c r="AA505" s="29"/>
      <c r="AB505" s="29"/>
      <c r="AC505" s="44">
        <f>T505</f>
        <v>0</v>
      </c>
      <c r="AD505" s="29"/>
    </row>
    <row r="506" spans="1:30" s="488" customFormat="1" ht="45" hidden="1" customHeight="1">
      <c r="A506" s="492"/>
      <c r="B506" s="643"/>
      <c r="C506" s="515"/>
      <c r="D506" s="514"/>
      <c r="E506" s="674"/>
      <c r="F506" s="675"/>
      <c r="G506" s="675"/>
      <c r="H506" s="675"/>
      <c r="I506" s="675"/>
      <c r="J506" s="675"/>
      <c r="K506" s="675"/>
      <c r="L506" s="675"/>
      <c r="M506" s="676"/>
      <c r="N506" s="655"/>
      <c r="O506" s="656"/>
      <c r="P506" s="657"/>
      <c r="Q506" s="677"/>
      <c r="R506" s="678"/>
      <c r="S506" s="678"/>
      <c r="T506" s="678"/>
      <c r="U506" s="679"/>
      <c r="V506" s="45"/>
      <c r="W506" s="41"/>
      <c r="X506" s="41"/>
      <c r="Y506" s="41"/>
      <c r="Z506" s="29"/>
      <c r="AA506" s="44"/>
      <c r="AB506" s="29"/>
      <c r="AC506" s="29"/>
      <c r="AD506" s="29"/>
    </row>
    <row r="507" spans="1:30" s="488" customFormat="1" ht="45" hidden="1" customHeight="1" thickBot="1">
      <c r="A507" s="492"/>
      <c r="B507" s="644"/>
      <c r="C507" s="516"/>
      <c r="D507" s="517"/>
      <c r="E507" s="680" t="s">
        <v>369</v>
      </c>
      <c r="F507" s="680" t="s">
        <v>306</v>
      </c>
      <c r="G507" s="680"/>
      <c r="H507" s="680"/>
      <c r="I507" s="680"/>
      <c r="J507" s="680"/>
      <c r="K507" s="680"/>
      <c r="L507" s="499">
        <f>ROUND((I499+J499+K499+L502)*3.93%,2)</f>
        <v>39.47</v>
      </c>
      <c r="M507" s="46">
        <f>L507</f>
        <v>39.47</v>
      </c>
      <c r="N507" s="658"/>
      <c r="O507" s="659"/>
      <c r="P507" s="660"/>
      <c r="Q507" s="681"/>
      <c r="R507" s="682"/>
      <c r="S507" s="683"/>
      <c r="T507" s="500">
        <f>H499*M507*N499*O499*P499</f>
        <v>0</v>
      </c>
      <c r="U507" s="47">
        <f>T507</f>
        <v>0</v>
      </c>
      <c r="V507" s="48"/>
      <c r="W507" s="41"/>
      <c r="X507" s="41"/>
      <c r="Y507" s="41"/>
      <c r="Z507" s="29"/>
      <c r="AA507" s="29"/>
      <c r="AB507" s="44"/>
      <c r="AC507" s="29"/>
      <c r="AD507" s="44">
        <f>T507</f>
        <v>0</v>
      </c>
    </row>
    <row r="508" spans="1:30" s="488" customFormat="1" ht="150" hidden="1" customHeight="1" thickBot="1">
      <c r="A508" s="492"/>
      <c r="B508" s="642">
        <v>1</v>
      </c>
      <c r="C508" s="511">
        <v>5</v>
      </c>
      <c r="D508" s="512"/>
      <c r="E508" s="493" t="s">
        <v>459</v>
      </c>
      <c r="F508" s="487" t="s">
        <v>460</v>
      </c>
      <c r="G508" s="645" t="s">
        <v>388</v>
      </c>
      <c r="H508" s="688">
        <v>0</v>
      </c>
      <c r="I508" s="494">
        <v>713.74</v>
      </c>
      <c r="J508" s="494">
        <v>176.69</v>
      </c>
      <c r="K508" s="494">
        <v>38.74</v>
      </c>
      <c r="L508" s="494">
        <f>SUM(L510:L516)</f>
        <v>179.38394</v>
      </c>
      <c r="M508" s="33">
        <f>SUM(I508:L508)</f>
        <v>1108.55394</v>
      </c>
      <c r="N508" s="501">
        <v>1</v>
      </c>
      <c r="O508" s="502">
        <v>1</v>
      </c>
      <c r="P508" s="37">
        <v>1</v>
      </c>
      <c r="Q508" s="34">
        <f>H508*I508*N508*O508*P508</f>
        <v>0</v>
      </c>
      <c r="R508" s="35">
        <f>H508*J508*N508*O508*P508</f>
        <v>0</v>
      </c>
      <c r="S508" s="36">
        <f>H508*K508*N508*O508*P508</f>
        <v>0</v>
      </c>
      <c r="T508" s="36">
        <f>H508*L508*N508*O508*P508</f>
        <v>0</v>
      </c>
      <c r="U508" s="37">
        <f>SUM(Q508:T508)</f>
        <v>0</v>
      </c>
      <c r="V508" s="38">
        <f>(Q508+R508+S508+T512+T513+T514+T516)*'Прогнозная стоимость РСС ИП '!$M$11+T511*'Прогнозная стоимость РСС ИП '!$M$10</f>
        <v>0</v>
      </c>
      <c r="W508" s="39">
        <f>T508</f>
        <v>0</v>
      </c>
      <c r="X508" s="39">
        <f>U508</f>
        <v>0</v>
      </c>
      <c r="Y508" s="39">
        <f>V508</f>
        <v>0</v>
      </c>
      <c r="Z508" s="29"/>
      <c r="AA508" s="29"/>
      <c r="AB508" s="29"/>
      <c r="AC508" s="29"/>
      <c r="AD508" s="29"/>
    </row>
    <row r="509" spans="1:30" s="488" customFormat="1" ht="41.25" hidden="1" customHeight="1">
      <c r="A509" s="492"/>
      <c r="B509" s="643"/>
      <c r="C509" s="513"/>
      <c r="D509" s="514"/>
      <c r="E509" s="495"/>
      <c r="F509" s="496"/>
      <c r="G509" s="646"/>
      <c r="H509" s="688"/>
      <c r="I509" s="649"/>
      <c r="J509" s="650"/>
      <c r="K509" s="650"/>
      <c r="L509" s="650"/>
      <c r="M509" s="651"/>
      <c r="N509" s="652"/>
      <c r="O509" s="653"/>
      <c r="P509" s="654"/>
      <c r="Q509" s="661"/>
      <c r="R509" s="662"/>
      <c r="S509" s="662"/>
      <c r="T509" s="662"/>
      <c r="U509" s="663"/>
      <c r="V509" s="40"/>
      <c r="W509" s="41"/>
      <c r="X509" s="41"/>
      <c r="Y509" s="41"/>
      <c r="Z509" s="29"/>
      <c r="AA509" s="29"/>
      <c r="AB509" s="29"/>
      <c r="AC509" s="29"/>
      <c r="AD509" s="29"/>
    </row>
    <row r="510" spans="1:30" s="488" customFormat="1" ht="41.25" hidden="1" customHeight="1">
      <c r="A510" s="492"/>
      <c r="B510" s="643"/>
      <c r="C510" s="513"/>
      <c r="D510" s="514"/>
      <c r="E510" s="664" t="s">
        <v>29</v>
      </c>
      <c r="F510" s="665"/>
      <c r="G510" s="665"/>
      <c r="H510" s="665"/>
      <c r="I510" s="665"/>
      <c r="J510" s="665"/>
      <c r="K510" s="665"/>
      <c r="L510" s="665"/>
      <c r="M510" s="666"/>
      <c r="N510" s="655"/>
      <c r="O510" s="656"/>
      <c r="P510" s="657"/>
      <c r="Q510" s="667"/>
      <c r="R510" s="689"/>
      <c r="S510" s="689"/>
      <c r="T510" s="689"/>
      <c r="U510" s="690"/>
      <c r="V510" s="42"/>
      <c r="W510" s="41"/>
      <c r="X510" s="41"/>
      <c r="Y510" s="41"/>
      <c r="Z510" s="29"/>
      <c r="AA510" s="29"/>
      <c r="AB510" s="29"/>
      <c r="AC510" s="29"/>
      <c r="AD510" s="29"/>
    </row>
    <row r="511" spans="1:30" s="488" customFormat="1" ht="41.25" hidden="1" customHeight="1">
      <c r="A511" s="492"/>
      <c r="B511" s="643"/>
      <c r="C511" s="513">
        <v>55</v>
      </c>
      <c r="D511" s="514"/>
      <c r="E511" s="670" t="s">
        <v>30</v>
      </c>
      <c r="F511" s="670"/>
      <c r="G511" s="670"/>
      <c r="H511" s="670"/>
      <c r="I511" s="670"/>
      <c r="J511" s="670"/>
      <c r="K511" s="670"/>
      <c r="L511" s="498">
        <v>87.263939999999991</v>
      </c>
      <c r="M511" s="459">
        <f>L511</f>
        <v>87.263939999999991</v>
      </c>
      <c r="N511" s="655"/>
      <c r="O511" s="656"/>
      <c r="P511" s="657"/>
      <c r="Q511" s="671"/>
      <c r="R511" s="672"/>
      <c r="S511" s="673"/>
      <c r="T511" s="457">
        <f>H508*M511*N508*O508*P508</f>
        <v>0</v>
      </c>
      <c r="U511" s="458">
        <f>T511</f>
        <v>0</v>
      </c>
      <c r="V511" s="42"/>
      <c r="W511" s="39"/>
      <c r="X511" s="41"/>
      <c r="Y511" s="41"/>
      <c r="Z511" s="43">
        <f>T511</f>
        <v>0</v>
      </c>
      <c r="AA511" s="29"/>
      <c r="AB511" s="29"/>
      <c r="AC511" s="29"/>
      <c r="AD511" s="29"/>
    </row>
    <row r="512" spans="1:30" s="488" customFormat="1" ht="41.25" hidden="1" customHeight="1">
      <c r="A512" s="492"/>
      <c r="B512" s="643"/>
      <c r="C512" s="513"/>
      <c r="D512" s="514"/>
      <c r="E512" s="670" t="s">
        <v>31</v>
      </c>
      <c r="F512" s="670"/>
      <c r="G512" s="670"/>
      <c r="H512" s="670"/>
      <c r="I512" s="670"/>
      <c r="J512" s="670"/>
      <c r="K512" s="670"/>
      <c r="L512" s="498">
        <f>ROUND((I508+J508+K508)*2.14%,2)</f>
        <v>19.88</v>
      </c>
      <c r="M512" s="459">
        <f>L512</f>
        <v>19.88</v>
      </c>
      <c r="N512" s="655"/>
      <c r="O512" s="656"/>
      <c r="P512" s="657"/>
      <c r="Q512" s="671"/>
      <c r="R512" s="672"/>
      <c r="S512" s="673"/>
      <c r="T512" s="457">
        <f>H508*M512*N508*O508*P508</f>
        <v>0</v>
      </c>
      <c r="U512" s="458">
        <f>T512</f>
        <v>0</v>
      </c>
      <c r="V512" s="42"/>
      <c r="W512" s="41"/>
      <c r="X512" s="39"/>
      <c r="Y512" s="41"/>
      <c r="Z512" s="29"/>
      <c r="AA512" s="43">
        <f>T512</f>
        <v>0</v>
      </c>
      <c r="AB512" s="29"/>
      <c r="AC512" s="29"/>
      <c r="AD512" s="29"/>
    </row>
    <row r="513" spans="1:30" s="488" customFormat="1" ht="41.25" hidden="1" customHeight="1">
      <c r="A513" s="492"/>
      <c r="B513" s="643"/>
      <c r="C513" s="515"/>
      <c r="D513" s="514"/>
      <c r="E513" s="670" t="s">
        <v>376</v>
      </c>
      <c r="F513" s="670"/>
      <c r="G513" s="670"/>
      <c r="H513" s="670"/>
      <c r="I513" s="670"/>
      <c r="J513" s="670"/>
      <c r="K513" s="670"/>
      <c r="L513" s="498">
        <f>ROUND((I508+J508+K508+L511+L512+L516)*3%,2)</f>
        <v>32.29</v>
      </c>
      <c r="M513" s="459">
        <f>L513</f>
        <v>32.29</v>
      </c>
      <c r="N513" s="655"/>
      <c r="O513" s="656"/>
      <c r="P513" s="657"/>
      <c r="Q513" s="671"/>
      <c r="R513" s="672"/>
      <c r="S513" s="673"/>
      <c r="T513" s="457">
        <f>H508*M513*N508*O508*P508</f>
        <v>0</v>
      </c>
      <c r="U513" s="458">
        <f>T513</f>
        <v>0</v>
      </c>
      <c r="V513" s="42"/>
      <c r="W513" s="41"/>
      <c r="X513" s="41"/>
      <c r="Y513" s="39"/>
      <c r="Z513" s="29"/>
      <c r="AA513" s="29"/>
      <c r="AB513" s="43">
        <f>T513</f>
        <v>0</v>
      </c>
      <c r="AC513" s="29"/>
      <c r="AD513" s="29"/>
    </row>
    <row r="514" spans="1:30" s="488" customFormat="1" ht="54.75" hidden="1" customHeight="1">
      <c r="A514" s="492"/>
      <c r="B514" s="643"/>
      <c r="C514" s="515"/>
      <c r="D514" s="514"/>
      <c r="E514" s="670" t="s">
        <v>377</v>
      </c>
      <c r="F514" s="670"/>
      <c r="G514" s="670"/>
      <c r="H514" s="670"/>
      <c r="I514" s="670"/>
      <c r="J514" s="670"/>
      <c r="K514" s="670"/>
      <c r="L514" s="498">
        <f>185.83394-K508-L511-L512-L516</f>
        <v>0</v>
      </c>
      <c r="M514" s="459">
        <f>L514</f>
        <v>0</v>
      </c>
      <c r="N514" s="655"/>
      <c r="O514" s="656"/>
      <c r="P514" s="657"/>
      <c r="Q514" s="671"/>
      <c r="R514" s="672"/>
      <c r="S514" s="673"/>
      <c r="T514" s="457">
        <f>H508*M514*N508*O508*P508</f>
        <v>0</v>
      </c>
      <c r="U514" s="458">
        <f>T514</f>
        <v>0</v>
      </c>
      <c r="V514" s="42"/>
      <c r="W514" s="41"/>
      <c r="X514" s="41"/>
      <c r="Y514" s="41"/>
      <c r="Z514" s="44"/>
      <c r="AA514" s="29"/>
      <c r="AB514" s="29"/>
      <c r="AC514" s="44">
        <f>T514</f>
        <v>0</v>
      </c>
      <c r="AD514" s="29"/>
    </row>
    <row r="515" spans="1:30" s="488" customFormat="1" ht="45" hidden="1" customHeight="1">
      <c r="A515" s="492"/>
      <c r="B515" s="643"/>
      <c r="C515" s="515"/>
      <c r="D515" s="514"/>
      <c r="E515" s="674"/>
      <c r="F515" s="675"/>
      <c r="G515" s="675"/>
      <c r="H515" s="675"/>
      <c r="I515" s="675"/>
      <c r="J515" s="675"/>
      <c r="K515" s="675"/>
      <c r="L515" s="675"/>
      <c r="M515" s="676"/>
      <c r="N515" s="655"/>
      <c r="O515" s="656"/>
      <c r="P515" s="657"/>
      <c r="Q515" s="677"/>
      <c r="R515" s="678"/>
      <c r="S515" s="678"/>
      <c r="T515" s="678"/>
      <c r="U515" s="679"/>
      <c r="V515" s="45"/>
      <c r="W515" s="41"/>
      <c r="X515" s="41"/>
      <c r="Y515" s="41"/>
      <c r="Z515" s="29"/>
      <c r="AA515" s="44"/>
      <c r="AB515" s="29"/>
      <c r="AC515" s="29"/>
      <c r="AD515" s="29"/>
    </row>
    <row r="516" spans="1:30" s="488" customFormat="1" ht="45" hidden="1" customHeight="1" thickBot="1">
      <c r="A516" s="492"/>
      <c r="B516" s="644"/>
      <c r="C516" s="516"/>
      <c r="D516" s="517"/>
      <c r="E516" s="680" t="s">
        <v>369</v>
      </c>
      <c r="F516" s="680" t="s">
        <v>306</v>
      </c>
      <c r="G516" s="680"/>
      <c r="H516" s="680"/>
      <c r="I516" s="680"/>
      <c r="J516" s="680"/>
      <c r="K516" s="680"/>
      <c r="L516" s="499">
        <f>ROUND((I508+J508+K508+L511)*3.93%,2)</f>
        <v>39.950000000000003</v>
      </c>
      <c r="M516" s="46">
        <f>L516</f>
        <v>39.950000000000003</v>
      </c>
      <c r="N516" s="658"/>
      <c r="O516" s="659"/>
      <c r="P516" s="660"/>
      <c r="Q516" s="681"/>
      <c r="R516" s="682"/>
      <c r="S516" s="683"/>
      <c r="T516" s="500">
        <f>H508*M516*N508*O508*P508</f>
        <v>0</v>
      </c>
      <c r="U516" s="47">
        <f>T516</f>
        <v>0</v>
      </c>
      <c r="V516" s="48"/>
      <c r="W516" s="41"/>
      <c r="X516" s="41"/>
      <c r="Y516" s="41"/>
      <c r="Z516" s="29"/>
      <c r="AA516" s="29"/>
      <c r="AB516" s="44"/>
      <c r="AC516" s="29"/>
      <c r="AD516" s="44">
        <f>T516</f>
        <v>0</v>
      </c>
    </row>
    <row r="517" spans="1:30" s="488" customFormat="1" ht="150" hidden="1" customHeight="1" thickBot="1">
      <c r="A517" s="492"/>
      <c r="B517" s="642">
        <v>1</v>
      </c>
      <c r="C517" s="511">
        <v>5</v>
      </c>
      <c r="D517" s="512"/>
      <c r="E517" s="493" t="s">
        <v>461</v>
      </c>
      <c r="F517" s="487" t="s">
        <v>462</v>
      </c>
      <c r="G517" s="645" t="s">
        <v>388</v>
      </c>
      <c r="H517" s="688">
        <v>0</v>
      </c>
      <c r="I517" s="494">
        <v>730.53</v>
      </c>
      <c r="J517" s="494">
        <v>176.69</v>
      </c>
      <c r="K517" s="494">
        <v>38.74</v>
      </c>
      <c r="L517" s="494">
        <f>SUM(L519:L525)</f>
        <v>180.97751999999997</v>
      </c>
      <c r="M517" s="33">
        <f>SUM(I517:L517)</f>
        <v>1126.9375199999999</v>
      </c>
      <c r="N517" s="501">
        <v>1</v>
      </c>
      <c r="O517" s="502">
        <v>1</v>
      </c>
      <c r="P517" s="37">
        <v>1</v>
      </c>
      <c r="Q517" s="34">
        <f>H517*I517*N517*O517*P517</f>
        <v>0</v>
      </c>
      <c r="R517" s="35">
        <f>H517*J517*N517*O517*P517</f>
        <v>0</v>
      </c>
      <c r="S517" s="36">
        <f>H517*K517*N517*O517*P517</f>
        <v>0</v>
      </c>
      <c r="T517" s="36">
        <f>H517*L517*N517*O517*P517</f>
        <v>0</v>
      </c>
      <c r="U517" s="37">
        <f>SUM(Q517:T517)</f>
        <v>0</v>
      </c>
      <c r="V517" s="38">
        <f>(Q517+R517+S517+T521+T522+T523+T525)*'Прогнозная стоимость РСС ИП '!$M$11+T520*'Прогнозная стоимость РСС ИП '!$M$10</f>
        <v>0</v>
      </c>
      <c r="W517" s="39">
        <f>T517</f>
        <v>0</v>
      </c>
      <c r="X517" s="39">
        <f>U517</f>
        <v>0</v>
      </c>
      <c r="Y517" s="39">
        <f>V517</f>
        <v>0</v>
      </c>
      <c r="Z517" s="29"/>
      <c r="AA517" s="29"/>
      <c r="AB517" s="29"/>
      <c r="AC517" s="29"/>
      <c r="AD517" s="29"/>
    </row>
    <row r="518" spans="1:30" s="488" customFormat="1" ht="41.25" hidden="1" customHeight="1">
      <c r="A518" s="492"/>
      <c r="B518" s="643"/>
      <c r="C518" s="513"/>
      <c r="D518" s="514"/>
      <c r="E518" s="495"/>
      <c r="F518" s="496"/>
      <c r="G518" s="646"/>
      <c r="H518" s="688"/>
      <c r="I518" s="649"/>
      <c r="J518" s="650"/>
      <c r="K518" s="650"/>
      <c r="L518" s="650"/>
      <c r="M518" s="651"/>
      <c r="N518" s="652"/>
      <c r="O518" s="653"/>
      <c r="P518" s="654"/>
      <c r="Q518" s="661"/>
      <c r="R518" s="662"/>
      <c r="S518" s="662"/>
      <c r="T518" s="662"/>
      <c r="U518" s="663"/>
      <c r="V518" s="40"/>
      <c r="W518" s="41"/>
      <c r="X518" s="41"/>
      <c r="Y518" s="41"/>
      <c r="Z518" s="29"/>
      <c r="AA518" s="29"/>
      <c r="AB518" s="29"/>
      <c r="AC518" s="29"/>
      <c r="AD518" s="29"/>
    </row>
    <row r="519" spans="1:30" s="488" customFormat="1" ht="41.25" hidden="1" customHeight="1">
      <c r="A519" s="492"/>
      <c r="B519" s="643"/>
      <c r="C519" s="513"/>
      <c r="D519" s="514"/>
      <c r="E519" s="664" t="s">
        <v>29</v>
      </c>
      <c r="F519" s="665"/>
      <c r="G519" s="665"/>
      <c r="H519" s="665"/>
      <c r="I519" s="665"/>
      <c r="J519" s="665"/>
      <c r="K519" s="665"/>
      <c r="L519" s="665"/>
      <c r="M519" s="666"/>
      <c r="N519" s="655"/>
      <c r="O519" s="656"/>
      <c r="P519" s="657"/>
      <c r="Q519" s="667"/>
      <c r="R519" s="689"/>
      <c r="S519" s="689"/>
      <c r="T519" s="689"/>
      <c r="U519" s="690"/>
      <c r="V519" s="42"/>
      <c r="W519" s="41"/>
      <c r="X519" s="41"/>
      <c r="Y519" s="41"/>
      <c r="Z519" s="29"/>
      <c r="AA519" s="29"/>
      <c r="AB519" s="29"/>
      <c r="AC519" s="29"/>
      <c r="AD519" s="29"/>
    </row>
    <row r="520" spans="1:30" s="488" customFormat="1" ht="41.25" hidden="1" customHeight="1">
      <c r="A520" s="492"/>
      <c r="B520" s="643"/>
      <c r="C520" s="513">
        <v>55</v>
      </c>
      <c r="D520" s="514"/>
      <c r="E520" s="670" t="s">
        <v>30</v>
      </c>
      <c r="F520" s="670"/>
      <c r="G520" s="670"/>
      <c r="H520" s="670"/>
      <c r="I520" s="670"/>
      <c r="J520" s="670"/>
      <c r="K520" s="670"/>
      <c r="L520" s="498">
        <v>87.297519999999992</v>
      </c>
      <c r="M520" s="459">
        <f>L520</f>
        <v>87.297519999999992</v>
      </c>
      <c r="N520" s="655"/>
      <c r="O520" s="656"/>
      <c r="P520" s="657"/>
      <c r="Q520" s="671"/>
      <c r="R520" s="672"/>
      <c r="S520" s="673"/>
      <c r="T520" s="457">
        <f>H517*M520*N517*O517*P517</f>
        <v>0</v>
      </c>
      <c r="U520" s="458">
        <f>T520</f>
        <v>0</v>
      </c>
      <c r="V520" s="42"/>
      <c r="W520" s="39"/>
      <c r="X520" s="41"/>
      <c r="Y520" s="41"/>
      <c r="Z520" s="43">
        <f>T520</f>
        <v>0</v>
      </c>
      <c r="AA520" s="29"/>
      <c r="AB520" s="29"/>
      <c r="AC520" s="29"/>
      <c r="AD520" s="29"/>
    </row>
    <row r="521" spans="1:30" s="488" customFormat="1" ht="41.25" hidden="1" customHeight="1">
      <c r="A521" s="492"/>
      <c r="B521" s="643"/>
      <c r="C521" s="513"/>
      <c r="D521" s="514"/>
      <c r="E521" s="670" t="s">
        <v>31</v>
      </c>
      <c r="F521" s="670"/>
      <c r="G521" s="670"/>
      <c r="H521" s="670"/>
      <c r="I521" s="670"/>
      <c r="J521" s="670"/>
      <c r="K521" s="670"/>
      <c r="L521" s="498">
        <f>ROUND((I517+J517+K517)*2.14%,2)</f>
        <v>20.239999999999998</v>
      </c>
      <c r="M521" s="459">
        <f>L521</f>
        <v>20.239999999999998</v>
      </c>
      <c r="N521" s="655"/>
      <c r="O521" s="656"/>
      <c r="P521" s="657"/>
      <c r="Q521" s="671"/>
      <c r="R521" s="672"/>
      <c r="S521" s="673"/>
      <c r="T521" s="457">
        <f>H517*M521*N517*O517*P517</f>
        <v>0</v>
      </c>
      <c r="U521" s="458">
        <f>T521</f>
        <v>0</v>
      </c>
      <c r="V521" s="42"/>
      <c r="W521" s="41"/>
      <c r="X521" s="39"/>
      <c r="Y521" s="41"/>
      <c r="Z521" s="29"/>
      <c r="AA521" s="43">
        <f>T521</f>
        <v>0</v>
      </c>
      <c r="AB521" s="29"/>
      <c r="AC521" s="29"/>
      <c r="AD521" s="29"/>
    </row>
    <row r="522" spans="1:30" s="488" customFormat="1" ht="41.25" hidden="1" customHeight="1">
      <c r="A522" s="492"/>
      <c r="B522" s="643"/>
      <c r="C522" s="515"/>
      <c r="D522" s="514"/>
      <c r="E522" s="670" t="s">
        <v>376</v>
      </c>
      <c r="F522" s="670"/>
      <c r="G522" s="670"/>
      <c r="H522" s="670"/>
      <c r="I522" s="670"/>
      <c r="J522" s="670"/>
      <c r="K522" s="670"/>
      <c r="L522" s="498">
        <f>ROUND((I517+J517+K517+L520+L521+L525)*3%,2)+0.01</f>
        <v>32.83</v>
      </c>
      <c r="M522" s="459">
        <f>L522</f>
        <v>32.83</v>
      </c>
      <c r="N522" s="655"/>
      <c r="O522" s="656"/>
      <c r="P522" s="657"/>
      <c r="Q522" s="671"/>
      <c r="R522" s="672"/>
      <c r="S522" s="673"/>
      <c r="T522" s="457">
        <f>H517*M522*N517*O517*P517</f>
        <v>0</v>
      </c>
      <c r="U522" s="458">
        <f>T522</f>
        <v>0</v>
      </c>
      <c r="V522" s="42"/>
      <c r="W522" s="41"/>
      <c r="X522" s="41"/>
      <c r="Y522" s="39"/>
      <c r="Z522" s="29"/>
      <c r="AA522" s="29"/>
      <c r="AB522" s="43">
        <f>T522</f>
        <v>0</v>
      </c>
      <c r="AC522" s="29"/>
      <c r="AD522" s="29"/>
    </row>
    <row r="523" spans="1:30" s="488" customFormat="1" ht="54.75" hidden="1" customHeight="1">
      <c r="A523" s="492"/>
      <c r="B523" s="643"/>
      <c r="C523" s="515"/>
      <c r="D523" s="514"/>
      <c r="E523" s="670" t="s">
        <v>377</v>
      </c>
      <c r="F523" s="670"/>
      <c r="G523" s="670"/>
      <c r="H523" s="670"/>
      <c r="I523" s="670"/>
      <c r="J523" s="670"/>
      <c r="K523" s="670"/>
      <c r="L523" s="498">
        <f>186.88752-K517-L520-L521-L525</f>
        <v>0</v>
      </c>
      <c r="M523" s="459">
        <f>L523</f>
        <v>0</v>
      </c>
      <c r="N523" s="655"/>
      <c r="O523" s="656"/>
      <c r="P523" s="657"/>
      <c r="Q523" s="671"/>
      <c r="R523" s="672"/>
      <c r="S523" s="673"/>
      <c r="T523" s="457">
        <f>H517*M523*N517*O517*P517</f>
        <v>0</v>
      </c>
      <c r="U523" s="458">
        <f>T523</f>
        <v>0</v>
      </c>
      <c r="V523" s="42"/>
      <c r="W523" s="41"/>
      <c r="X523" s="41"/>
      <c r="Y523" s="41"/>
      <c r="Z523" s="44"/>
      <c r="AA523" s="29"/>
      <c r="AB523" s="29"/>
      <c r="AC523" s="44">
        <f>T523</f>
        <v>0</v>
      </c>
      <c r="AD523" s="29"/>
    </row>
    <row r="524" spans="1:30" s="488" customFormat="1" ht="45" hidden="1" customHeight="1">
      <c r="A524" s="492"/>
      <c r="B524" s="643"/>
      <c r="C524" s="515"/>
      <c r="D524" s="514"/>
      <c r="E524" s="674"/>
      <c r="F524" s="675"/>
      <c r="G524" s="675"/>
      <c r="H524" s="675"/>
      <c r="I524" s="675"/>
      <c r="J524" s="675"/>
      <c r="K524" s="675"/>
      <c r="L524" s="675"/>
      <c r="M524" s="676"/>
      <c r="N524" s="655"/>
      <c r="O524" s="656"/>
      <c r="P524" s="657"/>
      <c r="Q524" s="677"/>
      <c r="R524" s="678"/>
      <c r="S524" s="678"/>
      <c r="T524" s="678"/>
      <c r="U524" s="679"/>
      <c r="V524" s="45"/>
      <c r="W524" s="41"/>
      <c r="X524" s="41"/>
      <c r="Y524" s="41"/>
      <c r="Z524" s="29"/>
      <c r="AA524" s="44"/>
      <c r="AB524" s="29"/>
      <c r="AC524" s="29"/>
      <c r="AD524" s="29"/>
    </row>
    <row r="525" spans="1:30" s="488" customFormat="1" ht="45" hidden="1" customHeight="1" thickBot="1">
      <c r="A525" s="492"/>
      <c r="B525" s="644"/>
      <c r="C525" s="516"/>
      <c r="D525" s="517"/>
      <c r="E525" s="680" t="s">
        <v>369</v>
      </c>
      <c r="F525" s="680" t="s">
        <v>306</v>
      </c>
      <c r="G525" s="680"/>
      <c r="H525" s="680"/>
      <c r="I525" s="680"/>
      <c r="J525" s="680"/>
      <c r="K525" s="680"/>
      <c r="L525" s="499">
        <f>ROUND((I517+J517+K517+L520)*3.93%,2)</f>
        <v>40.61</v>
      </c>
      <c r="M525" s="46">
        <f>L525</f>
        <v>40.61</v>
      </c>
      <c r="N525" s="658"/>
      <c r="O525" s="659"/>
      <c r="P525" s="660"/>
      <c r="Q525" s="681"/>
      <c r="R525" s="682"/>
      <c r="S525" s="683"/>
      <c r="T525" s="500">
        <f>H517*M525*N517*O517*P517</f>
        <v>0</v>
      </c>
      <c r="U525" s="47">
        <f>T525</f>
        <v>0</v>
      </c>
      <c r="V525" s="48"/>
      <c r="W525" s="41"/>
      <c r="X525" s="41"/>
      <c r="Y525" s="41"/>
      <c r="Z525" s="29"/>
      <c r="AA525" s="29"/>
      <c r="AB525" s="44"/>
      <c r="AC525" s="29"/>
      <c r="AD525" s="44">
        <f>T525</f>
        <v>0</v>
      </c>
    </row>
    <row r="526" spans="1:30" s="488" customFormat="1" ht="150" hidden="1" customHeight="1" thickBot="1">
      <c r="A526" s="492"/>
      <c r="B526" s="642">
        <v>1</v>
      </c>
      <c r="C526" s="511">
        <v>5</v>
      </c>
      <c r="D526" s="512"/>
      <c r="E526" s="493" t="s">
        <v>463</v>
      </c>
      <c r="F526" s="487" t="s">
        <v>464</v>
      </c>
      <c r="G526" s="645" t="s">
        <v>388</v>
      </c>
      <c r="H526" s="688">
        <v>0</v>
      </c>
      <c r="I526" s="494">
        <v>756.48</v>
      </c>
      <c r="J526" s="494">
        <v>176.69</v>
      </c>
      <c r="K526" s="494">
        <v>38.74</v>
      </c>
      <c r="L526" s="494">
        <f>SUM(L528:L534)</f>
        <v>183.42941999999999</v>
      </c>
      <c r="M526" s="33">
        <f>SUM(I526:L526)</f>
        <v>1155.33942</v>
      </c>
      <c r="N526" s="501">
        <v>1</v>
      </c>
      <c r="O526" s="502">
        <v>1</v>
      </c>
      <c r="P526" s="37">
        <v>1</v>
      </c>
      <c r="Q526" s="34">
        <f>H526*I526*N526*O526*P526</f>
        <v>0</v>
      </c>
      <c r="R526" s="35">
        <f>H526*J526*N526*O526*P526</f>
        <v>0</v>
      </c>
      <c r="S526" s="36">
        <f>H526*K526*N526*O526*P526</f>
        <v>0</v>
      </c>
      <c r="T526" s="36">
        <f>H526*L526*N526*O526*P526</f>
        <v>0</v>
      </c>
      <c r="U526" s="37">
        <f>SUM(Q526:T526)</f>
        <v>0</v>
      </c>
      <c r="V526" s="38">
        <f>(Q526+R526+S526+T530+T531+T532+T534)*'Прогнозная стоимость РСС ИП '!$M$11+T529*'Прогнозная стоимость РСС ИП '!$M$10</f>
        <v>0</v>
      </c>
      <c r="W526" s="39">
        <f>T526</f>
        <v>0</v>
      </c>
      <c r="X526" s="39">
        <f>U526</f>
        <v>0</v>
      </c>
      <c r="Y526" s="39">
        <f>V526</f>
        <v>0</v>
      </c>
      <c r="Z526" s="29"/>
      <c r="AA526" s="29"/>
      <c r="AB526" s="29"/>
      <c r="AC526" s="29"/>
      <c r="AD526" s="29"/>
    </row>
    <row r="527" spans="1:30" s="488" customFormat="1" ht="41.25" hidden="1" customHeight="1">
      <c r="A527" s="492"/>
      <c r="B527" s="643"/>
      <c r="C527" s="513"/>
      <c r="D527" s="514"/>
      <c r="E527" s="495"/>
      <c r="F527" s="496"/>
      <c r="G527" s="646"/>
      <c r="H527" s="688"/>
      <c r="I527" s="649"/>
      <c r="J527" s="650"/>
      <c r="K527" s="650"/>
      <c r="L527" s="650"/>
      <c r="M527" s="651"/>
      <c r="N527" s="652"/>
      <c r="O527" s="653"/>
      <c r="P527" s="654"/>
      <c r="Q527" s="661"/>
      <c r="R527" s="662"/>
      <c r="S527" s="662"/>
      <c r="T527" s="662"/>
      <c r="U527" s="663"/>
      <c r="V527" s="40"/>
      <c r="W527" s="41"/>
      <c r="X527" s="41"/>
      <c r="Y527" s="41"/>
      <c r="Z527" s="29"/>
      <c r="AA527" s="29"/>
      <c r="AB527" s="29"/>
      <c r="AC527" s="29"/>
      <c r="AD527" s="29"/>
    </row>
    <row r="528" spans="1:30" s="488" customFormat="1" ht="41.25" hidden="1" customHeight="1">
      <c r="A528" s="492"/>
      <c r="B528" s="643"/>
      <c r="C528" s="513"/>
      <c r="D528" s="514"/>
      <c r="E528" s="664" t="s">
        <v>29</v>
      </c>
      <c r="F528" s="665"/>
      <c r="G528" s="665"/>
      <c r="H528" s="665"/>
      <c r="I528" s="665"/>
      <c r="J528" s="665"/>
      <c r="K528" s="665"/>
      <c r="L528" s="665"/>
      <c r="M528" s="666"/>
      <c r="N528" s="655"/>
      <c r="O528" s="656"/>
      <c r="P528" s="657"/>
      <c r="Q528" s="667"/>
      <c r="R528" s="689"/>
      <c r="S528" s="689"/>
      <c r="T528" s="689"/>
      <c r="U528" s="690"/>
      <c r="V528" s="42"/>
      <c r="W528" s="41"/>
      <c r="X528" s="41"/>
      <c r="Y528" s="41"/>
      <c r="Z528" s="29"/>
      <c r="AA528" s="29"/>
      <c r="AB528" s="29"/>
      <c r="AC528" s="29"/>
      <c r="AD528" s="29"/>
    </row>
    <row r="529" spans="1:30" s="488" customFormat="1" ht="41.25" hidden="1" customHeight="1">
      <c r="A529" s="492"/>
      <c r="B529" s="643"/>
      <c r="C529" s="513">
        <v>55</v>
      </c>
      <c r="D529" s="514"/>
      <c r="E529" s="670" t="s">
        <v>30</v>
      </c>
      <c r="F529" s="670"/>
      <c r="G529" s="670"/>
      <c r="H529" s="670"/>
      <c r="I529" s="670"/>
      <c r="J529" s="670"/>
      <c r="K529" s="670"/>
      <c r="L529" s="498">
        <v>87.349419999999995</v>
      </c>
      <c r="M529" s="459">
        <f>L529</f>
        <v>87.349419999999995</v>
      </c>
      <c r="N529" s="655"/>
      <c r="O529" s="656"/>
      <c r="P529" s="657"/>
      <c r="Q529" s="671"/>
      <c r="R529" s="672"/>
      <c r="S529" s="673"/>
      <c r="T529" s="457">
        <f>H526*M529*N526*O526*P526</f>
        <v>0</v>
      </c>
      <c r="U529" s="458">
        <f>T529</f>
        <v>0</v>
      </c>
      <c r="V529" s="42"/>
      <c r="W529" s="39"/>
      <c r="X529" s="41"/>
      <c r="Y529" s="41"/>
      <c r="Z529" s="43">
        <f>T529</f>
        <v>0</v>
      </c>
      <c r="AA529" s="29"/>
      <c r="AB529" s="29"/>
      <c r="AC529" s="29"/>
      <c r="AD529" s="29"/>
    </row>
    <row r="530" spans="1:30" s="488" customFormat="1" ht="41.25" hidden="1" customHeight="1">
      <c r="A530" s="492"/>
      <c r="B530" s="643"/>
      <c r="C530" s="513"/>
      <c r="D530" s="514"/>
      <c r="E530" s="670" t="s">
        <v>31</v>
      </c>
      <c r="F530" s="670"/>
      <c r="G530" s="670"/>
      <c r="H530" s="670"/>
      <c r="I530" s="670"/>
      <c r="J530" s="670"/>
      <c r="K530" s="670"/>
      <c r="L530" s="498">
        <f>ROUND((I526+J526+K526)*2.14%,2)</f>
        <v>20.8</v>
      </c>
      <c r="M530" s="459">
        <f>L530</f>
        <v>20.8</v>
      </c>
      <c r="N530" s="655"/>
      <c r="O530" s="656"/>
      <c r="P530" s="657"/>
      <c r="Q530" s="671"/>
      <c r="R530" s="672"/>
      <c r="S530" s="673"/>
      <c r="T530" s="457">
        <f>H526*M530*N526*O526*P526</f>
        <v>0</v>
      </c>
      <c r="U530" s="458">
        <f>T530</f>
        <v>0</v>
      </c>
      <c r="V530" s="42"/>
      <c r="W530" s="41"/>
      <c r="X530" s="39"/>
      <c r="Y530" s="41"/>
      <c r="Z530" s="29"/>
      <c r="AA530" s="43">
        <f>T530</f>
        <v>0</v>
      </c>
      <c r="AB530" s="29"/>
      <c r="AC530" s="29"/>
      <c r="AD530" s="29"/>
    </row>
    <row r="531" spans="1:30" s="488" customFormat="1" ht="41.25" hidden="1" customHeight="1">
      <c r="A531" s="492"/>
      <c r="B531" s="643"/>
      <c r="C531" s="515"/>
      <c r="D531" s="514"/>
      <c r="E531" s="670" t="s">
        <v>376</v>
      </c>
      <c r="F531" s="670"/>
      <c r="G531" s="670"/>
      <c r="H531" s="670"/>
      <c r="I531" s="670"/>
      <c r="J531" s="670"/>
      <c r="K531" s="670"/>
      <c r="L531" s="498">
        <f>ROUND((I526+J526+K526+L529+L530+L534)*3%,2)</f>
        <v>33.65</v>
      </c>
      <c r="M531" s="459">
        <f>L531</f>
        <v>33.65</v>
      </c>
      <c r="N531" s="655"/>
      <c r="O531" s="656"/>
      <c r="P531" s="657"/>
      <c r="Q531" s="671"/>
      <c r="R531" s="672"/>
      <c r="S531" s="673"/>
      <c r="T531" s="457">
        <f>H526*M531*N526*O526*P526</f>
        <v>0</v>
      </c>
      <c r="U531" s="458">
        <f>T531</f>
        <v>0</v>
      </c>
      <c r="V531" s="42"/>
      <c r="W531" s="41"/>
      <c r="X531" s="41"/>
      <c r="Y531" s="39"/>
      <c r="Z531" s="29"/>
      <c r="AA531" s="29"/>
      <c r="AB531" s="43">
        <f>T531</f>
        <v>0</v>
      </c>
      <c r="AC531" s="29"/>
      <c r="AD531" s="29"/>
    </row>
    <row r="532" spans="1:30" s="488" customFormat="1" ht="54.75" hidden="1" customHeight="1">
      <c r="A532" s="492"/>
      <c r="B532" s="643"/>
      <c r="C532" s="515"/>
      <c r="D532" s="514"/>
      <c r="E532" s="670" t="s">
        <v>377</v>
      </c>
      <c r="F532" s="670"/>
      <c r="G532" s="670"/>
      <c r="H532" s="670"/>
      <c r="I532" s="670"/>
      <c r="J532" s="670"/>
      <c r="K532" s="670"/>
      <c r="L532" s="498">
        <f>188.51942-K526-L529-L530-L534</f>
        <v>0</v>
      </c>
      <c r="M532" s="459">
        <f>L532</f>
        <v>0</v>
      </c>
      <c r="N532" s="655"/>
      <c r="O532" s="656"/>
      <c r="P532" s="657"/>
      <c r="Q532" s="671"/>
      <c r="R532" s="672"/>
      <c r="S532" s="673"/>
      <c r="T532" s="457">
        <f>H526*M532*N526*O526*P526</f>
        <v>0</v>
      </c>
      <c r="U532" s="458">
        <f>T532</f>
        <v>0</v>
      </c>
      <c r="V532" s="42"/>
      <c r="W532" s="41"/>
      <c r="X532" s="41"/>
      <c r="Y532" s="41"/>
      <c r="Z532" s="44"/>
      <c r="AA532" s="29"/>
      <c r="AB532" s="29"/>
      <c r="AC532" s="44">
        <f>T532</f>
        <v>0</v>
      </c>
      <c r="AD532" s="29"/>
    </row>
    <row r="533" spans="1:30" s="488" customFormat="1" ht="45" hidden="1" customHeight="1">
      <c r="A533" s="492"/>
      <c r="B533" s="643"/>
      <c r="C533" s="515"/>
      <c r="D533" s="514"/>
      <c r="E533" s="674"/>
      <c r="F533" s="675"/>
      <c r="G533" s="675"/>
      <c r="H533" s="675"/>
      <c r="I533" s="675"/>
      <c r="J533" s="675"/>
      <c r="K533" s="675"/>
      <c r="L533" s="675"/>
      <c r="M533" s="676"/>
      <c r="N533" s="655"/>
      <c r="O533" s="656"/>
      <c r="P533" s="657"/>
      <c r="Q533" s="677"/>
      <c r="R533" s="678"/>
      <c r="S533" s="678"/>
      <c r="T533" s="678"/>
      <c r="U533" s="679"/>
      <c r="V533" s="45"/>
      <c r="W533" s="41"/>
      <c r="X533" s="41"/>
      <c r="Y533" s="41"/>
      <c r="Z533" s="29"/>
      <c r="AA533" s="44"/>
      <c r="AB533" s="29"/>
      <c r="AC533" s="29"/>
      <c r="AD533" s="29"/>
    </row>
    <row r="534" spans="1:30" s="488" customFormat="1" ht="45" hidden="1" customHeight="1" thickBot="1">
      <c r="A534" s="492"/>
      <c r="B534" s="644"/>
      <c r="C534" s="516"/>
      <c r="D534" s="517"/>
      <c r="E534" s="680" t="s">
        <v>369</v>
      </c>
      <c r="F534" s="680" t="s">
        <v>306</v>
      </c>
      <c r="G534" s="680"/>
      <c r="H534" s="680"/>
      <c r="I534" s="680"/>
      <c r="J534" s="680"/>
      <c r="K534" s="680"/>
      <c r="L534" s="499">
        <f>ROUND((I526+J526+K526+L529)*3.93%,2)</f>
        <v>41.63</v>
      </c>
      <c r="M534" s="46">
        <f>L534</f>
        <v>41.63</v>
      </c>
      <c r="N534" s="658"/>
      <c r="O534" s="659"/>
      <c r="P534" s="660"/>
      <c r="Q534" s="681"/>
      <c r="R534" s="682"/>
      <c r="S534" s="683"/>
      <c r="T534" s="500">
        <f>H526*M534*N526*O526*P526</f>
        <v>0</v>
      </c>
      <c r="U534" s="47">
        <f>T534</f>
        <v>0</v>
      </c>
      <c r="V534" s="48"/>
      <c r="W534" s="41"/>
      <c r="X534" s="41"/>
      <c r="Y534" s="41"/>
      <c r="Z534" s="29"/>
      <c r="AA534" s="29"/>
      <c r="AB534" s="44"/>
      <c r="AC534" s="29"/>
      <c r="AD534" s="44">
        <f>T534</f>
        <v>0</v>
      </c>
    </row>
    <row r="535" spans="1:30" s="488" customFormat="1" ht="150" hidden="1" customHeight="1" thickBot="1">
      <c r="A535" s="492"/>
      <c r="B535" s="642">
        <v>1</v>
      </c>
      <c r="C535" s="511">
        <v>5</v>
      </c>
      <c r="D535" s="512"/>
      <c r="E535" s="493" t="s">
        <v>465</v>
      </c>
      <c r="F535" s="487" t="s">
        <v>466</v>
      </c>
      <c r="G535" s="645" t="s">
        <v>388</v>
      </c>
      <c r="H535" s="688">
        <v>0</v>
      </c>
      <c r="I535" s="494">
        <v>829.76</v>
      </c>
      <c r="J535" s="494">
        <v>176.69</v>
      </c>
      <c r="K535" s="494">
        <v>38.74</v>
      </c>
      <c r="L535" s="494">
        <f>SUM(L537:L543)</f>
        <v>190.35597999999999</v>
      </c>
      <c r="M535" s="33">
        <f>SUM(I535:L535)</f>
        <v>1235.5459800000001</v>
      </c>
      <c r="N535" s="501">
        <v>1</v>
      </c>
      <c r="O535" s="502">
        <v>1</v>
      </c>
      <c r="P535" s="37">
        <v>1</v>
      </c>
      <c r="Q535" s="34">
        <f>H535*I535*N535*O535*P535</f>
        <v>0</v>
      </c>
      <c r="R535" s="35">
        <f>H535*J535*N535*O535*P535</f>
        <v>0</v>
      </c>
      <c r="S535" s="36">
        <f>H535*K535*N535*O535*P535</f>
        <v>0</v>
      </c>
      <c r="T535" s="36">
        <f>H535*L535*N535*O535*P535</f>
        <v>0</v>
      </c>
      <c r="U535" s="37">
        <f>SUM(Q535:T535)</f>
        <v>0</v>
      </c>
      <c r="V535" s="38">
        <f>(Q535+R535+S535+T539+T540+T541+T543)*'Прогнозная стоимость РСС ИП '!$M$11+T538*'Прогнозная стоимость РСС ИП '!$M$10</f>
        <v>0</v>
      </c>
      <c r="W535" s="39">
        <f>T535</f>
        <v>0</v>
      </c>
      <c r="X535" s="39">
        <f>U535</f>
        <v>0</v>
      </c>
      <c r="Y535" s="39">
        <f>V535</f>
        <v>0</v>
      </c>
      <c r="Z535" s="29"/>
      <c r="AA535" s="29"/>
      <c r="AB535" s="29"/>
      <c r="AC535" s="29"/>
      <c r="AD535" s="29"/>
    </row>
    <row r="536" spans="1:30" s="488" customFormat="1" ht="41.25" hidden="1" customHeight="1">
      <c r="A536" s="492"/>
      <c r="B536" s="643"/>
      <c r="C536" s="513"/>
      <c r="D536" s="514"/>
      <c r="E536" s="495"/>
      <c r="F536" s="496"/>
      <c r="G536" s="646"/>
      <c r="H536" s="688"/>
      <c r="I536" s="649"/>
      <c r="J536" s="650"/>
      <c r="K536" s="650"/>
      <c r="L536" s="650"/>
      <c r="M536" s="651"/>
      <c r="N536" s="652"/>
      <c r="O536" s="653"/>
      <c r="P536" s="654"/>
      <c r="Q536" s="661"/>
      <c r="R536" s="662"/>
      <c r="S536" s="662"/>
      <c r="T536" s="662"/>
      <c r="U536" s="663"/>
      <c r="V536" s="40"/>
      <c r="W536" s="41"/>
      <c r="X536" s="41"/>
      <c r="Y536" s="41"/>
      <c r="Z536" s="29"/>
      <c r="AA536" s="29"/>
      <c r="AB536" s="29"/>
      <c r="AC536" s="29"/>
      <c r="AD536" s="29"/>
    </row>
    <row r="537" spans="1:30" s="488" customFormat="1" ht="41.25" hidden="1" customHeight="1">
      <c r="A537" s="492"/>
      <c r="B537" s="643"/>
      <c r="C537" s="513"/>
      <c r="D537" s="514"/>
      <c r="E537" s="664" t="s">
        <v>29</v>
      </c>
      <c r="F537" s="665"/>
      <c r="G537" s="665"/>
      <c r="H537" s="665"/>
      <c r="I537" s="665"/>
      <c r="J537" s="665"/>
      <c r="K537" s="665"/>
      <c r="L537" s="665"/>
      <c r="M537" s="666"/>
      <c r="N537" s="655"/>
      <c r="O537" s="656"/>
      <c r="P537" s="657"/>
      <c r="Q537" s="667"/>
      <c r="R537" s="689"/>
      <c r="S537" s="689"/>
      <c r="T537" s="689"/>
      <c r="U537" s="690"/>
      <c r="V537" s="42"/>
      <c r="W537" s="41"/>
      <c r="X537" s="41"/>
      <c r="Y537" s="41"/>
      <c r="Z537" s="29"/>
      <c r="AA537" s="29"/>
      <c r="AB537" s="29"/>
      <c r="AC537" s="29"/>
      <c r="AD537" s="29"/>
    </row>
    <row r="538" spans="1:30" s="488" customFormat="1" ht="41.25" hidden="1" customHeight="1">
      <c r="A538" s="492"/>
      <c r="B538" s="643"/>
      <c r="C538" s="513">
        <v>55</v>
      </c>
      <c r="D538" s="514"/>
      <c r="E538" s="670" t="s">
        <v>30</v>
      </c>
      <c r="F538" s="670"/>
      <c r="G538" s="670"/>
      <c r="H538" s="670"/>
      <c r="I538" s="670"/>
      <c r="J538" s="670"/>
      <c r="K538" s="670"/>
      <c r="L538" s="498">
        <v>87.495979999999989</v>
      </c>
      <c r="M538" s="459">
        <f>L538</f>
        <v>87.495979999999989</v>
      </c>
      <c r="N538" s="655"/>
      <c r="O538" s="656"/>
      <c r="P538" s="657"/>
      <c r="Q538" s="671"/>
      <c r="R538" s="672"/>
      <c r="S538" s="673"/>
      <c r="T538" s="457">
        <f>H535*M538*N535*O535*P535</f>
        <v>0</v>
      </c>
      <c r="U538" s="458">
        <f>T538</f>
        <v>0</v>
      </c>
      <c r="V538" s="42"/>
      <c r="W538" s="39"/>
      <c r="X538" s="41"/>
      <c r="Y538" s="41"/>
      <c r="Z538" s="43">
        <f>T538</f>
        <v>0</v>
      </c>
      <c r="AA538" s="29"/>
      <c r="AB538" s="29"/>
      <c r="AC538" s="29"/>
      <c r="AD538" s="29"/>
    </row>
    <row r="539" spans="1:30" s="488" customFormat="1" ht="41.25" hidden="1" customHeight="1">
      <c r="A539" s="492"/>
      <c r="B539" s="643"/>
      <c r="C539" s="513"/>
      <c r="D539" s="514"/>
      <c r="E539" s="670" t="s">
        <v>31</v>
      </c>
      <c r="F539" s="670"/>
      <c r="G539" s="670"/>
      <c r="H539" s="670"/>
      <c r="I539" s="670"/>
      <c r="J539" s="670"/>
      <c r="K539" s="670"/>
      <c r="L539" s="498">
        <f>ROUND((I535+J535+K535)*2.14%,2)</f>
        <v>22.37</v>
      </c>
      <c r="M539" s="459">
        <f>L539</f>
        <v>22.37</v>
      </c>
      <c r="N539" s="655"/>
      <c r="O539" s="656"/>
      <c r="P539" s="657"/>
      <c r="Q539" s="671"/>
      <c r="R539" s="672"/>
      <c r="S539" s="673"/>
      <c r="T539" s="457">
        <f>H535*M539*N535*O535*P535</f>
        <v>0</v>
      </c>
      <c r="U539" s="458">
        <f>T539</f>
        <v>0</v>
      </c>
      <c r="V539" s="42"/>
      <c r="W539" s="41"/>
      <c r="X539" s="39"/>
      <c r="Y539" s="41"/>
      <c r="Z539" s="29"/>
      <c r="AA539" s="43">
        <f>T539</f>
        <v>0</v>
      </c>
      <c r="AB539" s="29"/>
      <c r="AC539" s="29"/>
      <c r="AD539" s="29"/>
    </row>
    <row r="540" spans="1:30" s="488" customFormat="1" ht="41.25" hidden="1" customHeight="1">
      <c r="A540" s="492"/>
      <c r="B540" s="643"/>
      <c r="C540" s="515"/>
      <c r="D540" s="514"/>
      <c r="E540" s="670" t="s">
        <v>376</v>
      </c>
      <c r="F540" s="670"/>
      <c r="G540" s="670"/>
      <c r="H540" s="670"/>
      <c r="I540" s="670"/>
      <c r="J540" s="670"/>
      <c r="K540" s="670"/>
      <c r="L540" s="498">
        <f>ROUND((I535+J535+K535+L538+L539+L543)*3%,2)-0.01</f>
        <v>35.980000000000004</v>
      </c>
      <c r="M540" s="459">
        <f>L540</f>
        <v>35.980000000000004</v>
      </c>
      <c r="N540" s="655"/>
      <c r="O540" s="656"/>
      <c r="P540" s="657"/>
      <c r="Q540" s="671"/>
      <c r="R540" s="672"/>
      <c r="S540" s="673"/>
      <c r="T540" s="457">
        <f>H535*M540*N535*O535*P535</f>
        <v>0</v>
      </c>
      <c r="U540" s="458">
        <f>T540</f>
        <v>0</v>
      </c>
      <c r="V540" s="42"/>
      <c r="W540" s="41"/>
      <c r="X540" s="41"/>
      <c r="Y540" s="39"/>
      <c r="Z540" s="29"/>
      <c r="AA540" s="29"/>
      <c r="AB540" s="43">
        <f>T540</f>
        <v>0</v>
      </c>
      <c r="AC540" s="29"/>
      <c r="AD540" s="29"/>
    </row>
    <row r="541" spans="1:30" s="488" customFormat="1" ht="54.75" hidden="1" customHeight="1">
      <c r="A541" s="492"/>
      <c r="B541" s="643"/>
      <c r="C541" s="515"/>
      <c r="D541" s="514"/>
      <c r="E541" s="670" t="s">
        <v>377</v>
      </c>
      <c r="F541" s="670"/>
      <c r="G541" s="670"/>
      <c r="H541" s="670"/>
      <c r="I541" s="670"/>
      <c r="J541" s="670"/>
      <c r="K541" s="670"/>
      <c r="L541" s="498">
        <f>193.11598-K535-L538-L539-L543</f>
        <v>0</v>
      </c>
      <c r="M541" s="459">
        <f>L541</f>
        <v>0</v>
      </c>
      <c r="N541" s="655"/>
      <c r="O541" s="656"/>
      <c r="P541" s="657"/>
      <c r="Q541" s="671"/>
      <c r="R541" s="672"/>
      <c r="S541" s="673"/>
      <c r="T541" s="457">
        <f>H535*M541*N535*O535*P535</f>
        <v>0</v>
      </c>
      <c r="U541" s="458">
        <f>T541</f>
        <v>0</v>
      </c>
      <c r="V541" s="42"/>
      <c r="W541" s="41"/>
      <c r="X541" s="41"/>
      <c r="Y541" s="41"/>
      <c r="Z541" s="44"/>
      <c r="AA541" s="29"/>
      <c r="AB541" s="29"/>
      <c r="AC541" s="44">
        <f>T541</f>
        <v>0</v>
      </c>
      <c r="AD541" s="29"/>
    </row>
    <row r="542" spans="1:30" s="488" customFormat="1" ht="45" hidden="1" customHeight="1">
      <c r="A542" s="492"/>
      <c r="B542" s="643"/>
      <c r="C542" s="515"/>
      <c r="D542" s="514"/>
      <c r="E542" s="674"/>
      <c r="F542" s="675"/>
      <c r="G542" s="675"/>
      <c r="H542" s="675"/>
      <c r="I542" s="675"/>
      <c r="J542" s="675"/>
      <c r="K542" s="675"/>
      <c r="L542" s="675"/>
      <c r="M542" s="676"/>
      <c r="N542" s="655"/>
      <c r="O542" s="656"/>
      <c r="P542" s="657"/>
      <c r="Q542" s="677"/>
      <c r="R542" s="678"/>
      <c r="S542" s="678"/>
      <c r="T542" s="678"/>
      <c r="U542" s="679"/>
      <c r="V542" s="45"/>
      <c r="W542" s="41"/>
      <c r="X542" s="41"/>
      <c r="Y542" s="41"/>
      <c r="Z542" s="29"/>
      <c r="AA542" s="44"/>
      <c r="AB542" s="29"/>
      <c r="AC542" s="29"/>
      <c r="AD542" s="29"/>
    </row>
    <row r="543" spans="1:30" s="488" customFormat="1" ht="45" hidden="1" customHeight="1" thickBot="1">
      <c r="A543" s="492"/>
      <c r="B543" s="644"/>
      <c r="C543" s="516"/>
      <c r="D543" s="517"/>
      <c r="E543" s="680" t="s">
        <v>369</v>
      </c>
      <c r="F543" s="680" t="s">
        <v>306</v>
      </c>
      <c r="G543" s="680"/>
      <c r="H543" s="680"/>
      <c r="I543" s="680"/>
      <c r="J543" s="680"/>
      <c r="K543" s="680"/>
      <c r="L543" s="499">
        <f>ROUND((I535+J535+K535+L538)*3.93%,2)</f>
        <v>44.51</v>
      </c>
      <c r="M543" s="46">
        <f>L543</f>
        <v>44.51</v>
      </c>
      <c r="N543" s="658"/>
      <c r="O543" s="659"/>
      <c r="P543" s="660"/>
      <c r="Q543" s="681"/>
      <c r="R543" s="682"/>
      <c r="S543" s="683"/>
      <c r="T543" s="500">
        <f>H535*M543*N535*O535*P535</f>
        <v>0</v>
      </c>
      <c r="U543" s="47">
        <f>T543</f>
        <v>0</v>
      </c>
      <c r="V543" s="48"/>
      <c r="W543" s="41"/>
      <c r="X543" s="41"/>
      <c r="Y543" s="41"/>
      <c r="Z543" s="29"/>
      <c r="AA543" s="29"/>
      <c r="AB543" s="44"/>
      <c r="AC543" s="29"/>
      <c r="AD543" s="44">
        <f>T543</f>
        <v>0</v>
      </c>
    </row>
    <row r="544" spans="1:30" s="488" customFormat="1" ht="150" hidden="1" customHeight="1" thickBot="1">
      <c r="A544" s="492"/>
      <c r="B544" s="642">
        <v>1</v>
      </c>
      <c r="C544" s="511">
        <v>5</v>
      </c>
      <c r="D544" s="512"/>
      <c r="E544" s="493" t="s">
        <v>467</v>
      </c>
      <c r="F544" s="487" t="s">
        <v>468</v>
      </c>
      <c r="G544" s="645" t="s">
        <v>388</v>
      </c>
      <c r="H544" s="688">
        <v>0</v>
      </c>
      <c r="I544" s="494">
        <v>886.38</v>
      </c>
      <c r="J544" s="494">
        <v>176.69</v>
      </c>
      <c r="K544" s="494">
        <v>38.74</v>
      </c>
      <c r="L544" s="494">
        <f>SUM(L546:L552)</f>
        <v>195.71922000000001</v>
      </c>
      <c r="M544" s="33">
        <f>SUM(I544:L544)</f>
        <v>1297.5292199999999</v>
      </c>
      <c r="N544" s="501">
        <v>1</v>
      </c>
      <c r="O544" s="502">
        <v>1</v>
      </c>
      <c r="P544" s="37">
        <v>1</v>
      </c>
      <c r="Q544" s="34">
        <f>H544*I544*N544*O544*P544</f>
        <v>0</v>
      </c>
      <c r="R544" s="35">
        <f>H544*J544*N544*O544*P544</f>
        <v>0</v>
      </c>
      <c r="S544" s="36">
        <f>H544*K544*N544*O544*P544</f>
        <v>0</v>
      </c>
      <c r="T544" s="36">
        <f>H544*L544*N544*O544*P544</f>
        <v>0</v>
      </c>
      <c r="U544" s="37">
        <f>SUM(Q544:T544)</f>
        <v>0</v>
      </c>
      <c r="V544" s="38">
        <f>(Q544+R544+S544+T548+T549+T550+T552)*'Прогнозная стоимость РСС ИП '!$M$11+T547*'Прогнозная стоимость РСС ИП '!$M$10</f>
        <v>0</v>
      </c>
      <c r="W544" s="39">
        <f>T544</f>
        <v>0</v>
      </c>
      <c r="X544" s="39">
        <f>U544</f>
        <v>0</v>
      </c>
      <c r="Y544" s="39">
        <f>V544</f>
        <v>0</v>
      </c>
      <c r="Z544" s="29"/>
      <c r="AA544" s="29"/>
      <c r="AB544" s="29"/>
      <c r="AC544" s="29"/>
      <c r="AD544" s="29"/>
    </row>
    <row r="545" spans="1:30" s="488" customFormat="1" ht="41.25" hidden="1" customHeight="1">
      <c r="A545" s="492"/>
      <c r="B545" s="643"/>
      <c r="C545" s="513"/>
      <c r="D545" s="514"/>
      <c r="E545" s="495"/>
      <c r="F545" s="496"/>
      <c r="G545" s="646"/>
      <c r="H545" s="688"/>
      <c r="I545" s="649"/>
      <c r="J545" s="650"/>
      <c r="K545" s="650"/>
      <c r="L545" s="650"/>
      <c r="M545" s="651"/>
      <c r="N545" s="652"/>
      <c r="O545" s="653"/>
      <c r="P545" s="654"/>
      <c r="Q545" s="661"/>
      <c r="R545" s="662"/>
      <c r="S545" s="662"/>
      <c r="T545" s="662"/>
      <c r="U545" s="663"/>
      <c r="V545" s="40"/>
      <c r="W545" s="41"/>
      <c r="X545" s="41"/>
      <c r="Y545" s="41"/>
      <c r="Z545" s="29"/>
      <c r="AA545" s="29"/>
      <c r="AB545" s="29"/>
      <c r="AC545" s="29"/>
      <c r="AD545" s="29"/>
    </row>
    <row r="546" spans="1:30" s="488" customFormat="1" ht="41.25" hidden="1" customHeight="1">
      <c r="A546" s="492"/>
      <c r="B546" s="643"/>
      <c r="C546" s="513"/>
      <c r="D546" s="514"/>
      <c r="E546" s="664" t="s">
        <v>29</v>
      </c>
      <c r="F546" s="665"/>
      <c r="G546" s="665"/>
      <c r="H546" s="665"/>
      <c r="I546" s="665"/>
      <c r="J546" s="665"/>
      <c r="K546" s="665"/>
      <c r="L546" s="665"/>
      <c r="M546" s="666"/>
      <c r="N546" s="655"/>
      <c r="O546" s="656"/>
      <c r="P546" s="657"/>
      <c r="Q546" s="667"/>
      <c r="R546" s="689"/>
      <c r="S546" s="689"/>
      <c r="T546" s="689"/>
      <c r="U546" s="690"/>
      <c r="V546" s="42"/>
      <c r="W546" s="41"/>
      <c r="X546" s="41"/>
      <c r="Y546" s="41"/>
      <c r="Z546" s="29"/>
      <c r="AA546" s="29"/>
      <c r="AB546" s="29"/>
      <c r="AC546" s="29"/>
      <c r="AD546" s="29"/>
    </row>
    <row r="547" spans="1:30" s="488" customFormat="1" ht="41.25" hidden="1" customHeight="1">
      <c r="A547" s="492"/>
      <c r="B547" s="643"/>
      <c r="C547" s="513">
        <v>55</v>
      </c>
      <c r="D547" s="514"/>
      <c r="E547" s="670" t="s">
        <v>30</v>
      </c>
      <c r="F547" s="670"/>
      <c r="G547" s="670"/>
      <c r="H547" s="670"/>
      <c r="I547" s="670"/>
      <c r="J547" s="670"/>
      <c r="K547" s="670"/>
      <c r="L547" s="498">
        <v>87.609219999999993</v>
      </c>
      <c r="M547" s="459">
        <f>L547</f>
        <v>87.609219999999993</v>
      </c>
      <c r="N547" s="655"/>
      <c r="O547" s="656"/>
      <c r="P547" s="657"/>
      <c r="Q547" s="671"/>
      <c r="R547" s="672"/>
      <c r="S547" s="673"/>
      <c r="T547" s="457">
        <f>H544*M547*N544*O544*P544</f>
        <v>0</v>
      </c>
      <c r="U547" s="458">
        <f>T547</f>
        <v>0</v>
      </c>
      <c r="V547" s="42"/>
      <c r="W547" s="39"/>
      <c r="X547" s="41"/>
      <c r="Y547" s="41"/>
      <c r="Z547" s="43">
        <f>T547</f>
        <v>0</v>
      </c>
      <c r="AA547" s="29"/>
      <c r="AB547" s="29"/>
      <c r="AC547" s="29"/>
      <c r="AD547" s="29"/>
    </row>
    <row r="548" spans="1:30" s="488" customFormat="1" ht="41.25" hidden="1" customHeight="1">
      <c r="A548" s="492"/>
      <c r="B548" s="643"/>
      <c r="C548" s="513"/>
      <c r="D548" s="514"/>
      <c r="E548" s="670" t="s">
        <v>31</v>
      </c>
      <c r="F548" s="670"/>
      <c r="G548" s="670"/>
      <c r="H548" s="670"/>
      <c r="I548" s="670"/>
      <c r="J548" s="670"/>
      <c r="K548" s="670"/>
      <c r="L548" s="498">
        <f>ROUND((I544+J544+K544)*2.14%,2)</f>
        <v>23.58</v>
      </c>
      <c r="M548" s="459">
        <f>L548</f>
        <v>23.58</v>
      </c>
      <c r="N548" s="655"/>
      <c r="O548" s="656"/>
      <c r="P548" s="657"/>
      <c r="Q548" s="671"/>
      <c r="R548" s="672"/>
      <c r="S548" s="673"/>
      <c r="T548" s="457">
        <f>H544*M548*N544*O544*P544</f>
        <v>0</v>
      </c>
      <c r="U548" s="458">
        <f>T548</f>
        <v>0</v>
      </c>
      <c r="V548" s="42"/>
      <c r="W548" s="41"/>
      <c r="X548" s="39"/>
      <c r="Y548" s="41"/>
      <c r="Z548" s="29"/>
      <c r="AA548" s="43">
        <f>T548</f>
        <v>0</v>
      </c>
      <c r="AB548" s="29"/>
      <c r="AC548" s="29"/>
      <c r="AD548" s="29"/>
    </row>
    <row r="549" spans="1:30" s="488" customFormat="1" ht="41.25" hidden="1" customHeight="1">
      <c r="A549" s="492"/>
      <c r="B549" s="643"/>
      <c r="C549" s="515"/>
      <c r="D549" s="514"/>
      <c r="E549" s="670" t="s">
        <v>376</v>
      </c>
      <c r="F549" s="670"/>
      <c r="G549" s="670"/>
      <c r="H549" s="670"/>
      <c r="I549" s="670"/>
      <c r="J549" s="670"/>
      <c r="K549" s="670"/>
      <c r="L549" s="498">
        <f>ROUND((I544+J544+K544+L547+L548+L552)*3%,2)</f>
        <v>37.79</v>
      </c>
      <c r="M549" s="459">
        <f>L549</f>
        <v>37.79</v>
      </c>
      <c r="N549" s="655"/>
      <c r="O549" s="656"/>
      <c r="P549" s="657"/>
      <c r="Q549" s="671"/>
      <c r="R549" s="672"/>
      <c r="S549" s="673"/>
      <c r="T549" s="457">
        <f>H544*M549*N544*O544*P544</f>
        <v>0</v>
      </c>
      <c r="U549" s="458">
        <f>T549</f>
        <v>0</v>
      </c>
      <c r="V549" s="42"/>
      <c r="W549" s="41"/>
      <c r="X549" s="41"/>
      <c r="Y549" s="39"/>
      <c r="Z549" s="29"/>
      <c r="AA549" s="29"/>
      <c r="AB549" s="43">
        <f>T549</f>
        <v>0</v>
      </c>
      <c r="AC549" s="29"/>
      <c r="AD549" s="29"/>
    </row>
    <row r="550" spans="1:30" s="488" customFormat="1" ht="54.75" hidden="1" customHeight="1">
      <c r="A550" s="492"/>
      <c r="B550" s="643"/>
      <c r="C550" s="515"/>
      <c r="D550" s="514"/>
      <c r="E550" s="670" t="s">
        <v>377</v>
      </c>
      <c r="F550" s="670"/>
      <c r="G550" s="670"/>
      <c r="H550" s="670"/>
      <c r="I550" s="670"/>
      <c r="J550" s="670"/>
      <c r="K550" s="670"/>
      <c r="L550" s="498">
        <f>196.66922-K544-L547-L548-L552</f>
        <v>0</v>
      </c>
      <c r="M550" s="459">
        <f>L550</f>
        <v>0</v>
      </c>
      <c r="N550" s="655"/>
      <c r="O550" s="656"/>
      <c r="P550" s="657"/>
      <c r="Q550" s="671"/>
      <c r="R550" s="672"/>
      <c r="S550" s="673"/>
      <c r="T550" s="457">
        <f>H544*M550*N544*O544*P544</f>
        <v>0</v>
      </c>
      <c r="U550" s="458">
        <f>T550</f>
        <v>0</v>
      </c>
      <c r="V550" s="42"/>
      <c r="W550" s="41"/>
      <c r="X550" s="41"/>
      <c r="Y550" s="41"/>
      <c r="Z550" s="44"/>
      <c r="AA550" s="29"/>
      <c r="AB550" s="29"/>
      <c r="AC550" s="44">
        <f>T550</f>
        <v>0</v>
      </c>
      <c r="AD550" s="29"/>
    </row>
    <row r="551" spans="1:30" s="488" customFormat="1" ht="45" hidden="1" customHeight="1">
      <c r="A551" s="492"/>
      <c r="B551" s="643"/>
      <c r="C551" s="515"/>
      <c r="D551" s="514"/>
      <c r="E551" s="674"/>
      <c r="F551" s="675"/>
      <c r="G551" s="675"/>
      <c r="H551" s="675"/>
      <c r="I551" s="675"/>
      <c r="J551" s="675"/>
      <c r="K551" s="675"/>
      <c r="L551" s="675"/>
      <c r="M551" s="676"/>
      <c r="N551" s="655"/>
      <c r="O551" s="656"/>
      <c r="P551" s="657"/>
      <c r="Q551" s="677"/>
      <c r="R551" s="678"/>
      <c r="S551" s="678"/>
      <c r="T551" s="678"/>
      <c r="U551" s="679"/>
      <c r="V551" s="45"/>
      <c r="W551" s="41"/>
      <c r="X551" s="41"/>
      <c r="Y551" s="41"/>
      <c r="Z551" s="29"/>
      <c r="AA551" s="44"/>
      <c r="AB551" s="29"/>
      <c r="AC551" s="29"/>
      <c r="AD551" s="29"/>
    </row>
    <row r="552" spans="1:30" s="488" customFormat="1" ht="45" hidden="1" customHeight="1" thickBot="1">
      <c r="A552" s="492"/>
      <c r="B552" s="644"/>
      <c r="C552" s="516"/>
      <c r="D552" s="517"/>
      <c r="E552" s="680" t="s">
        <v>369</v>
      </c>
      <c r="F552" s="680" t="s">
        <v>306</v>
      </c>
      <c r="G552" s="680"/>
      <c r="H552" s="680"/>
      <c r="I552" s="680"/>
      <c r="J552" s="680"/>
      <c r="K552" s="680"/>
      <c r="L552" s="499">
        <f>ROUND((I544+J544+K544+L547)*3.93%,2)</f>
        <v>46.74</v>
      </c>
      <c r="M552" s="46">
        <f>L552</f>
        <v>46.74</v>
      </c>
      <c r="N552" s="658"/>
      <c r="O552" s="659"/>
      <c r="P552" s="660"/>
      <c r="Q552" s="681"/>
      <c r="R552" s="682"/>
      <c r="S552" s="683"/>
      <c r="T552" s="500">
        <f>H544*M552*N544*O544*P544</f>
        <v>0</v>
      </c>
      <c r="U552" s="47">
        <f>T552</f>
        <v>0</v>
      </c>
      <c r="V552" s="48"/>
      <c r="W552" s="41"/>
      <c r="X552" s="41"/>
      <c r="Y552" s="41"/>
      <c r="Z552" s="29"/>
      <c r="AA552" s="29"/>
      <c r="AB552" s="44"/>
      <c r="AC552" s="29"/>
      <c r="AD552" s="44">
        <f>T552</f>
        <v>0</v>
      </c>
    </row>
    <row r="553" spans="1:30" s="488" customFormat="1" ht="150" hidden="1" customHeight="1" thickBot="1">
      <c r="A553" s="492"/>
      <c r="B553" s="642">
        <v>1</v>
      </c>
      <c r="C553" s="511">
        <v>5</v>
      </c>
      <c r="D553" s="512"/>
      <c r="E553" s="493" t="s">
        <v>469</v>
      </c>
      <c r="F553" s="487" t="s">
        <v>470</v>
      </c>
      <c r="G553" s="645" t="s">
        <v>388</v>
      </c>
      <c r="H553" s="688">
        <v>0</v>
      </c>
      <c r="I553" s="494">
        <v>1025.51</v>
      </c>
      <c r="J553" s="494">
        <v>176.69</v>
      </c>
      <c r="K553" s="494">
        <v>38.74</v>
      </c>
      <c r="L553" s="494">
        <f>SUM(L555:L561)</f>
        <v>248.07988</v>
      </c>
      <c r="M553" s="33">
        <f>SUM(I553:L553)</f>
        <v>1489.0198800000001</v>
      </c>
      <c r="N553" s="501">
        <v>1</v>
      </c>
      <c r="O553" s="502">
        <v>1</v>
      </c>
      <c r="P553" s="37">
        <v>1</v>
      </c>
      <c r="Q553" s="34">
        <f>H553*I553*N553*O553*P553</f>
        <v>0</v>
      </c>
      <c r="R553" s="35">
        <f>H553*J553*N553*O553*P553</f>
        <v>0</v>
      </c>
      <c r="S553" s="36">
        <f>H553*K553*N553*O553*P553</f>
        <v>0</v>
      </c>
      <c r="T553" s="36">
        <f>H553*L553*N553*O553*P553</f>
        <v>0</v>
      </c>
      <c r="U553" s="37">
        <f>SUM(Q553:T553)</f>
        <v>0</v>
      </c>
      <c r="V553" s="38">
        <f>(Q553+R553+S553+T557+T558+T559+T561)*'Прогнозная стоимость РСС ИП '!$M$11+T556*'Прогнозная стоимость РСС ИП '!$M$10</f>
        <v>0</v>
      </c>
      <c r="W553" s="39">
        <f>T553</f>
        <v>0</v>
      </c>
      <c r="X553" s="39">
        <f>U553</f>
        <v>0</v>
      </c>
      <c r="Y553" s="39">
        <f>V553</f>
        <v>0</v>
      </c>
      <c r="Z553" s="29"/>
      <c r="AA553" s="29"/>
      <c r="AB553" s="29"/>
      <c r="AC553" s="29"/>
      <c r="AD553" s="29"/>
    </row>
    <row r="554" spans="1:30" s="488" customFormat="1" ht="41.25" hidden="1" customHeight="1">
      <c r="A554" s="492"/>
      <c r="B554" s="643"/>
      <c r="C554" s="513"/>
      <c r="D554" s="514"/>
      <c r="E554" s="495"/>
      <c r="F554" s="496"/>
      <c r="G554" s="646"/>
      <c r="H554" s="688"/>
      <c r="I554" s="649"/>
      <c r="J554" s="650"/>
      <c r="K554" s="650"/>
      <c r="L554" s="650"/>
      <c r="M554" s="651"/>
      <c r="N554" s="652"/>
      <c r="O554" s="653"/>
      <c r="P554" s="654"/>
      <c r="Q554" s="661"/>
      <c r="R554" s="662"/>
      <c r="S554" s="662"/>
      <c r="T554" s="662"/>
      <c r="U554" s="663"/>
      <c r="V554" s="40"/>
      <c r="W554" s="41"/>
      <c r="X554" s="41"/>
      <c r="Y554" s="41"/>
      <c r="Z554" s="29"/>
      <c r="AA554" s="29"/>
      <c r="AB554" s="29"/>
      <c r="AC554" s="29"/>
      <c r="AD554" s="29"/>
    </row>
    <row r="555" spans="1:30" s="488" customFormat="1" ht="41.25" hidden="1" customHeight="1">
      <c r="A555" s="492"/>
      <c r="B555" s="643"/>
      <c r="C555" s="513"/>
      <c r="D555" s="514"/>
      <c r="E555" s="664" t="s">
        <v>29</v>
      </c>
      <c r="F555" s="665"/>
      <c r="G555" s="665"/>
      <c r="H555" s="665"/>
      <c r="I555" s="665"/>
      <c r="J555" s="665"/>
      <c r="K555" s="665"/>
      <c r="L555" s="665"/>
      <c r="M555" s="666"/>
      <c r="N555" s="655"/>
      <c r="O555" s="656"/>
      <c r="P555" s="657"/>
      <c r="Q555" s="667"/>
      <c r="R555" s="689"/>
      <c r="S555" s="689"/>
      <c r="T555" s="689"/>
      <c r="U555" s="690"/>
      <c r="V555" s="42"/>
      <c r="W555" s="41"/>
      <c r="X555" s="41"/>
      <c r="Y555" s="41"/>
      <c r="Z555" s="29"/>
      <c r="AA555" s="29"/>
      <c r="AB555" s="29"/>
      <c r="AC555" s="29"/>
      <c r="AD555" s="29"/>
    </row>
    <row r="556" spans="1:30" s="488" customFormat="1" ht="41.25" hidden="1" customHeight="1">
      <c r="A556" s="492"/>
      <c r="B556" s="643"/>
      <c r="C556" s="513">
        <v>55</v>
      </c>
      <c r="D556" s="514"/>
      <c r="E556" s="670" t="s">
        <v>30</v>
      </c>
      <c r="F556" s="670"/>
      <c r="G556" s="670"/>
      <c r="H556" s="670"/>
      <c r="I556" s="670"/>
      <c r="J556" s="670"/>
      <c r="K556" s="670"/>
      <c r="L556" s="498">
        <v>124.48988</v>
      </c>
      <c r="M556" s="459">
        <f>L556</f>
        <v>124.48988</v>
      </c>
      <c r="N556" s="655"/>
      <c r="O556" s="656"/>
      <c r="P556" s="657"/>
      <c r="Q556" s="671"/>
      <c r="R556" s="672"/>
      <c r="S556" s="673"/>
      <c r="T556" s="457">
        <f>H553*M556*N553*O553*P553</f>
        <v>0</v>
      </c>
      <c r="U556" s="458">
        <f>T556</f>
        <v>0</v>
      </c>
      <c r="V556" s="42"/>
      <c r="W556" s="39"/>
      <c r="X556" s="41"/>
      <c r="Y556" s="41"/>
      <c r="Z556" s="43">
        <f>T556</f>
        <v>0</v>
      </c>
      <c r="AA556" s="29"/>
      <c r="AB556" s="29"/>
      <c r="AC556" s="29"/>
      <c r="AD556" s="29"/>
    </row>
    <row r="557" spans="1:30" s="488" customFormat="1" ht="41.25" hidden="1" customHeight="1">
      <c r="A557" s="492"/>
      <c r="B557" s="643"/>
      <c r="C557" s="513"/>
      <c r="D557" s="514"/>
      <c r="E557" s="670" t="s">
        <v>31</v>
      </c>
      <c r="F557" s="670"/>
      <c r="G557" s="670"/>
      <c r="H557" s="670"/>
      <c r="I557" s="670"/>
      <c r="J557" s="670"/>
      <c r="K557" s="670"/>
      <c r="L557" s="498">
        <f>ROUND((I553+J553+K553)*2.14%,2)</f>
        <v>26.56</v>
      </c>
      <c r="M557" s="459">
        <f>L557</f>
        <v>26.56</v>
      </c>
      <c r="N557" s="655"/>
      <c r="O557" s="656"/>
      <c r="P557" s="657"/>
      <c r="Q557" s="671"/>
      <c r="R557" s="672"/>
      <c r="S557" s="673"/>
      <c r="T557" s="457">
        <f>H553*M557*N553*O553*P553</f>
        <v>0</v>
      </c>
      <c r="U557" s="458">
        <f>T557</f>
        <v>0</v>
      </c>
      <c r="V557" s="42"/>
      <c r="W557" s="41"/>
      <c r="X557" s="39"/>
      <c r="Y557" s="41"/>
      <c r="Z557" s="29"/>
      <c r="AA557" s="43">
        <f>T557</f>
        <v>0</v>
      </c>
      <c r="AB557" s="29"/>
      <c r="AC557" s="29"/>
      <c r="AD557" s="29"/>
    </row>
    <row r="558" spans="1:30" s="488" customFormat="1" ht="41.25" hidden="1" customHeight="1">
      <c r="A558" s="492"/>
      <c r="B558" s="643"/>
      <c r="C558" s="515"/>
      <c r="D558" s="514"/>
      <c r="E558" s="670" t="s">
        <v>376</v>
      </c>
      <c r="F558" s="670"/>
      <c r="G558" s="670"/>
      <c r="H558" s="670"/>
      <c r="I558" s="670"/>
      <c r="J558" s="670"/>
      <c r="K558" s="670"/>
      <c r="L558" s="498">
        <f>ROUND((I553+J553+K553+L556+L557+L561)*3%,2)</f>
        <v>43.37</v>
      </c>
      <c r="M558" s="459">
        <f>L558</f>
        <v>43.37</v>
      </c>
      <c r="N558" s="655"/>
      <c r="O558" s="656"/>
      <c r="P558" s="657"/>
      <c r="Q558" s="671"/>
      <c r="R558" s="672"/>
      <c r="S558" s="673"/>
      <c r="T558" s="457">
        <f>H553*M558*N553*O553*P553</f>
        <v>0</v>
      </c>
      <c r="U558" s="458">
        <f>T558</f>
        <v>0</v>
      </c>
      <c r="V558" s="42"/>
      <c r="W558" s="41"/>
      <c r="X558" s="41"/>
      <c r="Y558" s="39"/>
      <c r="Z558" s="29"/>
      <c r="AA558" s="29"/>
      <c r="AB558" s="43">
        <f>T558</f>
        <v>0</v>
      </c>
      <c r="AC558" s="29"/>
      <c r="AD558" s="29"/>
    </row>
    <row r="559" spans="1:30" s="488" customFormat="1" ht="54.75" hidden="1" customHeight="1">
      <c r="A559" s="492"/>
      <c r="B559" s="643"/>
      <c r="C559" s="515"/>
      <c r="D559" s="514"/>
      <c r="E559" s="670" t="s">
        <v>377</v>
      </c>
      <c r="F559" s="670"/>
      <c r="G559" s="670"/>
      <c r="H559" s="670"/>
      <c r="I559" s="670"/>
      <c r="J559" s="670"/>
      <c r="K559" s="670"/>
      <c r="L559" s="498">
        <f>243.44988-K553-L556-L557-L561</f>
        <v>0</v>
      </c>
      <c r="M559" s="459">
        <f>L559</f>
        <v>0</v>
      </c>
      <c r="N559" s="655"/>
      <c r="O559" s="656"/>
      <c r="P559" s="657"/>
      <c r="Q559" s="671"/>
      <c r="R559" s="672"/>
      <c r="S559" s="673"/>
      <c r="T559" s="457">
        <f>H553*M559*N553*O553*P553</f>
        <v>0</v>
      </c>
      <c r="U559" s="458">
        <f>T559</f>
        <v>0</v>
      </c>
      <c r="V559" s="42"/>
      <c r="W559" s="41"/>
      <c r="X559" s="41"/>
      <c r="Y559" s="41"/>
      <c r="Z559" s="44"/>
      <c r="AA559" s="29"/>
      <c r="AB559" s="29"/>
      <c r="AC559" s="44">
        <f>T559</f>
        <v>0</v>
      </c>
      <c r="AD559" s="29"/>
    </row>
    <row r="560" spans="1:30" s="488" customFormat="1" ht="45" hidden="1" customHeight="1">
      <c r="A560" s="492"/>
      <c r="B560" s="643"/>
      <c r="C560" s="515"/>
      <c r="D560" s="514"/>
      <c r="E560" s="674"/>
      <c r="F560" s="675"/>
      <c r="G560" s="675"/>
      <c r="H560" s="675"/>
      <c r="I560" s="675"/>
      <c r="J560" s="675"/>
      <c r="K560" s="675"/>
      <c r="L560" s="675"/>
      <c r="M560" s="676"/>
      <c r="N560" s="655"/>
      <c r="O560" s="656"/>
      <c r="P560" s="657"/>
      <c r="Q560" s="677"/>
      <c r="R560" s="678"/>
      <c r="S560" s="678"/>
      <c r="T560" s="678"/>
      <c r="U560" s="679"/>
      <c r="V560" s="45"/>
      <c r="W560" s="41"/>
      <c r="X560" s="41"/>
      <c r="Y560" s="41"/>
      <c r="Z560" s="29"/>
      <c r="AA560" s="44"/>
      <c r="AB560" s="29"/>
      <c r="AC560" s="29"/>
      <c r="AD560" s="29"/>
    </row>
    <row r="561" spans="1:30" s="488" customFormat="1" ht="45" hidden="1" customHeight="1" thickBot="1">
      <c r="A561" s="492"/>
      <c r="B561" s="644"/>
      <c r="C561" s="516"/>
      <c r="D561" s="517"/>
      <c r="E561" s="680" t="s">
        <v>369</v>
      </c>
      <c r="F561" s="680" t="s">
        <v>306</v>
      </c>
      <c r="G561" s="680"/>
      <c r="H561" s="680"/>
      <c r="I561" s="680"/>
      <c r="J561" s="680"/>
      <c r="K561" s="680"/>
      <c r="L561" s="499">
        <f>ROUND((I553+J553+K553+L556)*3.93%,2)</f>
        <v>53.66</v>
      </c>
      <c r="M561" s="46">
        <f>L561</f>
        <v>53.66</v>
      </c>
      <c r="N561" s="658"/>
      <c r="O561" s="659"/>
      <c r="P561" s="660"/>
      <c r="Q561" s="681"/>
      <c r="R561" s="682"/>
      <c r="S561" s="683"/>
      <c r="T561" s="500">
        <f>H553*M561*N553*O553*P553</f>
        <v>0</v>
      </c>
      <c r="U561" s="47">
        <f>T561</f>
        <v>0</v>
      </c>
      <c r="V561" s="48"/>
      <c r="W561" s="41"/>
      <c r="X561" s="41"/>
      <c r="Y561" s="41"/>
      <c r="Z561" s="29"/>
      <c r="AA561" s="29"/>
      <c r="AB561" s="44"/>
      <c r="AC561" s="29"/>
      <c r="AD561" s="44">
        <f>T561</f>
        <v>0</v>
      </c>
    </row>
    <row r="562" spans="1:30" s="488" customFormat="1" ht="150" hidden="1" customHeight="1" thickBot="1">
      <c r="A562" s="492"/>
      <c r="B562" s="642">
        <v>1</v>
      </c>
      <c r="C562" s="511">
        <v>5</v>
      </c>
      <c r="D562" s="512"/>
      <c r="E562" s="493" t="s">
        <v>471</v>
      </c>
      <c r="F562" s="487" t="s">
        <v>472</v>
      </c>
      <c r="G562" s="645" t="s">
        <v>388</v>
      </c>
      <c r="H562" s="688">
        <v>0</v>
      </c>
      <c r="I562" s="494">
        <v>1310.24</v>
      </c>
      <c r="J562" s="494">
        <v>176.69</v>
      </c>
      <c r="K562" s="494">
        <v>45.19</v>
      </c>
      <c r="L562" s="494">
        <f>SUM(L564:L570)</f>
        <v>275.65224000000001</v>
      </c>
      <c r="M562" s="33">
        <f>SUM(I562:L562)</f>
        <v>1807.7722400000002</v>
      </c>
      <c r="N562" s="501">
        <v>1</v>
      </c>
      <c r="O562" s="502">
        <v>1</v>
      </c>
      <c r="P562" s="37">
        <v>1</v>
      </c>
      <c r="Q562" s="34">
        <f>H562*I562*N562*O562*P562</f>
        <v>0</v>
      </c>
      <c r="R562" s="35">
        <f>H562*J562*N562*O562*P562</f>
        <v>0</v>
      </c>
      <c r="S562" s="36">
        <f>H562*K562*N562*O562*P562</f>
        <v>0</v>
      </c>
      <c r="T562" s="36">
        <f>H562*L562*N562*O562*P562</f>
        <v>0</v>
      </c>
      <c r="U562" s="37">
        <f>SUM(Q562:T562)</f>
        <v>0</v>
      </c>
      <c r="V562" s="38">
        <f>(Q562+R562+S562+T566+T567+T568+T570)*'Прогнозная стоимость РСС ИП '!$M$11+T565*'Прогнозная стоимость РСС ИП '!$M$10</f>
        <v>0</v>
      </c>
      <c r="W562" s="39">
        <f>T562</f>
        <v>0</v>
      </c>
      <c r="X562" s="39">
        <f>U562</f>
        <v>0</v>
      </c>
      <c r="Y562" s="39">
        <f>V562</f>
        <v>0</v>
      </c>
      <c r="Z562" s="29"/>
      <c r="AA562" s="29"/>
      <c r="AB562" s="29"/>
      <c r="AC562" s="29"/>
      <c r="AD562" s="29"/>
    </row>
    <row r="563" spans="1:30" s="488" customFormat="1" ht="41.25" hidden="1" customHeight="1">
      <c r="A563" s="492"/>
      <c r="B563" s="643"/>
      <c r="C563" s="513"/>
      <c r="D563" s="514"/>
      <c r="E563" s="495"/>
      <c r="F563" s="496"/>
      <c r="G563" s="646"/>
      <c r="H563" s="688"/>
      <c r="I563" s="649"/>
      <c r="J563" s="650"/>
      <c r="K563" s="650"/>
      <c r="L563" s="650"/>
      <c r="M563" s="651"/>
      <c r="N563" s="652"/>
      <c r="O563" s="653"/>
      <c r="P563" s="654"/>
      <c r="Q563" s="661"/>
      <c r="R563" s="662"/>
      <c r="S563" s="662"/>
      <c r="T563" s="662"/>
      <c r="U563" s="663"/>
      <c r="V563" s="40"/>
      <c r="W563" s="41"/>
      <c r="X563" s="41"/>
      <c r="Y563" s="41"/>
      <c r="Z563" s="29"/>
      <c r="AA563" s="29"/>
      <c r="AB563" s="29"/>
      <c r="AC563" s="29"/>
      <c r="AD563" s="29"/>
    </row>
    <row r="564" spans="1:30" s="488" customFormat="1" ht="41.25" hidden="1" customHeight="1">
      <c r="A564" s="492"/>
      <c r="B564" s="643"/>
      <c r="C564" s="513"/>
      <c r="D564" s="514"/>
      <c r="E564" s="664" t="s">
        <v>29</v>
      </c>
      <c r="F564" s="665"/>
      <c r="G564" s="665"/>
      <c r="H564" s="665"/>
      <c r="I564" s="665"/>
      <c r="J564" s="665"/>
      <c r="K564" s="665"/>
      <c r="L564" s="665"/>
      <c r="M564" s="666"/>
      <c r="N564" s="655"/>
      <c r="O564" s="656"/>
      <c r="P564" s="657"/>
      <c r="Q564" s="667"/>
      <c r="R564" s="689"/>
      <c r="S564" s="689"/>
      <c r="T564" s="689"/>
      <c r="U564" s="690"/>
      <c r="V564" s="42"/>
      <c r="W564" s="41"/>
      <c r="X564" s="41"/>
      <c r="Y564" s="41"/>
      <c r="Z564" s="29"/>
      <c r="AA564" s="29"/>
      <c r="AB564" s="29"/>
      <c r="AC564" s="29"/>
      <c r="AD564" s="29"/>
    </row>
    <row r="565" spans="1:30" s="488" customFormat="1" ht="41.25" hidden="1" customHeight="1">
      <c r="A565" s="492"/>
      <c r="B565" s="643"/>
      <c r="C565" s="513">
        <v>55</v>
      </c>
      <c r="D565" s="514"/>
      <c r="E565" s="670" t="s">
        <v>30</v>
      </c>
      <c r="F565" s="670"/>
      <c r="G565" s="670"/>
      <c r="H565" s="670"/>
      <c r="I565" s="670"/>
      <c r="J565" s="670"/>
      <c r="K565" s="670"/>
      <c r="L565" s="498">
        <v>125.07223999999999</v>
      </c>
      <c r="M565" s="459">
        <f>L565</f>
        <v>125.07223999999999</v>
      </c>
      <c r="N565" s="655"/>
      <c r="O565" s="656"/>
      <c r="P565" s="657"/>
      <c r="Q565" s="671"/>
      <c r="R565" s="672"/>
      <c r="S565" s="673"/>
      <c r="T565" s="457">
        <f>H562*M565*N562*O562*P562</f>
        <v>0</v>
      </c>
      <c r="U565" s="458">
        <f>T565</f>
        <v>0</v>
      </c>
      <c r="V565" s="42"/>
      <c r="W565" s="39"/>
      <c r="X565" s="41"/>
      <c r="Y565" s="41"/>
      <c r="Z565" s="43">
        <f>T565</f>
        <v>0</v>
      </c>
      <c r="AA565" s="29"/>
      <c r="AB565" s="29"/>
      <c r="AC565" s="29"/>
      <c r="AD565" s="29"/>
    </row>
    <row r="566" spans="1:30" s="488" customFormat="1" ht="41.25" hidden="1" customHeight="1">
      <c r="A566" s="492"/>
      <c r="B566" s="643"/>
      <c r="C566" s="513"/>
      <c r="D566" s="514"/>
      <c r="E566" s="670" t="s">
        <v>31</v>
      </c>
      <c r="F566" s="670"/>
      <c r="G566" s="670"/>
      <c r="H566" s="670"/>
      <c r="I566" s="670"/>
      <c r="J566" s="670"/>
      <c r="K566" s="670"/>
      <c r="L566" s="498">
        <f>ROUND((I562+J562+K562)*2.14%,2)</f>
        <v>32.79</v>
      </c>
      <c r="M566" s="459">
        <f>L566</f>
        <v>32.79</v>
      </c>
      <c r="N566" s="655"/>
      <c r="O566" s="656"/>
      <c r="P566" s="657"/>
      <c r="Q566" s="671"/>
      <c r="R566" s="672"/>
      <c r="S566" s="673"/>
      <c r="T566" s="457">
        <f>H562*M566*N562*O562*P562</f>
        <v>0</v>
      </c>
      <c r="U566" s="458">
        <f>T566</f>
        <v>0</v>
      </c>
      <c r="V566" s="42"/>
      <c r="W566" s="41"/>
      <c r="X566" s="39"/>
      <c r="Y566" s="41"/>
      <c r="Z566" s="29"/>
      <c r="AA566" s="43">
        <f>T566</f>
        <v>0</v>
      </c>
      <c r="AB566" s="29"/>
      <c r="AC566" s="29"/>
      <c r="AD566" s="29"/>
    </row>
    <row r="567" spans="1:30" s="488" customFormat="1" ht="41.25" hidden="1" customHeight="1">
      <c r="A567" s="492"/>
      <c r="B567" s="643"/>
      <c r="C567" s="515"/>
      <c r="D567" s="514"/>
      <c r="E567" s="670" t="s">
        <v>376</v>
      </c>
      <c r="F567" s="670"/>
      <c r="G567" s="670"/>
      <c r="H567" s="670"/>
      <c r="I567" s="670"/>
      <c r="J567" s="670"/>
      <c r="K567" s="670"/>
      <c r="L567" s="498">
        <f>ROUND((I562+J562+K562+L565+L566+L570)*3%,2)+0.01</f>
        <v>52.66</v>
      </c>
      <c r="M567" s="459">
        <f>L567</f>
        <v>52.66</v>
      </c>
      <c r="N567" s="655"/>
      <c r="O567" s="656"/>
      <c r="P567" s="657"/>
      <c r="Q567" s="671"/>
      <c r="R567" s="672"/>
      <c r="S567" s="673"/>
      <c r="T567" s="457">
        <f>H562*M567*N562*O562*P562</f>
        <v>0</v>
      </c>
      <c r="U567" s="458">
        <f>T567</f>
        <v>0</v>
      </c>
      <c r="V567" s="42"/>
      <c r="W567" s="41"/>
      <c r="X567" s="41"/>
      <c r="Y567" s="39"/>
      <c r="Z567" s="29"/>
      <c r="AA567" s="29"/>
      <c r="AB567" s="43">
        <f>T567</f>
        <v>0</v>
      </c>
      <c r="AC567" s="29"/>
      <c r="AD567" s="29"/>
    </row>
    <row r="568" spans="1:30" s="488" customFormat="1" ht="54.75" hidden="1" customHeight="1">
      <c r="A568" s="492"/>
      <c r="B568" s="643"/>
      <c r="C568" s="515"/>
      <c r="D568" s="514"/>
      <c r="E568" s="670" t="s">
        <v>377</v>
      </c>
      <c r="F568" s="670"/>
      <c r="G568" s="670"/>
      <c r="H568" s="670"/>
      <c r="I568" s="670"/>
      <c r="J568" s="670"/>
      <c r="K568" s="670"/>
      <c r="L568" s="498">
        <f>268.18224-K562-L565-L566-L570</f>
        <v>0</v>
      </c>
      <c r="M568" s="459">
        <f>L568</f>
        <v>0</v>
      </c>
      <c r="N568" s="655"/>
      <c r="O568" s="656"/>
      <c r="P568" s="657"/>
      <c r="Q568" s="671"/>
      <c r="R568" s="672"/>
      <c r="S568" s="673"/>
      <c r="T568" s="457">
        <f>H562*M568*N562*O562*P562</f>
        <v>0</v>
      </c>
      <c r="U568" s="458">
        <f>T568</f>
        <v>0</v>
      </c>
      <c r="V568" s="42"/>
      <c r="W568" s="41"/>
      <c r="X568" s="41"/>
      <c r="Y568" s="41"/>
      <c r="Z568" s="44"/>
      <c r="AA568" s="29"/>
      <c r="AB568" s="29"/>
      <c r="AC568" s="44">
        <f>T568</f>
        <v>0</v>
      </c>
      <c r="AD568" s="29"/>
    </row>
    <row r="569" spans="1:30" s="488" customFormat="1" ht="45" hidden="1" customHeight="1">
      <c r="A569" s="492"/>
      <c r="B569" s="643"/>
      <c r="C569" s="515"/>
      <c r="D569" s="514"/>
      <c r="E569" s="674"/>
      <c r="F569" s="675"/>
      <c r="G569" s="675"/>
      <c r="H569" s="675"/>
      <c r="I569" s="675"/>
      <c r="J569" s="675"/>
      <c r="K569" s="675"/>
      <c r="L569" s="675"/>
      <c r="M569" s="676"/>
      <c r="N569" s="655"/>
      <c r="O569" s="656"/>
      <c r="P569" s="657"/>
      <c r="Q569" s="677"/>
      <c r="R569" s="678"/>
      <c r="S569" s="678"/>
      <c r="T569" s="678"/>
      <c r="U569" s="679"/>
      <c r="V569" s="45"/>
      <c r="W569" s="41"/>
      <c r="X569" s="41"/>
      <c r="Y569" s="41"/>
      <c r="Z569" s="29"/>
      <c r="AA569" s="44"/>
      <c r="AB569" s="29"/>
      <c r="AC569" s="29"/>
      <c r="AD569" s="29"/>
    </row>
    <row r="570" spans="1:30" s="488" customFormat="1" ht="45" hidden="1" customHeight="1" thickBot="1">
      <c r="A570" s="492"/>
      <c r="B570" s="644"/>
      <c r="C570" s="516"/>
      <c r="D570" s="517"/>
      <c r="E570" s="680" t="s">
        <v>369</v>
      </c>
      <c r="F570" s="680" t="s">
        <v>306</v>
      </c>
      <c r="G570" s="680"/>
      <c r="H570" s="680"/>
      <c r="I570" s="680"/>
      <c r="J570" s="680"/>
      <c r="K570" s="680"/>
      <c r="L570" s="499">
        <f>ROUND((I562+J562+K562+L565)*3.93%,2)</f>
        <v>65.13</v>
      </c>
      <c r="M570" s="46">
        <f>L570</f>
        <v>65.13</v>
      </c>
      <c r="N570" s="658"/>
      <c r="O570" s="659"/>
      <c r="P570" s="660"/>
      <c r="Q570" s="681"/>
      <c r="R570" s="682"/>
      <c r="S570" s="683"/>
      <c r="T570" s="500">
        <f>H562*M570*N562*O562*P562</f>
        <v>0</v>
      </c>
      <c r="U570" s="47">
        <f>T570</f>
        <v>0</v>
      </c>
      <c r="V570" s="48"/>
      <c r="W570" s="41"/>
      <c r="X570" s="41"/>
      <c r="Y570" s="41"/>
      <c r="Z570" s="29"/>
      <c r="AA570" s="29"/>
      <c r="AB570" s="44"/>
      <c r="AC570" s="29"/>
      <c r="AD570" s="44">
        <f>T570</f>
        <v>0</v>
      </c>
    </row>
    <row r="571" spans="1:30" s="488" customFormat="1" ht="150" hidden="1" customHeight="1" thickBot="1">
      <c r="A571" s="492"/>
      <c r="B571" s="642">
        <v>1</v>
      </c>
      <c r="C571" s="511">
        <v>5</v>
      </c>
      <c r="D571" s="512"/>
      <c r="E571" s="493" t="s">
        <v>473</v>
      </c>
      <c r="F571" s="487" t="s">
        <v>474</v>
      </c>
      <c r="G571" s="645" t="s">
        <v>388</v>
      </c>
      <c r="H571" s="688">
        <v>0</v>
      </c>
      <c r="I571" s="494">
        <v>1596.19</v>
      </c>
      <c r="J571" s="494">
        <v>176.69</v>
      </c>
      <c r="K571" s="494">
        <v>45.19</v>
      </c>
      <c r="L571" s="494">
        <f>SUM(L573:L579)</f>
        <v>302.71413999999999</v>
      </c>
      <c r="M571" s="33">
        <f>SUM(I571:L571)</f>
        <v>2120.7841400000002</v>
      </c>
      <c r="N571" s="501">
        <v>1</v>
      </c>
      <c r="O571" s="502">
        <v>1</v>
      </c>
      <c r="P571" s="37">
        <v>1</v>
      </c>
      <c r="Q571" s="34">
        <f>H571*I571*N571*O571*P571</f>
        <v>0</v>
      </c>
      <c r="R571" s="35">
        <f>H571*J571*N571*O571*P571</f>
        <v>0</v>
      </c>
      <c r="S571" s="36">
        <f>H571*K571*N571*O571*P571</f>
        <v>0</v>
      </c>
      <c r="T571" s="36">
        <f>H571*L571*N571*O571*P571</f>
        <v>0</v>
      </c>
      <c r="U571" s="37">
        <f>SUM(Q571:T571)</f>
        <v>0</v>
      </c>
      <c r="V571" s="38">
        <f>(Q571+R571+S571+T575+T576+T577+T579)*'Прогнозная стоимость РСС ИП '!$M$11+T574*'Прогнозная стоимость РСС ИП '!$M$10</f>
        <v>0</v>
      </c>
      <c r="W571" s="39">
        <f>T571</f>
        <v>0</v>
      </c>
      <c r="X571" s="39">
        <f>U571</f>
        <v>0</v>
      </c>
      <c r="Y571" s="39">
        <f>V571</f>
        <v>0</v>
      </c>
      <c r="Z571" s="29"/>
      <c r="AA571" s="29"/>
      <c r="AB571" s="29"/>
      <c r="AC571" s="29"/>
      <c r="AD571" s="29"/>
    </row>
    <row r="572" spans="1:30" s="488" customFormat="1" ht="41.25" hidden="1" customHeight="1">
      <c r="A572" s="492"/>
      <c r="B572" s="643"/>
      <c r="C572" s="513"/>
      <c r="D572" s="514"/>
      <c r="E572" s="495"/>
      <c r="F572" s="496"/>
      <c r="G572" s="646"/>
      <c r="H572" s="688"/>
      <c r="I572" s="649"/>
      <c r="J572" s="650"/>
      <c r="K572" s="650"/>
      <c r="L572" s="650"/>
      <c r="M572" s="651"/>
      <c r="N572" s="652"/>
      <c r="O572" s="653"/>
      <c r="P572" s="654"/>
      <c r="Q572" s="661"/>
      <c r="R572" s="662"/>
      <c r="S572" s="662"/>
      <c r="T572" s="662"/>
      <c r="U572" s="663"/>
      <c r="V572" s="40"/>
      <c r="W572" s="41"/>
      <c r="X572" s="41"/>
      <c r="Y572" s="41"/>
      <c r="Z572" s="29"/>
      <c r="AA572" s="29"/>
      <c r="AB572" s="29"/>
      <c r="AC572" s="29"/>
      <c r="AD572" s="29"/>
    </row>
    <row r="573" spans="1:30" s="488" customFormat="1" ht="41.25" hidden="1" customHeight="1">
      <c r="A573" s="492"/>
      <c r="B573" s="643"/>
      <c r="C573" s="513"/>
      <c r="D573" s="514"/>
      <c r="E573" s="664" t="s">
        <v>29</v>
      </c>
      <c r="F573" s="665"/>
      <c r="G573" s="665"/>
      <c r="H573" s="665"/>
      <c r="I573" s="665"/>
      <c r="J573" s="665"/>
      <c r="K573" s="665"/>
      <c r="L573" s="665"/>
      <c r="M573" s="666"/>
      <c r="N573" s="655"/>
      <c r="O573" s="656"/>
      <c r="P573" s="657"/>
      <c r="Q573" s="667"/>
      <c r="R573" s="689"/>
      <c r="S573" s="689"/>
      <c r="T573" s="689"/>
      <c r="U573" s="690"/>
      <c r="V573" s="42"/>
      <c r="W573" s="41"/>
      <c r="X573" s="41"/>
      <c r="Y573" s="41"/>
      <c r="Z573" s="29"/>
      <c r="AA573" s="29"/>
      <c r="AB573" s="29"/>
      <c r="AC573" s="29"/>
      <c r="AD573" s="29"/>
    </row>
    <row r="574" spans="1:30" s="488" customFormat="1" ht="41.25" hidden="1" customHeight="1">
      <c r="A574" s="492"/>
      <c r="B574" s="643"/>
      <c r="C574" s="513">
        <v>55</v>
      </c>
      <c r="D574" s="514"/>
      <c r="E574" s="670" t="s">
        <v>30</v>
      </c>
      <c r="F574" s="670"/>
      <c r="G574" s="670"/>
      <c r="H574" s="670"/>
      <c r="I574" s="670"/>
      <c r="J574" s="670"/>
      <c r="K574" s="670"/>
      <c r="L574" s="498">
        <v>125.64413999999999</v>
      </c>
      <c r="M574" s="459">
        <f>L574</f>
        <v>125.64413999999999</v>
      </c>
      <c r="N574" s="655"/>
      <c r="O574" s="656"/>
      <c r="P574" s="657"/>
      <c r="Q574" s="671"/>
      <c r="R574" s="672"/>
      <c r="S574" s="673"/>
      <c r="T574" s="457">
        <f>H571*M574*N571*O571*P571</f>
        <v>0</v>
      </c>
      <c r="U574" s="458">
        <f>T574</f>
        <v>0</v>
      </c>
      <c r="V574" s="42"/>
      <c r="W574" s="39"/>
      <c r="X574" s="41"/>
      <c r="Y574" s="41"/>
      <c r="Z574" s="43">
        <f>T574</f>
        <v>0</v>
      </c>
      <c r="AA574" s="29"/>
      <c r="AB574" s="29"/>
      <c r="AC574" s="29"/>
      <c r="AD574" s="29"/>
    </row>
    <row r="575" spans="1:30" s="488" customFormat="1" ht="41.25" hidden="1" customHeight="1">
      <c r="A575" s="492"/>
      <c r="B575" s="643"/>
      <c r="C575" s="513"/>
      <c r="D575" s="514"/>
      <c r="E575" s="670" t="s">
        <v>31</v>
      </c>
      <c r="F575" s="670"/>
      <c r="G575" s="670"/>
      <c r="H575" s="670"/>
      <c r="I575" s="670"/>
      <c r="J575" s="670"/>
      <c r="K575" s="670"/>
      <c r="L575" s="498">
        <f>ROUND((I571+J571+K571)*2.14%,2)</f>
        <v>38.909999999999997</v>
      </c>
      <c r="M575" s="459">
        <f>L575</f>
        <v>38.909999999999997</v>
      </c>
      <c r="N575" s="655"/>
      <c r="O575" s="656"/>
      <c r="P575" s="657"/>
      <c r="Q575" s="671"/>
      <c r="R575" s="672"/>
      <c r="S575" s="673"/>
      <c r="T575" s="457">
        <f>H571*M575*N571*O571*P571</f>
        <v>0</v>
      </c>
      <c r="U575" s="458">
        <f>T575</f>
        <v>0</v>
      </c>
      <c r="V575" s="42"/>
      <c r="W575" s="41"/>
      <c r="X575" s="39"/>
      <c r="Y575" s="41"/>
      <c r="Z575" s="29"/>
      <c r="AA575" s="43">
        <f>T575</f>
        <v>0</v>
      </c>
      <c r="AB575" s="29"/>
      <c r="AC575" s="29"/>
      <c r="AD575" s="29"/>
    </row>
    <row r="576" spans="1:30" s="488" customFormat="1" ht="41.25" hidden="1" customHeight="1">
      <c r="A576" s="492"/>
      <c r="B576" s="643"/>
      <c r="C576" s="515"/>
      <c r="D576" s="514"/>
      <c r="E576" s="670" t="s">
        <v>376</v>
      </c>
      <c r="F576" s="670"/>
      <c r="G576" s="670"/>
      <c r="H576" s="670"/>
      <c r="I576" s="670"/>
      <c r="J576" s="670"/>
      <c r="K576" s="670"/>
      <c r="L576" s="498">
        <f>ROUND((I571+J571+K571+L574+L575+L579)*3%,2)</f>
        <v>61.77</v>
      </c>
      <c r="M576" s="459">
        <f>L576</f>
        <v>61.77</v>
      </c>
      <c r="N576" s="655"/>
      <c r="O576" s="656"/>
      <c r="P576" s="657"/>
      <c r="Q576" s="671"/>
      <c r="R576" s="672"/>
      <c r="S576" s="673"/>
      <c r="T576" s="457">
        <f>H571*M576*N571*O571*P571</f>
        <v>0</v>
      </c>
      <c r="U576" s="458">
        <f>T576</f>
        <v>0</v>
      </c>
      <c r="V576" s="42"/>
      <c r="W576" s="41"/>
      <c r="X576" s="41"/>
      <c r="Y576" s="39"/>
      <c r="Z576" s="29"/>
      <c r="AA576" s="29"/>
      <c r="AB576" s="43">
        <f>T576</f>
        <v>0</v>
      </c>
      <c r="AC576" s="29"/>
      <c r="AD576" s="29"/>
    </row>
    <row r="577" spans="1:30" s="488" customFormat="1" ht="54.75" hidden="1" customHeight="1">
      <c r="A577" s="492"/>
      <c r="B577" s="643"/>
      <c r="C577" s="515"/>
      <c r="D577" s="514"/>
      <c r="E577" s="670" t="s">
        <v>377</v>
      </c>
      <c r="F577" s="670"/>
      <c r="G577" s="670"/>
      <c r="H577" s="670"/>
      <c r="I577" s="670"/>
      <c r="J577" s="670"/>
      <c r="K577" s="670"/>
      <c r="L577" s="498">
        <f>286.13414-K571-L574-L575-L579</f>
        <v>0</v>
      </c>
      <c r="M577" s="459">
        <f>L577</f>
        <v>0</v>
      </c>
      <c r="N577" s="655"/>
      <c r="O577" s="656"/>
      <c r="P577" s="657"/>
      <c r="Q577" s="671"/>
      <c r="R577" s="672"/>
      <c r="S577" s="673"/>
      <c r="T577" s="457">
        <f>H571*M577*N571*O571*P571</f>
        <v>0</v>
      </c>
      <c r="U577" s="458">
        <f>T577</f>
        <v>0</v>
      </c>
      <c r="V577" s="42"/>
      <c r="W577" s="41"/>
      <c r="X577" s="41"/>
      <c r="Y577" s="41"/>
      <c r="Z577" s="44"/>
      <c r="AA577" s="29"/>
      <c r="AB577" s="29"/>
      <c r="AC577" s="44">
        <f>T577</f>
        <v>0</v>
      </c>
      <c r="AD577" s="29"/>
    </row>
    <row r="578" spans="1:30" s="488" customFormat="1" ht="45" hidden="1" customHeight="1">
      <c r="A578" s="492"/>
      <c r="B578" s="643"/>
      <c r="C578" s="515"/>
      <c r="D578" s="514"/>
      <c r="E578" s="674"/>
      <c r="F578" s="675"/>
      <c r="G578" s="675"/>
      <c r="H578" s="675"/>
      <c r="I578" s="675"/>
      <c r="J578" s="675"/>
      <c r="K578" s="675"/>
      <c r="L578" s="675"/>
      <c r="M578" s="676"/>
      <c r="N578" s="655"/>
      <c r="O578" s="656"/>
      <c r="P578" s="657"/>
      <c r="Q578" s="677"/>
      <c r="R578" s="678"/>
      <c r="S578" s="678"/>
      <c r="T578" s="678"/>
      <c r="U578" s="679"/>
      <c r="V578" s="45"/>
      <c r="W578" s="41"/>
      <c r="X578" s="41"/>
      <c r="Y578" s="41"/>
      <c r="Z578" s="29"/>
      <c r="AA578" s="44"/>
      <c r="AB578" s="29"/>
      <c r="AC578" s="29"/>
      <c r="AD578" s="29"/>
    </row>
    <row r="579" spans="1:30" s="488" customFormat="1" ht="45" hidden="1" customHeight="1" thickBot="1">
      <c r="A579" s="492"/>
      <c r="B579" s="644"/>
      <c r="C579" s="516"/>
      <c r="D579" s="517"/>
      <c r="E579" s="680" t="s">
        <v>369</v>
      </c>
      <c r="F579" s="680" t="s">
        <v>306</v>
      </c>
      <c r="G579" s="680"/>
      <c r="H579" s="680"/>
      <c r="I579" s="680"/>
      <c r="J579" s="680"/>
      <c r="K579" s="680"/>
      <c r="L579" s="499">
        <f>ROUND((I571+J571+K571+L574)*3.93%,2)</f>
        <v>76.39</v>
      </c>
      <c r="M579" s="46">
        <f>L579</f>
        <v>76.39</v>
      </c>
      <c r="N579" s="658"/>
      <c r="O579" s="659"/>
      <c r="P579" s="660"/>
      <c r="Q579" s="681"/>
      <c r="R579" s="682"/>
      <c r="S579" s="683"/>
      <c r="T579" s="500">
        <f>H571*M579*N571*O571*P571</f>
        <v>0</v>
      </c>
      <c r="U579" s="47">
        <f>T579</f>
        <v>0</v>
      </c>
      <c r="V579" s="48"/>
      <c r="W579" s="41"/>
      <c r="X579" s="41"/>
      <c r="Y579" s="41"/>
      <c r="Z579" s="29"/>
      <c r="AA579" s="29"/>
      <c r="AB579" s="44"/>
      <c r="AC579" s="29"/>
      <c r="AD579" s="44">
        <f>T579</f>
        <v>0</v>
      </c>
    </row>
    <row r="580" spans="1:30" s="488" customFormat="1" ht="150" hidden="1" customHeight="1" thickBot="1">
      <c r="A580" s="492"/>
      <c r="B580" s="642">
        <v>1</v>
      </c>
      <c r="C580" s="511">
        <v>5</v>
      </c>
      <c r="D580" s="512"/>
      <c r="E580" s="493" t="s">
        <v>475</v>
      </c>
      <c r="F580" s="487" t="s">
        <v>476</v>
      </c>
      <c r="G580" s="645" t="s">
        <v>388</v>
      </c>
      <c r="H580" s="688">
        <v>0</v>
      </c>
      <c r="I580" s="494">
        <v>3151.04</v>
      </c>
      <c r="J580" s="494">
        <v>176.69</v>
      </c>
      <c r="K580" s="494">
        <v>45.19</v>
      </c>
      <c r="L580" s="494">
        <f>SUM(L582:L588)</f>
        <v>598.44283999999993</v>
      </c>
      <c r="M580" s="33">
        <f>SUM(I580:L580)</f>
        <v>3971.3628399999998</v>
      </c>
      <c r="N580" s="501">
        <v>1</v>
      </c>
      <c r="O580" s="502">
        <v>1</v>
      </c>
      <c r="P580" s="37">
        <v>1</v>
      </c>
      <c r="Q580" s="34">
        <f>H580*I580*N580*O580*P580</f>
        <v>0</v>
      </c>
      <c r="R580" s="35">
        <f>H580*J580*N580*O580*P580</f>
        <v>0</v>
      </c>
      <c r="S580" s="36">
        <f>H580*K580*N580*O580*P580</f>
        <v>0</v>
      </c>
      <c r="T580" s="36">
        <f>H580*L580*N580*O580*P580</f>
        <v>0</v>
      </c>
      <c r="U580" s="37">
        <f>SUM(Q580:T580)</f>
        <v>0</v>
      </c>
      <c r="V580" s="38">
        <f>(Q580+R580+S580+T584+T585+T586+T588)*'Прогнозная стоимость РСС ИП '!$M$11+T583*'Прогнозная стоимость РСС ИП '!$M$10</f>
        <v>0</v>
      </c>
      <c r="W580" s="39">
        <f>T580</f>
        <v>0</v>
      </c>
      <c r="X580" s="39">
        <f>U580</f>
        <v>0</v>
      </c>
      <c r="Y580" s="39">
        <f>V580</f>
        <v>0</v>
      </c>
      <c r="Z580" s="29"/>
      <c r="AA580" s="29"/>
      <c r="AB580" s="29"/>
      <c r="AC580" s="29"/>
      <c r="AD580" s="29"/>
    </row>
    <row r="581" spans="1:30" s="488" customFormat="1" ht="41.25" hidden="1" customHeight="1">
      <c r="A581" s="492"/>
      <c r="B581" s="643"/>
      <c r="C581" s="513"/>
      <c r="D581" s="514"/>
      <c r="E581" s="495"/>
      <c r="F581" s="496"/>
      <c r="G581" s="646"/>
      <c r="H581" s="688"/>
      <c r="I581" s="649"/>
      <c r="J581" s="650"/>
      <c r="K581" s="650"/>
      <c r="L581" s="650"/>
      <c r="M581" s="651"/>
      <c r="N581" s="652"/>
      <c r="O581" s="653"/>
      <c r="P581" s="654"/>
      <c r="Q581" s="661"/>
      <c r="R581" s="662"/>
      <c r="S581" s="662"/>
      <c r="T581" s="662"/>
      <c r="U581" s="663"/>
      <c r="V581" s="40"/>
      <c r="W581" s="41"/>
      <c r="X581" s="41"/>
      <c r="Y581" s="41"/>
      <c r="Z581" s="29"/>
      <c r="AA581" s="29"/>
      <c r="AB581" s="29"/>
      <c r="AC581" s="29"/>
      <c r="AD581" s="29"/>
    </row>
    <row r="582" spans="1:30" s="488" customFormat="1" ht="41.25" hidden="1" customHeight="1">
      <c r="A582" s="492"/>
      <c r="B582" s="643"/>
      <c r="C582" s="513"/>
      <c r="D582" s="514"/>
      <c r="E582" s="664" t="s">
        <v>29</v>
      </c>
      <c r="F582" s="665"/>
      <c r="G582" s="665"/>
      <c r="H582" s="665"/>
      <c r="I582" s="665"/>
      <c r="J582" s="665"/>
      <c r="K582" s="665"/>
      <c r="L582" s="665"/>
      <c r="M582" s="666"/>
      <c r="N582" s="655"/>
      <c r="O582" s="656"/>
      <c r="P582" s="657"/>
      <c r="Q582" s="667"/>
      <c r="R582" s="689"/>
      <c r="S582" s="689"/>
      <c r="T582" s="689"/>
      <c r="U582" s="690"/>
      <c r="V582" s="42"/>
      <c r="W582" s="41"/>
      <c r="X582" s="41"/>
      <c r="Y582" s="41"/>
      <c r="Z582" s="29"/>
      <c r="AA582" s="29"/>
      <c r="AB582" s="29"/>
      <c r="AC582" s="29"/>
      <c r="AD582" s="29"/>
    </row>
    <row r="583" spans="1:30" s="488" customFormat="1" ht="41.25" hidden="1" customHeight="1">
      <c r="A583" s="492"/>
      <c r="B583" s="643"/>
      <c r="C583" s="513">
        <v>55</v>
      </c>
      <c r="D583" s="514"/>
      <c r="E583" s="670" t="s">
        <v>30</v>
      </c>
      <c r="F583" s="670"/>
      <c r="G583" s="670"/>
      <c r="H583" s="670"/>
      <c r="I583" s="670"/>
      <c r="J583" s="670"/>
      <c r="K583" s="670"/>
      <c r="L583" s="498">
        <v>267.52283999999997</v>
      </c>
      <c r="M583" s="459">
        <f>L583</f>
        <v>267.52283999999997</v>
      </c>
      <c r="N583" s="655"/>
      <c r="O583" s="656"/>
      <c r="P583" s="657"/>
      <c r="Q583" s="671"/>
      <c r="R583" s="672"/>
      <c r="S583" s="673"/>
      <c r="T583" s="457">
        <f>H580*M583*N580*O580*P580</f>
        <v>0</v>
      </c>
      <c r="U583" s="458">
        <f>T583</f>
        <v>0</v>
      </c>
      <c r="V583" s="42"/>
      <c r="W583" s="39"/>
      <c r="X583" s="41"/>
      <c r="Y583" s="41"/>
      <c r="Z583" s="43">
        <f>T583</f>
        <v>0</v>
      </c>
      <c r="AA583" s="29"/>
      <c r="AB583" s="29"/>
      <c r="AC583" s="29"/>
      <c r="AD583" s="29"/>
    </row>
    <row r="584" spans="1:30" s="488" customFormat="1" ht="41.25" hidden="1" customHeight="1">
      <c r="A584" s="492"/>
      <c r="B584" s="643"/>
      <c r="C584" s="513"/>
      <c r="D584" s="514"/>
      <c r="E584" s="670" t="s">
        <v>31</v>
      </c>
      <c r="F584" s="670"/>
      <c r="G584" s="670"/>
      <c r="H584" s="670"/>
      <c r="I584" s="670"/>
      <c r="J584" s="670"/>
      <c r="K584" s="670"/>
      <c r="L584" s="498">
        <f>ROUND((I580+J580+K580)*2.14%,2)</f>
        <v>72.180000000000007</v>
      </c>
      <c r="M584" s="459">
        <f>L584</f>
        <v>72.180000000000007</v>
      </c>
      <c r="N584" s="655"/>
      <c r="O584" s="656"/>
      <c r="P584" s="657"/>
      <c r="Q584" s="671"/>
      <c r="R584" s="672"/>
      <c r="S584" s="673"/>
      <c r="T584" s="457">
        <f>H580*M584*N580*O580*P580</f>
        <v>0</v>
      </c>
      <c r="U584" s="458">
        <f>T584</f>
        <v>0</v>
      </c>
      <c r="V584" s="42"/>
      <c r="W584" s="41"/>
      <c r="X584" s="39"/>
      <c r="Y584" s="41"/>
      <c r="Z584" s="29"/>
      <c r="AA584" s="43">
        <f>T584</f>
        <v>0</v>
      </c>
      <c r="AB584" s="29"/>
      <c r="AC584" s="29"/>
      <c r="AD584" s="29"/>
    </row>
    <row r="585" spans="1:30" s="488" customFormat="1" ht="41.25" hidden="1" customHeight="1">
      <c r="A585" s="492"/>
      <c r="B585" s="643"/>
      <c r="C585" s="515"/>
      <c r="D585" s="514"/>
      <c r="E585" s="670" t="s">
        <v>376</v>
      </c>
      <c r="F585" s="670"/>
      <c r="G585" s="670"/>
      <c r="H585" s="670"/>
      <c r="I585" s="670"/>
      <c r="J585" s="670"/>
      <c r="K585" s="670"/>
      <c r="L585" s="498">
        <f>ROUND((I580+J580+K580+L583+L584+L588)*3%,2)</f>
        <v>115.67</v>
      </c>
      <c r="M585" s="459">
        <f>L585</f>
        <v>115.67</v>
      </c>
      <c r="N585" s="655"/>
      <c r="O585" s="656"/>
      <c r="P585" s="657"/>
      <c r="Q585" s="671"/>
      <c r="R585" s="672"/>
      <c r="S585" s="673"/>
      <c r="T585" s="457">
        <f>H580*M585*N580*O580*P580</f>
        <v>0</v>
      </c>
      <c r="U585" s="458">
        <f>T585</f>
        <v>0</v>
      </c>
      <c r="V585" s="42"/>
      <c r="W585" s="41"/>
      <c r="X585" s="41"/>
      <c r="Y585" s="39"/>
      <c r="Z585" s="29"/>
      <c r="AA585" s="29"/>
      <c r="AB585" s="43">
        <f>T585</f>
        <v>0</v>
      </c>
      <c r="AC585" s="29"/>
      <c r="AD585" s="29"/>
    </row>
    <row r="586" spans="1:30" s="488" customFormat="1" ht="54.75" hidden="1" customHeight="1">
      <c r="A586" s="492"/>
      <c r="B586" s="643"/>
      <c r="C586" s="515"/>
      <c r="D586" s="514"/>
      <c r="E586" s="670" t="s">
        <v>377</v>
      </c>
      <c r="F586" s="670"/>
      <c r="G586" s="670"/>
      <c r="H586" s="670"/>
      <c r="I586" s="670"/>
      <c r="J586" s="670"/>
      <c r="K586" s="670"/>
      <c r="L586" s="498">
        <f>527.96284-K580-L583-L584-L588</f>
        <v>0</v>
      </c>
      <c r="M586" s="459">
        <f>L586</f>
        <v>0</v>
      </c>
      <c r="N586" s="655"/>
      <c r="O586" s="656"/>
      <c r="P586" s="657"/>
      <c r="Q586" s="671"/>
      <c r="R586" s="672"/>
      <c r="S586" s="673"/>
      <c r="T586" s="457">
        <f>H580*M586*N580*O580*P580</f>
        <v>0</v>
      </c>
      <c r="U586" s="458">
        <f>T586</f>
        <v>0</v>
      </c>
      <c r="V586" s="42"/>
      <c r="W586" s="41"/>
      <c r="X586" s="41"/>
      <c r="Y586" s="41"/>
      <c r="Z586" s="44"/>
      <c r="AA586" s="29"/>
      <c r="AB586" s="29"/>
      <c r="AC586" s="44">
        <f>T586</f>
        <v>0</v>
      </c>
      <c r="AD586" s="29"/>
    </row>
    <row r="587" spans="1:30" s="488" customFormat="1" ht="45" hidden="1" customHeight="1">
      <c r="A587" s="492"/>
      <c r="B587" s="643"/>
      <c r="C587" s="515"/>
      <c r="D587" s="514"/>
      <c r="E587" s="674"/>
      <c r="F587" s="675"/>
      <c r="G587" s="675"/>
      <c r="H587" s="675"/>
      <c r="I587" s="675"/>
      <c r="J587" s="675"/>
      <c r="K587" s="675"/>
      <c r="L587" s="675"/>
      <c r="M587" s="676"/>
      <c r="N587" s="655"/>
      <c r="O587" s="656"/>
      <c r="P587" s="657"/>
      <c r="Q587" s="677"/>
      <c r="R587" s="678"/>
      <c r="S587" s="678"/>
      <c r="T587" s="678"/>
      <c r="U587" s="679"/>
      <c r="V587" s="45"/>
      <c r="W587" s="41"/>
      <c r="X587" s="41"/>
      <c r="Y587" s="41"/>
      <c r="Z587" s="29"/>
      <c r="AA587" s="44"/>
      <c r="AB587" s="29"/>
      <c r="AC587" s="29"/>
      <c r="AD587" s="29"/>
    </row>
    <row r="588" spans="1:30" s="488" customFormat="1" ht="45" hidden="1" customHeight="1" thickBot="1">
      <c r="A588" s="492"/>
      <c r="B588" s="644"/>
      <c r="C588" s="516"/>
      <c r="D588" s="517"/>
      <c r="E588" s="680" t="s">
        <v>369</v>
      </c>
      <c r="F588" s="680" t="s">
        <v>306</v>
      </c>
      <c r="G588" s="680"/>
      <c r="H588" s="680"/>
      <c r="I588" s="680"/>
      <c r="J588" s="680"/>
      <c r="K588" s="680"/>
      <c r="L588" s="499">
        <f>ROUND((I580+J580+K580+L583)*3.93%,2)</f>
        <v>143.07</v>
      </c>
      <c r="M588" s="46">
        <f>L588</f>
        <v>143.07</v>
      </c>
      <c r="N588" s="658"/>
      <c r="O588" s="659"/>
      <c r="P588" s="660"/>
      <c r="Q588" s="681"/>
      <c r="R588" s="682"/>
      <c r="S588" s="683"/>
      <c r="T588" s="500">
        <f>H580*M588*N580*O580*P580</f>
        <v>0</v>
      </c>
      <c r="U588" s="47">
        <f>T588</f>
        <v>0</v>
      </c>
      <c r="V588" s="48"/>
      <c r="W588" s="41"/>
      <c r="X588" s="41"/>
      <c r="Y588" s="41"/>
      <c r="Z588" s="29"/>
      <c r="AA588" s="29"/>
      <c r="AB588" s="44"/>
      <c r="AC588" s="29"/>
      <c r="AD588" s="44">
        <f>T588</f>
        <v>0</v>
      </c>
    </row>
    <row r="589" spans="1:30" s="520" customFormat="1" ht="150" hidden="1" customHeight="1" thickBot="1">
      <c r="A589" s="492"/>
      <c r="B589" s="642">
        <v>1</v>
      </c>
      <c r="C589" s="511">
        <v>5</v>
      </c>
      <c r="D589" s="512"/>
      <c r="E589" s="493" t="s">
        <v>477</v>
      </c>
      <c r="F589" s="487" t="s">
        <v>478</v>
      </c>
      <c r="G589" s="645" t="s">
        <v>388</v>
      </c>
      <c r="H589" s="688">
        <v>0</v>
      </c>
      <c r="I589" s="494">
        <v>1259.76</v>
      </c>
      <c r="J589" s="494">
        <v>802.59000000000015</v>
      </c>
      <c r="K589" s="494">
        <v>1237.53</v>
      </c>
      <c r="L589" s="494">
        <f>SUM(L591:L597)</f>
        <v>709.64246000000003</v>
      </c>
      <c r="M589" s="33">
        <f>SUM(I589:L589)</f>
        <v>4009.5224600000001</v>
      </c>
      <c r="N589" s="501">
        <v>1</v>
      </c>
      <c r="O589" s="502">
        <v>1</v>
      </c>
      <c r="P589" s="37">
        <v>1</v>
      </c>
      <c r="Q589" s="34">
        <f>H589*I589*N589*O589*P589</f>
        <v>0</v>
      </c>
      <c r="R589" s="35">
        <f>H589*J589*N589*O589*P589</f>
        <v>0</v>
      </c>
      <c r="S589" s="36">
        <f>H589*K589*N589*O589*P589</f>
        <v>0</v>
      </c>
      <c r="T589" s="36">
        <f>H589*L589*N589*O589*P589</f>
        <v>0</v>
      </c>
      <c r="U589" s="37">
        <f>SUM(Q589:T589)</f>
        <v>0</v>
      </c>
      <c r="V589" s="38">
        <f>(Q589+R589+S589+T593+T594+T595+T597)*'Прогнозная стоимость РСС ИП '!$M$11+T592*'Прогнозная стоимость РСС ИП '!$M$10</f>
        <v>0</v>
      </c>
      <c r="W589" s="518">
        <f>T589</f>
        <v>0</v>
      </c>
      <c r="X589" s="518">
        <f>U589</f>
        <v>0</v>
      </c>
      <c r="Y589" s="518">
        <f>V589</f>
        <v>0</v>
      </c>
      <c r="Z589" s="519"/>
      <c r="AA589" s="519"/>
      <c r="AB589" s="519"/>
      <c r="AC589" s="519"/>
      <c r="AD589" s="519"/>
    </row>
    <row r="590" spans="1:30" s="505" customFormat="1" ht="41.25" hidden="1" customHeight="1">
      <c r="A590" s="492"/>
      <c r="B590" s="643"/>
      <c r="C590" s="513"/>
      <c r="D590" s="514"/>
      <c r="E590" s="495"/>
      <c r="F590" s="496"/>
      <c r="G590" s="646"/>
      <c r="H590" s="688"/>
      <c r="I590" s="649"/>
      <c r="J590" s="650"/>
      <c r="K590" s="650"/>
      <c r="L590" s="650"/>
      <c r="M590" s="651"/>
      <c r="N590" s="652"/>
      <c r="O590" s="653"/>
      <c r="P590" s="654"/>
      <c r="Q590" s="661"/>
      <c r="R590" s="662"/>
      <c r="S590" s="662"/>
      <c r="T590" s="662"/>
      <c r="U590" s="663"/>
      <c r="V590" s="40"/>
      <c r="W590" s="504"/>
      <c r="X590" s="504"/>
      <c r="Y590" s="504"/>
      <c r="Z590" s="504"/>
      <c r="AA590" s="504"/>
      <c r="AB590" s="504"/>
      <c r="AC590" s="504"/>
      <c r="AD590" s="504"/>
    </row>
    <row r="591" spans="1:30" s="505" customFormat="1" ht="41.25" hidden="1" customHeight="1">
      <c r="A591" s="492"/>
      <c r="B591" s="643"/>
      <c r="C591" s="513"/>
      <c r="D591" s="514"/>
      <c r="E591" s="664" t="s">
        <v>29</v>
      </c>
      <c r="F591" s="665"/>
      <c r="G591" s="665"/>
      <c r="H591" s="665"/>
      <c r="I591" s="665"/>
      <c r="J591" s="665"/>
      <c r="K591" s="665"/>
      <c r="L591" s="665"/>
      <c r="M591" s="666"/>
      <c r="N591" s="655"/>
      <c r="O591" s="656"/>
      <c r="P591" s="657"/>
      <c r="Q591" s="667"/>
      <c r="R591" s="668"/>
      <c r="S591" s="668"/>
      <c r="T591" s="668"/>
      <c r="U591" s="669"/>
      <c r="V591" s="42"/>
      <c r="W591" s="504"/>
      <c r="X591" s="504"/>
      <c r="Y591" s="504"/>
      <c r="Z591" s="504"/>
      <c r="AA591" s="504"/>
      <c r="AB591" s="504"/>
      <c r="AC591" s="504"/>
      <c r="AD591" s="504"/>
    </row>
    <row r="592" spans="1:30" s="505" customFormat="1" ht="41.25" hidden="1" customHeight="1">
      <c r="A592" s="492"/>
      <c r="B592" s="643"/>
      <c r="C592" s="513">
        <v>55</v>
      </c>
      <c r="D592" s="514"/>
      <c r="E592" s="670" t="s">
        <v>30</v>
      </c>
      <c r="F592" s="670"/>
      <c r="G592" s="670"/>
      <c r="H592" s="670"/>
      <c r="I592" s="670"/>
      <c r="J592" s="670"/>
      <c r="K592" s="670"/>
      <c r="L592" s="498">
        <v>377.71246000000002</v>
      </c>
      <c r="M592" s="459">
        <f>L592</f>
        <v>377.71246000000002</v>
      </c>
      <c r="N592" s="655"/>
      <c r="O592" s="656"/>
      <c r="P592" s="657"/>
      <c r="Q592" s="671"/>
      <c r="R592" s="672"/>
      <c r="S592" s="673"/>
      <c r="T592" s="457">
        <f>H589*M592*N589*O589*P589</f>
        <v>0</v>
      </c>
      <c r="U592" s="458">
        <f>T592</f>
        <v>0</v>
      </c>
      <c r="V592" s="42"/>
      <c r="W592" s="503"/>
      <c r="X592" s="504"/>
      <c r="Y592" s="504"/>
      <c r="Z592" s="503">
        <f>T592</f>
        <v>0</v>
      </c>
      <c r="AA592" s="504"/>
      <c r="AB592" s="504"/>
      <c r="AC592" s="504"/>
      <c r="AD592" s="504"/>
    </row>
    <row r="593" spans="1:30" s="505" customFormat="1" ht="41.25" hidden="1" customHeight="1">
      <c r="A593" s="492"/>
      <c r="B593" s="643"/>
      <c r="C593" s="513"/>
      <c r="D593" s="514"/>
      <c r="E593" s="670" t="s">
        <v>31</v>
      </c>
      <c r="F593" s="670"/>
      <c r="G593" s="670"/>
      <c r="H593" s="670"/>
      <c r="I593" s="670"/>
      <c r="J593" s="670"/>
      <c r="K593" s="670"/>
      <c r="L593" s="498">
        <f>ROUND((I589+J589+K589)*2.14%,2)</f>
        <v>70.62</v>
      </c>
      <c r="M593" s="459">
        <f>L593</f>
        <v>70.62</v>
      </c>
      <c r="N593" s="655"/>
      <c r="O593" s="656"/>
      <c r="P593" s="657"/>
      <c r="Q593" s="671"/>
      <c r="R593" s="672"/>
      <c r="S593" s="673"/>
      <c r="T593" s="457">
        <f>H589*M593*N589*O589*P589</f>
        <v>0</v>
      </c>
      <c r="U593" s="458">
        <f>T593</f>
        <v>0</v>
      </c>
      <c r="V593" s="42"/>
      <c r="W593" s="504"/>
      <c r="X593" s="503"/>
      <c r="Y593" s="504"/>
      <c r="Z593" s="504"/>
      <c r="AA593" s="503">
        <f>T593</f>
        <v>0</v>
      </c>
      <c r="AB593" s="504"/>
      <c r="AC593" s="504"/>
      <c r="AD593" s="504"/>
    </row>
    <row r="594" spans="1:30" s="505" customFormat="1" ht="41.25" hidden="1" customHeight="1">
      <c r="A594" s="492"/>
      <c r="B594" s="643"/>
      <c r="C594" s="515"/>
      <c r="D594" s="514"/>
      <c r="E594" s="670" t="s">
        <v>376</v>
      </c>
      <c r="F594" s="670"/>
      <c r="G594" s="670"/>
      <c r="H594" s="670"/>
      <c r="I594" s="670"/>
      <c r="J594" s="670"/>
      <c r="K594" s="670"/>
      <c r="L594" s="498">
        <f>ROUND((I589+J589+K589+L592+L593+L597)*3%,2)</f>
        <v>116.78</v>
      </c>
      <c r="M594" s="459">
        <f>L594</f>
        <v>116.78</v>
      </c>
      <c r="N594" s="655"/>
      <c r="O594" s="656"/>
      <c r="P594" s="657"/>
      <c r="Q594" s="671"/>
      <c r="R594" s="672"/>
      <c r="S594" s="673"/>
      <c r="T594" s="457">
        <f>H589*M594*N589*O589*P589</f>
        <v>0</v>
      </c>
      <c r="U594" s="458">
        <f>T594</f>
        <v>0</v>
      </c>
      <c r="V594" s="42"/>
      <c r="W594" s="504"/>
      <c r="X594" s="504"/>
      <c r="Y594" s="503"/>
      <c r="Z594" s="504"/>
      <c r="AA594" s="504"/>
      <c r="AB594" s="503">
        <f>T594</f>
        <v>0</v>
      </c>
      <c r="AC594" s="504"/>
      <c r="AD594" s="504"/>
    </row>
    <row r="595" spans="1:30" s="505" customFormat="1" ht="54.75" hidden="1" customHeight="1">
      <c r="A595" s="492"/>
      <c r="B595" s="643"/>
      <c r="C595" s="515"/>
      <c r="D595" s="514"/>
      <c r="E595" s="670" t="s">
        <v>377</v>
      </c>
      <c r="F595" s="670"/>
      <c r="G595" s="670"/>
      <c r="H595" s="670"/>
      <c r="I595" s="670"/>
      <c r="J595" s="670"/>
      <c r="K595" s="670"/>
      <c r="L595" s="498">
        <f>1830.39246-K589-L592-L593-L597</f>
        <v>0</v>
      </c>
      <c r="M595" s="459">
        <f>L595</f>
        <v>0</v>
      </c>
      <c r="N595" s="655"/>
      <c r="O595" s="656"/>
      <c r="P595" s="657"/>
      <c r="Q595" s="671"/>
      <c r="R595" s="672"/>
      <c r="S595" s="673"/>
      <c r="T595" s="457">
        <f>H589*M595*N589*O589*P589</f>
        <v>0</v>
      </c>
      <c r="U595" s="458">
        <f>T595</f>
        <v>0</v>
      </c>
      <c r="V595" s="42"/>
      <c r="W595" s="504"/>
      <c r="X595" s="504"/>
      <c r="Y595" s="504"/>
      <c r="Z595" s="506"/>
      <c r="AA595" s="504"/>
      <c r="AB595" s="504"/>
      <c r="AC595" s="506">
        <f>T595</f>
        <v>0</v>
      </c>
      <c r="AD595" s="504"/>
    </row>
    <row r="596" spans="1:30" s="505" customFormat="1" ht="45" hidden="1" customHeight="1">
      <c r="A596" s="492"/>
      <c r="B596" s="643"/>
      <c r="C596" s="515"/>
      <c r="D596" s="514"/>
      <c r="E596" s="674"/>
      <c r="F596" s="675"/>
      <c r="G596" s="675"/>
      <c r="H596" s="675"/>
      <c r="I596" s="675"/>
      <c r="J596" s="675"/>
      <c r="K596" s="675"/>
      <c r="L596" s="675"/>
      <c r="M596" s="676"/>
      <c r="N596" s="655"/>
      <c r="O596" s="656"/>
      <c r="P596" s="657"/>
      <c r="Q596" s="677"/>
      <c r="R596" s="678"/>
      <c r="S596" s="678"/>
      <c r="T596" s="678"/>
      <c r="U596" s="679"/>
      <c r="V596" s="45"/>
      <c r="W596" s="504"/>
      <c r="X596" s="504"/>
      <c r="Y596" s="504"/>
      <c r="Z596" s="504"/>
      <c r="AA596" s="506"/>
      <c r="AB596" s="504"/>
      <c r="AC596" s="504"/>
      <c r="AD596" s="504"/>
    </row>
    <row r="597" spans="1:30" s="505" customFormat="1" ht="53.25" hidden="1" customHeight="1" thickBot="1">
      <c r="A597" s="492"/>
      <c r="B597" s="644"/>
      <c r="C597" s="516"/>
      <c r="D597" s="517"/>
      <c r="E597" s="680" t="s">
        <v>369</v>
      </c>
      <c r="F597" s="680" t="s">
        <v>306</v>
      </c>
      <c r="G597" s="680"/>
      <c r="H597" s="680"/>
      <c r="I597" s="680"/>
      <c r="J597" s="680"/>
      <c r="K597" s="680"/>
      <c r="L597" s="499">
        <f>ROUND((I589+J589+K589+L592)*3.93%,2)</f>
        <v>144.53</v>
      </c>
      <c r="M597" s="46">
        <f>L597</f>
        <v>144.53</v>
      </c>
      <c r="N597" s="658"/>
      <c r="O597" s="659"/>
      <c r="P597" s="660"/>
      <c r="Q597" s="681"/>
      <c r="R597" s="682"/>
      <c r="S597" s="683"/>
      <c r="T597" s="500">
        <f>H589*M597*N589*O589*P589</f>
        <v>0</v>
      </c>
      <c r="U597" s="47">
        <f>T597</f>
        <v>0</v>
      </c>
      <c r="V597" s="48"/>
      <c r="W597" s="504"/>
      <c r="X597" s="504"/>
      <c r="Y597" s="504"/>
      <c r="Z597" s="504"/>
      <c r="AA597" s="504"/>
      <c r="AB597" s="506"/>
      <c r="AC597" s="504"/>
      <c r="AD597" s="506">
        <f>T597</f>
        <v>0</v>
      </c>
    </row>
    <row r="598" spans="1:30" s="520" customFormat="1" ht="150" hidden="1" customHeight="1" thickBot="1">
      <c r="A598" s="492"/>
      <c r="B598" s="642">
        <v>1</v>
      </c>
      <c r="C598" s="511">
        <v>5</v>
      </c>
      <c r="D598" s="512"/>
      <c r="E598" s="493" t="s">
        <v>479</v>
      </c>
      <c r="F598" s="487" t="s">
        <v>480</v>
      </c>
      <c r="G598" s="645" t="s">
        <v>388</v>
      </c>
      <c r="H598" s="688">
        <v>0</v>
      </c>
      <c r="I598" s="494">
        <v>1284.1500000000001</v>
      </c>
      <c r="J598" s="494">
        <v>802.59000000000015</v>
      </c>
      <c r="K598" s="494">
        <v>1237.53</v>
      </c>
      <c r="L598" s="494">
        <f>SUM(L600:L606)</f>
        <v>711.9512400000001</v>
      </c>
      <c r="M598" s="33">
        <f>SUM(I598:L598)</f>
        <v>4036.2212400000008</v>
      </c>
      <c r="N598" s="501">
        <v>1</v>
      </c>
      <c r="O598" s="502">
        <v>1</v>
      </c>
      <c r="P598" s="37">
        <v>1</v>
      </c>
      <c r="Q598" s="34">
        <f>H598*I598*N598*O598*P598</f>
        <v>0</v>
      </c>
      <c r="R598" s="35">
        <f>H598*J598*N598*O598*P598</f>
        <v>0</v>
      </c>
      <c r="S598" s="36">
        <f>H598*K598*N598*O598*P598</f>
        <v>0</v>
      </c>
      <c r="T598" s="36">
        <f>H598*L598*N598*O598*P598</f>
        <v>0</v>
      </c>
      <c r="U598" s="37">
        <f>SUM(Q598:T598)</f>
        <v>0</v>
      </c>
      <c r="V598" s="38">
        <f>(Q598+R598+S598+T602+T603+T604+T606)*'Прогнозная стоимость РСС ИП '!$M$11+T601*'Прогнозная стоимость РСС ИП '!$M$10</f>
        <v>0</v>
      </c>
      <c r="W598" s="518">
        <f>T598</f>
        <v>0</v>
      </c>
      <c r="X598" s="518">
        <f>U598</f>
        <v>0</v>
      </c>
      <c r="Y598" s="518">
        <f>V598</f>
        <v>0</v>
      </c>
      <c r="Z598" s="519"/>
      <c r="AA598" s="519"/>
      <c r="AB598" s="519"/>
      <c r="AC598" s="519"/>
      <c r="AD598" s="519"/>
    </row>
    <row r="599" spans="1:30" s="505" customFormat="1" ht="41.25" hidden="1" customHeight="1">
      <c r="A599" s="492"/>
      <c r="B599" s="643"/>
      <c r="C599" s="513"/>
      <c r="D599" s="514"/>
      <c r="E599" s="495"/>
      <c r="F599" s="496"/>
      <c r="G599" s="646"/>
      <c r="H599" s="688"/>
      <c r="I599" s="649"/>
      <c r="J599" s="650"/>
      <c r="K599" s="650"/>
      <c r="L599" s="650"/>
      <c r="M599" s="651"/>
      <c r="N599" s="652"/>
      <c r="O599" s="653"/>
      <c r="P599" s="654"/>
      <c r="Q599" s="661"/>
      <c r="R599" s="662"/>
      <c r="S599" s="662"/>
      <c r="T599" s="662"/>
      <c r="U599" s="663"/>
      <c r="V599" s="40"/>
      <c r="W599" s="504"/>
      <c r="X599" s="504"/>
      <c r="Y599" s="504"/>
      <c r="Z599" s="504"/>
      <c r="AA599" s="504"/>
      <c r="AB599" s="504"/>
      <c r="AC599" s="504"/>
      <c r="AD599" s="504"/>
    </row>
    <row r="600" spans="1:30" s="505" customFormat="1" ht="41.25" hidden="1" customHeight="1">
      <c r="A600" s="492"/>
      <c r="B600" s="643"/>
      <c r="C600" s="513"/>
      <c r="D600" s="514"/>
      <c r="E600" s="664" t="s">
        <v>29</v>
      </c>
      <c r="F600" s="665"/>
      <c r="G600" s="665"/>
      <c r="H600" s="665"/>
      <c r="I600" s="665"/>
      <c r="J600" s="665"/>
      <c r="K600" s="665"/>
      <c r="L600" s="665"/>
      <c r="M600" s="666"/>
      <c r="N600" s="655"/>
      <c r="O600" s="656"/>
      <c r="P600" s="657"/>
      <c r="Q600" s="667"/>
      <c r="R600" s="668"/>
      <c r="S600" s="668"/>
      <c r="T600" s="668"/>
      <c r="U600" s="669"/>
      <c r="V600" s="42"/>
      <c r="W600" s="504"/>
      <c r="X600" s="504"/>
      <c r="Y600" s="504"/>
      <c r="Z600" s="504"/>
      <c r="AA600" s="504"/>
      <c r="AB600" s="504"/>
      <c r="AC600" s="504"/>
      <c r="AD600" s="504"/>
    </row>
    <row r="601" spans="1:30" s="505" customFormat="1" ht="41.25" hidden="1" customHeight="1">
      <c r="A601" s="492"/>
      <c r="B601" s="643"/>
      <c r="C601" s="513">
        <v>55</v>
      </c>
      <c r="D601" s="514"/>
      <c r="E601" s="670" t="s">
        <v>30</v>
      </c>
      <c r="F601" s="670"/>
      <c r="G601" s="670"/>
      <c r="H601" s="670"/>
      <c r="I601" s="670"/>
      <c r="J601" s="670"/>
      <c r="K601" s="670"/>
      <c r="L601" s="498">
        <v>377.76124000000004</v>
      </c>
      <c r="M601" s="459">
        <f>L601</f>
        <v>377.76124000000004</v>
      </c>
      <c r="N601" s="655"/>
      <c r="O601" s="656"/>
      <c r="P601" s="657"/>
      <c r="Q601" s="671"/>
      <c r="R601" s="672"/>
      <c r="S601" s="673"/>
      <c r="T601" s="457">
        <f>H598*M601*N598*O598*P598</f>
        <v>0</v>
      </c>
      <c r="U601" s="458">
        <f>T601</f>
        <v>0</v>
      </c>
      <c r="V601" s="42"/>
      <c r="W601" s="503"/>
      <c r="X601" s="504"/>
      <c r="Y601" s="504"/>
      <c r="Z601" s="503">
        <f>T601</f>
        <v>0</v>
      </c>
      <c r="AA601" s="504"/>
      <c r="AB601" s="504"/>
      <c r="AC601" s="504"/>
      <c r="AD601" s="504"/>
    </row>
    <row r="602" spans="1:30" s="505" customFormat="1" ht="41.25" hidden="1" customHeight="1">
      <c r="A602" s="492"/>
      <c r="B602" s="643"/>
      <c r="C602" s="513"/>
      <c r="D602" s="514"/>
      <c r="E602" s="670" t="s">
        <v>31</v>
      </c>
      <c r="F602" s="670"/>
      <c r="G602" s="670"/>
      <c r="H602" s="670"/>
      <c r="I602" s="670"/>
      <c r="J602" s="670"/>
      <c r="K602" s="670"/>
      <c r="L602" s="498">
        <f>ROUND((I598+J598+K598)*2.14%,2)</f>
        <v>71.14</v>
      </c>
      <c r="M602" s="459">
        <f>L602</f>
        <v>71.14</v>
      </c>
      <c r="N602" s="655"/>
      <c r="O602" s="656"/>
      <c r="P602" s="657"/>
      <c r="Q602" s="671"/>
      <c r="R602" s="672"/>
      <c r="S602" s="673"/>
      <c r="T602" s="457">
        <f>H598*M602*N598*O598*P598</f>
        <v>0</v>
      </c>
      <c r="U602" s="458">
        <f>T602</f>
        <v>0</v>
      </c>
      <c r="V602" s="42"/>
      <c r="W602" s="504"/>
      <c r="X602" s="503"/>
      <c r="Y602" s="504"/>
      <c r="Z602" s="504"/>
      <c r="AA602" s="503">
        <f>T602</f>
        <v>0</v>
      </c>
      <c r="AB602" s="504"/>
      <c r="AC602" s="504"/>
      <c r="AD602" s="504"/>
    </row>
    <row r="603" spans="1:30" s="505" customFormat="1" ht="41.25" hidden="1" customHeight="1">
      <c r="A603" s="492"/>
      <c r="B603" s="643"/>
      <c r="C603" s="515"/>
      <c r="D603" s="514"/>
      <c r="E603" s="670" t="s">
        <v>376</v>
      </c>
      <c r="F603" s="670"/>
      <c r="G603" s="670"/>
      <c r="H603" s="670"/>
      <c r="I603" s="670"/>
      <c r="J603" s="670"/>
      <c r="K603" s="670"/>
      <c r="L603" s="498">
        <f>ROUND((I598+J598+K598+L601+L602+L606)*3%,2)</f>
        <v>117.56</v>
      </c>
      <c r="M603" s="459">
        <f>L603</f>
        <v>117.56</v>
      </c>
      <c r="N603" s="655"/>
      <c r="O603" s="656"/>
      <c r="P603" s="657"/>
      <c r="Q603" s="671"/>
      <c r="R603" s="672"/>
      <c r="S603" s="673"/>
      <c r="T603" s="457">
        <f>H598*M603*N598*O598*P598</f>
        <v>0</v>
      </c>
      <c r="U603" s="458">
        <f>T603</f>
        <v>0</v>
      </c>
      <c r="V603" s="42"/>
      <c r="W603" s="504"/>
      <c r="X603" s="504"/>
      <c r="Y603" s="503"/>
      <c r="Z603" s="504"/>
      <c r="AA603" s="504"/>
      <c r="AB603" s="503">
        <f>T603</f>
        <v>0</v>
      </c>
      <c r="AC603" s="504"/>
      <c r="AD603" s="504"/>
    </row>
    <row r="604" spans="1:30" s="505" customFormat="1" ht="54.75" hidden="1" customHeight="1">
      <c r="A604" s="492"/>
      <c r="B604" s="643"/>
      <c r="C604" s="515"/>
      <c r="D604" s="514"/>
      <c r="E604" s="670" t="s">
        <v>377</v>
      </c>
      <c r="F604" s="670"/>
      <c r="G604" s="670"/>
      <c r="H604" s="670"/>
      <c r="I604" s="670"/>
      <c r="J604" s="670"/>
      <c r="K604" s="670"/>
      <c r="L604" s="498">
        <f>1831.92124-K598-L601-L602-L606</f>
        <v>0</v>
      </c>
      <c r="M604" s="459">
        <f>L604</f>
        <v>0</v>
      </c>
      <c r="N604" s="655"/>
      <c r="O604" s="656"/>
      <c r="P604" s="657"/>
      <c r="Q604" s="671"/>
      <c r="R604" s="672"/>
      <c r="S604" s="673"/>
      <c r="T604" s="457">
        <f>H598*M604*N598*O598*P598</f>
        <v>0</v>
      </c>
      <c r="U604" s="458">
        <f>T604</f>
        <v>0</v>
      </c>
      <c r="V604" s="42"/>
      <c r="W604" s="504"/>
      <c r="X604" s="504"/>
      <c r="Y604" s="504"/>
      <c r="Z604" s="506"/>
      <c r="AA604" s="504"/>
      <c r="AB604" s="504"/>
      <c r="AC604" s="506">
        <f>T604</f>
        <v>0</v>
      </c>
      <c r="AD604" s="504"/>
    </row>
    <row r="605" spans="1:30" s="505" customFormat="1" ht="45" hidden="1" customHeight="1">
      <c r="A605" s="492"/>
      <c r="B605" s="643"/>
      <c r="C605" s="515"/>
      <c r="D605" s="514"/>
      <c r="E605" s="674"/>
      <c r="F605" s="675"/>
      <c r="G605" s="675"/>
      <c r="H605" s="675"/>
      <c r="I605" s="675"/>
      <c r="J605" s="675"/>
      <c r="K605" s="675"/>
      <c r="L605" s="675"/>
      <c r="M605" s="676"/>
      <c r="N605" s="655"/>
      <c r="O605" s="656"/>
      <c r="P605" s="657"/>
      <c r="Q605" s="677"/>
      <c r="R605" s="678"/>
      <c r="S605" s="678"/>
      <c r="T605" s="678"/>
      <c r="U605" s="679"/>
      <c r="V605" s="45"/>
      <c r="W605" s="504"/>
      <c r="X605" s="504"/>
      <c r="Y605" s="504"/>
      <c r="Z605" s="504"/>
      <c r="AA605" s="506"/>
      <c r="AB605" s="504"/>
      <c r="AC605" s="504"/>
      <c r="AD605" s="504"/>
    </row>
    <row r="606" spans="1:30" s="505" customFormat="1" ht="53.25" hidden="1" customHeight="1" thickBot="1">
      <c r="A606" s="492"/>
      <c r="B606" s="644"/>
      <c r="C606" s="516"/>
      <c r="D606" s="517"/>
      <c r="E606" s="680" t="s">
        <v>369</v>
      </c>
      <c r="F606" s="680" t="s">
        <v>306</v>
      </c>
      <c r="G606" s="680"/>
      <c r="H606" s="680"/>
      <c r="I606" s="680"/>
      <c r="J606" s="680"/>
      <c r="K606" s="680"/>
      <c r="L606" s="499">
        <f>ROUND((I598+J598+K598+L601)*3.93%,2)</f>
        <v>145.49</v>
      </c>
      <c r="M606" s="46">
        <f>L606</f>
        <v>145.49</v>
      </c>
      <c r="N606" s="658"/>
      <c r="O606" s="659"/>
      <c r="P606" s="660"/>
      <c r="Q606" s="681"/>
      <c r="R606" s="682"/>
      <c r="S606" s="683"/>
      <c r="T606" s="500">
        <f>H598*M606*N598*O598*P598</f>
        <v>0</v>
      </c>
      <c r="U606" s="47">
        <f>T606</f>
        <v>0</v>
      </c>
      <c r="V606" s="48"/>
      <c r="W606" s="504"/>
      <c r="X606" s="504"/>
      <c r="Y606" s="504"/>
      <c r="Z606" s="504"/>
      <c r="AA606" s="504"/>
      <c r="AB606" s="506"/>
      <c r="AC606" s="504"/>
      <c r="AD606" s="506">
        <f>T606</f>
        <v>0</v>
      </c>
    </row>
    <row r="607" spans="1:30" s="520" customFormat="1" ht="150" hidden="1" customHeight="1" thickBot="1">
      <c r="A607" s="492"/>
      <c r="B607" s="642">
        <v>1</v>
      </c>
      <c r="C607" s="511">
        <v>5</v>
      </c>
      <c r="D607" s="512"/>
      <c r="E607" s="493" t="s">
        <v>481</v>
      </c>
      <c r="F607" s="487" t="s">
        <v>482</v>
      </c>
      <c r="G607" s="645" t="s">
        <v>388</v>
      </c>
      <c r="H607" s="688">
        <v>0</v>
      </c>
      <c r="I607" s="494">
        <v>1317.72</v>
      </c>
      <c r="J607" s="494">
        <v>802.59000000000015</v>
      </c>
      <c r="K607" s="494">
        <v>1237.53</v>
      </c>
      <c r="L607" s="494">
        <f>SUM(L609:L615)</f>
        <v>715.12838000000011</v>
      </c>
      <c r="M607" s="33">
        <f>SUM(I607:L607)</f>
        <v>4072.9683800000003</v>
      </c>
      <c r="N607" s="501">
        <v>1</v>
      </c>
      <c r="O607" s="502">
        <v>1</v>
      </c>
      <c r="P607" s="37">
        <v>1</v>
      </c>
      <c r="Q607" s="34">
        <f>H607*I607*N607*O607*P607</f>
        <v>0</v>
      </c>
      <c r="R607" s="35">
        <f>H607*J607*N607*O607*P607</f>
        <v>0</v>
      </c>
      <c r="S607" s="36">
        <f>H607*K607*N607*O607*P607</f>
        <v>0</v>
      </c>
      <c r="T607" s="36">
        <f>H607*L607*N607*O607*P607</f>
        <v>0</v>
      </c>
      <c r="U607" s="37">
        <f>SUM(Q607:T607)</f>
        <v>0</v>
      </c>
      <c r="V607" s="38">
        <f>(Q607+R607+S607+T611+T612+T613+T615)*'Прогнозная стоимость РСС ИП '!$M$11+T610*'Прогнозная стоимость РСС ИП '!$M$10</f>
        <v>0</v>
      </c>
      <c r="W607" s="518">
        <f>T607</f>
        <v>0</v>
      </c>
      <c r="X607" s="518">
        <f>U607</f>
        <v>0</v>
      </c>
      <c r="Y607" s="518">
        <f>V607</f>
        <v>0</v>
      </c>
      <c r="Z607" s="519"/>
      <c r="AA607" s="519"/>
      <c r="AB607" s="519"/>
      <c r="AC607" s="519"/>
      <c r="AD607" s="519"/>
    </row>
    <row r="608" spans="1:30" s="505" customFormat="1" ht="41.25" hidden="1" customHeight="1">
      <c r="A608" s="492"/>
      <c r="B608" s="643"/>
      <c r="C608" s="513"/>
      <c r="D608" s="514"/>
      <c r="E608" s="495"/>
      <c r="F608" s="496"/>
      <c r="G608" s="646"/>
      <c r="H608" s="688"/>
      <c r="I608" s="649"/>
      <c r="J608" s="650"/>
      <c r="K608" s="650"/>
      <c r="L608" s="650"/>
      <c r="M608" s="651"/>
      <c r="N608" s="652"/>
      <c r="O608" s="653"/>
      <c r="P608" s="654"/>
      <c r="Q608" s="661"/>
      <c r="R608" s="662"/>
      <c r="S608" s="662"/>
      <c r="T608" s="662"/>
      <c r="U608" s="663"/>
      <c r="V608" s="40"/>
      <c r="W608" s="504"/>
      <c r="X608" s="504"/>
      <c r="Y608" s="504"/>
      <c r="Z608" s="504"/>
      <c r="AA608" s="504"/>
      <c r="AB608" s="504"/>
      <c r="AC608" s="504"/>
      <c r="AD608" s="504"/>
    </row>
    <row r="609" spans="1:30" s="505" customFormat="1" ht="41.25" hidden="1" customHeight="1">
      <c r="A609" s="492"/>
      <c r="B609" s="643"/>
      <c r="C609" s="513"/>
      <c r="D609" s="514"/>
      <c r="E609" s="664" t="s">
        <v>29</v>
      </c>
      <c r="F609" s="665"/>
      <c r="G609" s="665"/>
      <c r="H609" s="665"/>
      <c r="I609" s="665"/>
      <c r="J609" s="665"/>
      <c r="K609" s="665"/>
      <c r="L609" s="665"/>
      <c r="M609" s="666"/>
      <c r="N609" s="655"/>
      <c r="O609" s="656"/>
      <c r="P609" s="657"/>
      <c r="Q609" s="667"/>
      <c r="R609" s="668"/>
      <c r="S609" s="668"/>
      <c r="T609" s="668"/>
      <c r="U609" s="669"/>
      <c r="V609" s="42"/>
      <c r="W609" s="504"/>
      <c r="X609" s="504"/>
      <c r="Y609" s="504"/>
      <c r="Z609" s="504"/>
      <c r="AA609" s="504"/>
      <c r="AB609" s="504"/>
      <c r="AC609" s="504"/>
      <c r="AD609" s="504"/>
    </row>
    <row r="610" spans="1:30" s="505" customFormat="1" ht="41.25" hidden="1" customHeight="1">
      <c r="A610" s="492"/>
      <c r="B610" s="643"/>
      <c r="C610" s="513">
        <v>55</v>
      </c>
      <c r="D610" s="514"/>
      <c r="E610" s="670" t="s">
        <v>30</v>
      </c>
      <c r="F610" s="670"/>
      <c r="G610" s="670"/>
      <c r="H610" s="670"/>
      <c r="I610" s="670"/>
      <c r="J610" s="670"/>
      <c r="K610" s="670"/>
      <c r="L610" s="498">
        <v>377.82838000000004</v>
      </c>
      <c r="M610" s="459">
        <f>L610</f>
        <v>377.82838000000004</v>
      </c>
      <c r="N610" s="655"/>
      <c r="O610" s="656"/>
      <c r="P610" s="657"/>
      <c r="Q610" s="671"/>
      <c r="R610" s="672"/>
      <c r="S610" s="673"/>
      <c r="T610" s="457">
        <f>H607*M610*N607*O607*P607</f>
        <v>0</v>
      </c>
      <c r="U610" s="458">
        <f>T610</f>
        <v>0</v>
      </c>
      <c r="V610" s="42"/>
      <c r="W610" s="503"/>
      <c r="X610" s="504"/>
      <c r="Y610" s="504"/>
      <c r="Z610" s="503">
        <f>T610</f>
        <v>0</v>
      </c>
      <c r="AA610" s="504"/>
      <c r="AB610" s="504"/>
      <c r="AC610" s="504"/>
      <c r="AD610" s="504"/>
    </row>
    <row r="611" spans="1:30" s="505" customFormat="1" ht="41.25" hidden="1" customHeight="1">
      <c r="A611" s="492"/>
      <c r="B611" s="643"/>
      <c r="C611" s="513"/>
      <c r="D611" s="514"/>
      <c r="E611" s="670" t="s">
        <v>31</v>
      </c>
      <c r="F611" s="670"/>
      <c r="G611" s="670"/>
      <c r="H611" s="670"/>
      <c r="I611" s="670"/>
      <c r="J611" s="670"/>
      <c r="K611" s="670"/>
      <c r="L611" s="498">
        <f>ROUND((I607+J607+K607)*2.14%,2)</f>
        <v>71.86</v>
      </c>
      <c r="M611" s="459">
        <f>L611</f>
        <v>71.86</v>
      </c>
      <c r="N611" s="655"/>
      <c r="O611" s="656"/>
      <c r="P611" s="657"/>
      <c r="Q611" s="671"/>
      <c r="R611" s="672"/>
      <c r="S611" s="673"/>
      <c r="T611" s="457">
        <f>H607*M611*N607*O607*P607</f>
        <v>0</v>
      </c>
      <c r="U611" s="458">
        <f>T611</f>
        <v>0</v>
      </c>
      <c r="V611" s="42"/>
      <c r="W611" s="504"/>
      <c r="X611" s="503"/>
      <c r="Y611" s="504"/>
      <c r="Z611" s="504"/>
      <c r="AA611" s="503">
        <f>T611</f>
        <v>0</v>
      </c>
      <c r="AB611" s="504"/>
      <c r="AC611" s="504"/>
      <c r="AD611" s="504"/>
    </row>
    <row r="612" spans="1:30" s="505" customFormat="1" ht="41.25" hidden="1" customHeight="1">
      <c r="A612" s="492"/>
      <c r="B612" s="643"/>
      <c r="C612" s="515"/>
      <c r="D612" s="514"/>
      <c r="E612" s="670" t="s">
        <v>376</v>
      </c>
      <c r="F612" s="670"/>
      <c r="G612" s="670"/>
      <c r="H612" s="670"/>
      <c r="I612" s="670"/>
      <c r="J612" s="670"/>
      <c r="K612" s="670"/>
      <c r="L612" s="498">
        <f>ROUND((I607+J607+K607+L610+L611+L615)*3%,2)</f>
        <v>118.63</v>
      </c>
      <c r="M612" s="459">
        <f>L612</f>
        <v>118.63</v>
      </c>
      <c r="N612" s="655"/>
      <c r="O612" s="656"/>
      <c r="P612" s="657"/>
      <c r="Q612" s="671"/>
      <c r="R612" s="672"/>
      <c r="S612" s="673"/>
      <c r="T612" s="457">
        <f>H607*M612*N607*O607*P607</f>
        <v>0</v>
      </c>
      <c r="U612" s="458">
        <f>T612</f>
        <v>0</v>
      </c>
      <c r="V612" s="42"/>
      <c r="W612" s="504"/>
      <c r="X612" s="504"/>
      <c r="Y612" s="503"/>
      <c r="Z612" s="504"/>
      <c r="AA612" s="504"/>
      <c r="AB612" s="503">
        <f>T612</f>
        <v>0</v>
      </c>
      <c r="AC612" s="504"/>
      <c r="AD612" s="504"/>
    </row>
    <row r="613" spans="1:30" s="505" customFormat="1" ht="54.75" hidden="1" customHeight="1">
      <c r="A613" s="492"/>
      <c r="B613" s="643"/>
      <c r="C613" s="515"/>
      <c r="D613" s="514"/>
      <c r="E613" s="670" t="s">
        <v>377</v>
      </c>
      <c r="F613" s="670"/>
      <c r="G613" s="670"/>
      <c r="H613" s="670"/>
      <c r="I613" s="670"/>
      <c r="J613" s="670"/>
      <c r="K613" s="670"/>
      <c r="L613" s="498">
        <f>1834.02838-K607-L610-L611-L615</f>
        <v>0</v>
      </c>
      <c r="M613" s="459">
        <f>L613</f>
        <v>0</v>
      </c>
      <c r="N613" s="655"/>
      <c r="O613" s="656"/>
      <c r="P613" s="657"/>
      <c r="Q613" s="671"/>
      <c r="R613" s="672"/>
      <c r="S613" s="673"/>
      <c r="T613" s="457">
        <f>H607*M613*N607*O607*P607</f>
        <v>0</v>
      </c>
      <c r="U613" s="458">
        <f>T613</f>
        <v>0</v>
      </c>
      <c r="V613" s="42"/>
      <c r="W613" s="504"/>
      <c r="X613" s="504"/>
      <c r="Y613" s="504"/>
      <c r="Z613" s="506"/>
      <c r="AA613" s="504"/>
      <c r="AB613" s="504"/>
      <c r="AC613" s="506">
        <f>T613</f>
        <v>0</v>
      </c>
      <c r="AD613" s="504"/>
    </row>
    <row r="614" spans="1:30" s="505" customFormat="1" ht="45" hidden="1" customHeight="1">
      <c r="A614" s="492"/>
      <c r="B614" s="643"/>
      <c r="C614" s="515"/>
      <c r="D614" s="514"/>
      <c r="E614" s="674"/>
      <c r="F614" s="675"/>
      <c r="G614" s="675"/>
      <c r="H614" s="675"/>
      <c r="I614" s="675"/>
      <c r="J614" s="675"/>
      <c r="K614" s="675"/>
      <c r="L614" s="675"/>
      <c r="M614" s="676"/>
      <c r="N614" s="655"/>
      <c r="O614" s="656"/>
      <c r="P614" s="657"/>
      <c r="Q614" s="677"/>
      <c r="R614" s="678"/>
      <c r="S614" s="678"/>
      <c r="T614" s="678"/>
      <c r="U614" s="679"/>
      <c r="V614" s="45"/>
      <c r="W614" s="504"/>
      <c r="X614" s="504"/>
      <c r="Y614" s="504"/>
      <c r="Z614" s="504"/>
      <c r="AA614" s="506"/>
      <c r="AB614" s="504"/>
      <c r="AC614" s="504"/>
      <c r="AD614" s="504"/>
    </row>
    <row r="615" spans="1:30" s="505" customFormat="1" ht="53.25" hidden="1" customHeight="1" thickBot="1">
      <c r="A615" s="492"/>
      <c r="B615" s="644"/>
      <c r="C615" s="516"/>
      <c r="D615" s="517"/>
      <c r="E615" s="680" t="s">
        <v>369</v>
      </c>
      <c r="F615" s="680" t="s">
        <v>306</v>
      </c>
      <c r="G615" s="680"/>
      <c r="H615" s="680"/>
      <c r="I615" s="680"/>
      <c r="J615" s="680"/>
      <c r="K615" s="680"/>
      <c r="L615" s="499">
        <f>ROUND((I607+J607+K607+L610)*3.93%,2)</f>
        <v>146.81</v>
      </c>
      <c r="M615" s="46">
        <f>L615</f>
        <v>146.81</v>
      </c>
      <c r="N615" s="658"/>
      <c r="O615" s="659"/>
      <c r="P615" s="660"/>
      <c r="Q615" s="681"/>
      <c r="R615" s="682"/>
      <c r="S615" s="683"/>
      <c r="T615" s="500">
        <f>H607*M615*N607*O607*P607</f>
        <v>0</v>
      </c>
      <c r="U615" s="47">
        <f>T615</f>
        <v>0</v>
      </c>
      <c r="V615" s="48"/>
      <c r="W615" s="504"/>
      <c r="X615" s="504"/>
      <c r="Y615" s="504"/>
      <c r="Z615" s="504"/>
      <c r="AA615" s="504"/>
      <c r="AB615" s="506"/>
      <c r="AC615" s="504"/>
      <c r="AD615" s="506">
        <f>T615</f>
        <v>0</v>
      </c>
    </row>
    <row r="616" spans="1:30" s="520" customFormat="1" ht="150" hidden="1" customHeight="1" thickBot="1">
      <c r="A616" s="492"/>
      <c r="B616" s="642">
        <v>1</v>
      </c>
      <c r="C616" s="511">
        <v>5</v>
      </c>
      <c r="D616" s="512"/>
      <c r="E616" s="493" t="s">
        <v>483</v>
      </c>
      <c r="F616" s="487" t="s">
        <v>484</v>
      </c>
      <c r="G616" s="645" t="s">
        <v>388</v>
      </c>
      <c r="H616" s="688">
        <v>0</v>
      </c>
      <c r="I616" s="494">
        <v>1369.63</v>
      </c>
      <c r="J616" s="494">
        <v>802.59000000000015</v>
      </c>
      <c r="K616" s="494">
        <v>1237.53</v>
      </c>
      <c r="L616" s="494">
        <f>SUM(L618:L624)</f>
        <v>720.05219999999997</v>
      </c>
      <c r="M616" s="33">
        <f>SUM(I616:L616)</f>
        <v>4129.8022000000001</v>
      </c>
      <c r="N616" s="501">
        <v>1</v>
      </c>
      <c r="O616" s="502">
        <v>1</v>
      </c>
      <c r="P616" s="37">
        <v>1</v>
      </c>
      <c r="Q616" s="34">
        <f>H616*I616*N616*O616*P616</f>
        <v>0</v>
      </c>
      <c r="R616" s="35">
        <f>H616*J616*N616*O616*P616</f>
        <v>0</v>
      </c>
      <c r="S616" s="36">
        <f>H616*K616*N616*O616*P616</f>
        <v>0</v>
      </c>
      <c r="T616" s="36">
        <f>H616*L616*N616*O616*P616</f>
        <v>0</v>
      </c>
      <c r="U616" s="37">
        <f>SUM(Q616:T616)</f>
        <v>0</v>
      </c>
      <c r="V616" s="38">
        <f>(Q616+R616+S616+T620+T621+T622+T624)*'Прогнозная стоимость РСС ИП '!$M$11+T619*'Прогнозная стоимость РСС ИП '!$M$10</f>
        <v>0</v>
      </c>
      <c r="W616" s="518">
        <f>T616</f>
        <v>0</v>
      </c>
      <c r="X616" s="518">
        <f>U616</f>
        <v>0</v>
      </c>
      <c r="Y616" s="518">
        <f>V616</f>
        <v>0</v>
      </c>
      <c r="Z616" s="519"/>
      <c r="AA616" s="519"/>
      <c r="AB616" s="519"/>
      <c r="AC616" s="519"/>
      <c r="AD616" s="519"/>
    </row>
    <row r="617" spans="1:30" s="505" customFormat="1" ht="41.25" hidden="1" customHeight="1">
      <c r="A617" s="492"/>
      <c r="B617" s="643"/>
      <c r="C617" s="513"/>
      <c r="D617" s="514"/>
      <c r="E617" s="495"/>
      <c r="F617" s="496"/>
      <c r="G617" s="646"/>
      <c r="H617" s="688"/>
      <c r="I617" s="649"/>
      <c r="J617" s="650"/>
      <c r="K617" s="650"/>
      <c r="L617" s="650"/>
      <c r="M617" s="651"/>
      <c r="N617" s="652"/>
      <c r="O617" s="653"/>
      <c r="P617" s="654"/>
      <c r="Q617" s="661"/>
      <c r="R617" s="662"/>
      <c r="S617" s="662"/>
      <c r="T617" s="662"/>
      <c r="U617" s="663"/>
      <c r="V617" s="40"/>
      <c r="W617" s="504"/>
      <c r="X617" s="504"/>
      <c r="Y617" s="504"/>
      <c r="Z617" s="504"/>
      <c r="AA617" s="504"/>
      <c r="AB617" s="504"/>
      <c r="AC617" s="504"/>
      <c r="AD617" s="504"/>
    </row>
    <row r="618" spans="1:30" s="505" customFormat="1" ht="41.25" hidden="1" customHeight="1">
      <c r="A618" s="492"/>
      <c r="B618" s="643"/>
      <c r="C618" s="513"/>
      <c r="D618" s="514"/>
      <c r="E618" s="664" t="s">
        <v>29</v>
      </c>
      <c r="F618" s="665"/>
      <c r="G618" s="665"/>
      <c r="H618" s="665"/>
      <c r="I618" s="665"/>
      <c r="J618" s="665"/>
      <c r="K618" s="665"/>
      <c r="L618" s="665"/>
      <c r="M618" s="666"/>
      <c r="N618" s="655"/>
      <c r="O618" s="656"/>
      <c r="P618" s="657"/>
      <c r="Q618" s="667"/>
      <c r="R618" s="668"/>
      <c r="S618" s="668"/>
      <c r="T618" s="668"/>
      <c r="U618" s="669"/>
      <c r="V618" s="42"/>
      <c r="W618" s="504"/>
      <c r="X618" s="504"/>
      <c r="Y618" s="504"/>
      <c r="Z618" s="504"/>
      <c r="AA618" s="504"/>
      <c r="AB618" s="504"/>
      <c r="AC618" s="504"/>
      <c r="AD618" s="504"/>
    </row>
    <row r="619" spans="1:30" s="505" customFormat="1" ht="41.25" hidden="1" customHeight="1">
      <c r="A619" s="492"/>
      <c r="B619" s="643"/>
      <c r="C619" s="513">
        <v>55</v>
      </c>
      <c r="D619" s="514"/>
      <c r="E619" s="670" t="s">
        <v>30</v>
      </c>
      <c r="F619" s="670"/>
      <c r="G619" s="670"/>
      <c r="H619" s="670"/>
      <c r="I619" s="670"/>
      <c r="J619" s="670"/>
      <c r="K619" s="670"/>
      <c r="L619" s="498">
        <v>377.93220000000002</v>
      </c>
      <c r="M619" s="459">
        <f>L619</f>
        <v>377.93220000000002</v>
      </c>
      <c r="N619" s="655"/>
      <c r="O619" s="656"/>
      <c r="P619" s="657"/>
      <c r="Q619" s="671"/>
      <c r="R619" s="672"/>
      <c r="S619" s="673"/>
      <c r="T619" s="457">
        <f>H616*M619*N616*O616*P616</f>
        <v>0</v>
      </c>
      <c r="U619" s="458">
        <f>T619</f>
        <v>0</v>
      </c>
      <c r="V619" s="42"/>
      <c r="W619" s="503"/>
      <c r="X619" s="504"/>
      <c r="Y619" s="504"/>
      <c r="Z619" s="503">
        <f>T619</f>
        <v>0</v>
      </c>
      <c r="AA619" s="504"/>
      <c r="AB619" s="504"/>
      <c r="AC619" s="504"/>
      <c r="AD619" s="504"/>
    </row>
    <row r="620" spans="1:30" s="505" customFormat="1" ht="41.25" hidden="1" customHeight="1">
      <c r="A620" s="492"/>
      <c r="B620" s="643"/>
      <c r="C620" s="513"/>
      <c r="D620" s="514"/>
      <c r="E620" s="670" t="s">
        <v>31</v>
      </c>
      <c r="F620" s="670"/>
      <c r="G620" s="670"/>
      <c r="H620" s="670"/>
      <c r="I620" s="670"/>
      <c r="J620" s="670"/>
      <c r="K620" s="670"/>
      <c r="L620" s="498">
        <f>ROUND((I616+J616+K616)*2.14%,2)</f>
        <v>72.97</v>
      </c>
      <c r="M620" s="459">
        <f>L620</f>
        <v>72.97</v>
      </c>
      <c r="N620" s="655"/>
      <c r="O620" s="656"/>
      <c r="P620" s="657"/>
      <c r="Q620" s="671"/>
      <c r="R620" s="672"/>
      <c r="S620" s="673"/>
      <c r="T620" s="457">
        <f>H616*M620*N616*O616*P616</f>
        <v>0</v>
      </c>
      <c r="U620" s="458">
        <f>T620</f>
        <v>0</v>
      </c>
      <c r="V620" s="42"/>
      <c r="W620" s="504"/>
      <c r="X620" s="503"/>
      <c r="Y620" s="504"/>
      <c r="Z620" s="504"/>
      <c r="AA620" s="503">
        <f>T620</f>
        <v>0</v>
      </c>
      <c r="AB620" s="504"/>
      <c r="AC620" s="504"/>
      <c r="AD620" s="504"/>
    </row>
    <row r="621" spans="1:30" s="505" customFormat="1" ht="41.25" hidden="1" customHeight="1">
      <c r="A621" s="492"/>
      <c r="B621" s="643"/>
      <c r="C621" s="515"/>
      <c r="D621" s="514"/>
      <c r="E621" s="670" t="s">
        <v>376</v>
      </c>
      <c r="F621" s="670"/>
      <c r="G621" s="670"/>
      <c r="H621" s="670"/>
      <c r="I621" s="670"/>
      <c r="J621" s="670"/>
      <c r="K621" s="670"/>
      <c r="L621" s="498">
        <f>ROUND((I616+J616+K616+L619+L620+L624)*3%,2)</f>
        <v>120.29</v>
      </c>
      <c r="M621" s="459">
        <f>L621</f>
        <v>120.29</v>
      </c>
      <c r="N621" s="655"/>
      <c r="O621" s="656"/>
      <c r="P621" s="657"/>
      <c r="Q621" s="671"/>
      <c r="R621" s="672"/>
      <c r="S621" s="673"/>
      <c r="T621" s="457">
        <f>H616*M621*N616*O616*P616</f>
        <v>0</v>
      </c>
      <c r="U621" s="458">
        <f>T621</f>
        <v>0</v>
      </c>
      <c r="V621" s="42"/>
      <c r="W621" s="504"/>
      <c r="X621" s="504"/>
      <c r="Y621" s="503"/>
      <c r="Z621" s="504"/>
      <c r="AA621" s="504"/>
      <c r="AB621" s="503">
        <f>T621</f>
        <v>0</v>
      </c>
      <c r="AC621" s="504"/>
      <c r="AD621" s="504"/>
    </row>
    <row r="622" spans="1:30" s="505" customFormat="1" ht="54.75" hidden="1" customHeight="1">
      <c r="A622" s="492"/>
      <c r="B622" s="643"/>
      <c r="C622" s="515"/>
      <c r="D622" s="514"/>
      <c r="E622" s="670" t="s">
        <v>377</v>
      </c>
      <c r="F622" s="670"/>
      <c r="G622" s="670"/>
      <c r="H622" s="670"/>
      <c r="I622" s="670"/>
      <c r="J622" s="670"/>
      <c r="K622" s="670"/>
      <c r="L622" s="498">
        <f>1837.2922-K616-L619-L620-L624</f>
        <v>0</v>
      </c>
      <c r="M622" s="459">
        <f>L622</f>
        <v>0</v>
      </c>
      <c r="N622" s="655"/>
      <c r="O622" s="656"/>
      <c r="P622" s="657"/>
      <c r="Q622" s="671"/>
      <c r="R622" s="672"/>
      <c r="S622" s="673"/>
      <c r="T622" s="457">
        <f>H616*M622*N616*O616*P616</f>
        <v>0</v>
      </c>
      <c r="U622" s="458">
        <f>T622</f>
        <v>0</v>
      </c>
      <c r="V622" s="42"/>
      <c r="W622" s="504"/>
      <c r="X622" s="504"/>
      <c r="Y622" s="504"/>
      <c r="Z622" s="506"/>
      <c r="AA622" s="504"/>
      <c r="AB622" s="504"/>
      <c r="AC622" s="506">
        <f>T622</f>
        <v>0</v>
      </c>
      <c r="AD622" s="504"/>
    </row>
    <row r="623" spans="1:30" s="505" customFormat="1" ht="45" hidden="1" customHeight="1">
      <c r="A623" s="492"/>
      <c r="B623" s="643"/>
      <c r="C623" s="515"/>
      <c r="D623" s="514"/>
      <c r="E623" s="674"/>
      <c r="F623" s="675"/>
      <c r="G623" s="675"/>
      <c r="H623" s="675"/>
      <c r="I623" s="675"/>
      <c r="J623" s="675"/>
      <c r="K623" s="675"/>
      <c r="L623" s="675"/>
      <c r="M623" s="676"/>
      <c r="N623" s="655"/>
      <c r="O623" s="656"/>
      <c r="P623" s="657"/>
      <c r="Q623" s="677"/>
      <c r="R623" s="678"/>
      <c r="S623" s="678"/>
      <c r="T623" s="678"/>
      <c r="U623" s="679"/>
      <c r="V623" s="45"/>
      <c r="W623" s="504"/>
      <c r="X623" s="504"/>
      <c r="Y623" s="504"/>
      <c r="Z623" s="504"/>
      <c r="AA623" s="506"/>
      <c r="AB623" s="504"/>
      <c r="AC623" s="504"/>
      <c r="AD623" s="504"/>
    </row>
    <row r="624" spans="1:30" s="505" customFormat="1" ht="53.25" hidden="1" customHeight="1" thickBot="1">
      <c r="A624" s="492"/>
      <c r="B624" s="644"/>
      <c r="C624" s="516"/>
      <c r="D624" s="517"/>
      <c r="E624" s="680" t="s">
        <v>369</v>
      </c>
      <c r="F624" s="680" t="s">
        <v>306</v>
      </c>
      <c r="G624" s="680"/>
      <c r="H624" s="680"/>
      <c r="I624" s="680"/>
      <c r="J624" s="680"/>
      <c r="K624" s="680"/>
      <c r="L624" s="499">
        <f>ROUND((I616+J616+K616+L619)*3.93%,2)</f>
        <v>148.86000000000001</v>
      </c>
      <c r="M624" s="46">
        <f>L624</f>
        <v>148.86000000000001</v>
      </c>
      <c r="N624" s="658"/>
      <c r="O624" s="659"/>
      <c r="P624" s="660"/>
      <c r="Q624" s="681"/>
      <c r="R624" s="682"/>
      <c r="S624" s="683"/>
      <c r="T624" s="500">
        <f>H616*M624*N616*O616*P616</f>
        <v>0</v>
      </c>
      <c r="U624" s="47">
        <f>T624</f>
        <v>0</v>
      </c>
      <c r="V624" s="48"/>
      <c r="W624" s="504"/>
      <c r="X624" s="504"/>
      <c r="Y624" s="504"/>
      <c r="Z624" s="504"/>
      <c r="AA624" s="504"/>
      <c r="AB624" s="506"/>
      <c r="AC624" s="504"/>
      <c r="AD624" s="506">
        <f>T624</f>
        <v>0</v>
      </c>
    </row>
    <row r="625" spans="1:30" s="520" customFormat="1" ht="150" hidden="1" customHeight="1" thickBot="1">
      <c r="A625" s="492"/>
      <c r="B625" s="642">
        <v>1</v>
      </c>
      <c r="C625" s="511">
        <v>5</v>
      </c>
      <c r="D625" s="512"/>
      <c r="E625" s="493" t="s">
        <v>485</v>
      </c>
      <c r="F625" s="487" t="s">
        <v>486</v>
      </c>
      <c r="G625" s="645" t="s">
        <v>388</v>
      </c>
      <c r="H625" s="688">
        <v>0</v>
      </c>
      <c r="I625" s="494">
        <v>1516.18</v>
      </c>
      <c r="J625" s="494">
        <v>802.59000000000015</v>
      </c>
      <c r="K625" s="494">
        <v>1237.53</v>
      </c>
      <c r="L625" s="494">
        <f>SUM(L627:L633)</f>
        <v>733.9153</v>
      </c>
      <c r="M625" s="33">
        <f>SUM(I625:L625)</f>
        <v>4290.2152999999998</v>
      </c>
      <c r="N625" s="501">
        <v>1</v>
      </c>
      <c r="O625" s="502">
        <v>1</v>
      </c>
      <c r="P625" s="37">
        <v>1</v>
      </c>
      <c r="Q625" s="34">
        <f>H625*I625*N625*O625*P625</f>
        <v>0</v>
      </c>
      <c r="R625" s="35">
        <f>H625*J625*N625*O625*P625</f>
        <v>0</v>
      </c>
      <c r="S625" s="36">
        <f>H625*K625*N625*O625*P625</f>
        <v>0</v>
      </c>
      <c r="T625" s="36">
        <f>H625*L625*N625*O625*P625</f>
        <v>0</v>
      </c>
      <c r="U625" s="37">
        <f>SUM(Q625:T625)</f>
        <v>0</v>
      </c>
      <c r="V625" s="38">
        <f>(Q625+R625+S625+T629+T630+T631+T633)*'Прогнозная стоимость РСС ИП '!$M$11+T628*'Прогнозная стоимость РСС ИП '!$M$10</f>
        <v>0</v>
      </c>
      <c r="W625" s="518">
        <f>T625</f>
        <v>0</v>
      </c>
      <c r="X625" s="518">
        <f>U625</f>
        <v>0</v>
      </c>
      <c r="Y625" s="518">
        <f>V625</f>
        <v>0</v>
      </c>
      <c r="Z625" s="519"/>
      <c r="AA625" s="519"/>
      <c r="AB625" s="519"/>
      <c r="AC625" s="519"/>
      <c r="AD625" s="519"/>
    </row>
    <row r="626" spans="1:30" s="505" customFormat="1" ht="41.25" hidden="1" customHeight="1">
      <c r="A626" s="492"/>
      <c r="B626" s="643"/>
      <c r="C626" s="513"/>
      <c r="D626" s="514"/>
      <c r="E626" s="495"/>
      <c r="F626" s="496"/>
      <c r="G626" s="646"/>
      <c r="H626" s="688"/>
      <c r="I626" s="649"/>
      <c r="J626" s="650"/>
      <c r="K626" s="650"/>
      <c r="L626" s="650"/>
      <c r="M626" s="651"/>
      <c r="N626" s="652"/>
      <c r="O626" s="653"/>
      <c r="P626" s="654"/>
      <c r="Q626" s="661"/>
      <c r="R626" s="662"/>
      <c r="S626" s="662"/>
      <c r="T626" s="662"/>
      <c r="U626" s="663"/>
      <c r="V626" s="40"/>
      <c r="W626" s="504"/>
      <c r="X626" s="504"/>
      <c r="Y626" s="504"/>
      <c r="Z626" s="504"/>
      <c r="AA626" s="504"/>
      <c r="AB626" s="504"/>
      <c r="AC626" s="504"/>
      <c r="AD626" s="504"/>
    </row>
    <row r="627" spans="1:30" s="505" customFormat="1" ht="41.25" hidden="1" customHeight="1">
      <c r="A627" s="492"/>
      <c r="B627" s="643"/>
      <c r="C627" s="513"/>
      <c r="D627" s="514"/>
      <c r="E627" s="664" t="s">
        <v>29</v>
      </c>
      <c r="F627" s="665"/>
      <c r="G627" s="665"/>
      <c r="H627" s="665"/>
      <c r="I627" s="665"/>
      <c r="J627" s="665"/>
      <c r="K627" s="665"/>
      <c r="L627" s="665"/>
      <c r="M627" s="666"/>
      <c r="N627" s="655"/>
      <c r="O627" s="656"/>
      <c r="P627" s="657"/>
      <c r="Q627" s="667"/>
      <c r="R627" s="668"/>
      <c r="S627" s="668"/>
      <c r="T627" s="668"/>
      <c r="U627" s="669"/>
      <c r="V627" s="42"/>
      <c r="W627" s="504"/>
      <c r="X627" s="504"/>
      <c r="Y627" s="504"/>
      <c r="Z627" s="504"/>
      <c r="AA627" s="504"/>
      <c r="AB627" s="504"/>
      <c r="AC627" s="504"/>
      <c r="AD627" s="504"/>
    </row>
    <row r="628" spans="1:30" s="505" customFormat="1" ht="41.25" hidden="1" customHeight="1">
      <c r="A628" s="492"/>
      <c r="B628" s="643"/>
      <c r="C628" s="513">
        <v>55</v>
      </c>
      <c r="D628" s="514"/>
      <c r="E628" s="670" t="s">
        <v>30</v>
      </c>
      <c r="F628" s="670"/>
      <c r="G628" s="670"/>
      <c r="H628" s="670"/>
      <c r="I628" s="670"/>
      <c r="J628" s="670"/>
      <c r="K628" s="670"/>
      <c r="L628" s="498">
        <v>378.2253</v>
      </c>
      <c r="M628" s="459">
        <f>L628</f>
        <v>378.2253</v>
      </c>
      <c r="N628" s="655"/>
      <c r="O628" s="656"/>
      <c r="P628" s="657"/>
      <c r="Q628" s="671"/>
      <c r="R628" s="672"/>
      <c r="S628" s="673"/>
      <c r="T628" s="457">
        <f>H625*M628*N625*O625*P625</f>
        <v>0</v>
      </c>
      <c r="U628" s="458">
        <f>T628</f>
        <v>0</v>
      </c>
      <c r="V628" s="42"/>
      <c r="W628" s="503"/>
      <c r="X628" s="504"/>
      <c r="Y628" s="504"/>
      <c r="Z628" s="503">
        <f>T628</f>
        <v>0</v>
      </c>
      <c r="AA628" s="504"/>
      <c r="AB628" s="504"/>
      <c r="AC628" s="504"/>
      <c r="AD628" s="504"/>
    </row>
    <row r="629" spans="1:30" s="505" customFormat="1" ht="41.25" hidden="1" customHeight="1">
      <c r="A629" s="492"/>
      <c r="B629" s="643"/>
      <c r="C629" s="513"/>
      <c r="D629" s="514"/>
      <c r="E629" s="670" t="s">
        <v>31</v>
      </c>
      <c r="F629" s="670"/>
      <c r="G629" s="670"/>
      <c r="H629" s="670"/>
      <c r="I629" s="670"/>
      <c r="J629" s="670"/>
      <c r="K629" s="670"/>
      <c r="L629" s="498">
        <f>ROUND((I625+J625+K625)*2.14%,2)</f>
        <v>76.099999999999994</v>
      </c>
      <c r="M629" s="459">
        <f>L629</f>
        <v>76.099999999999994</v>
      </c>
      <c r="N629" s="655"/>
      <c r="O629" s="656"/>
      <c r="P629" s="657"/>
      <c r="Q629" s="671"/>
      <c r="R629" s="672"/>
      <c r="S629" s="673"/>
      <c r="T629" s="457">
        <f>H625*M629*N625*O625*P625</f>
        <v>0</v>
      </c>
      <c r="U629" s="458">
        <f>T629</f>
        <v>0</v>
      </c>
      <c r="V629" s="42"/>
      <c r="W629" s="504"/>
      <c r="X629" s="503"/>
      <c r="Y629" s="504"/>
      <c r="Z629" s="504"/>
      <c r="AA629" s="503">
        <f>T629</f>
        <v>0</v>
      </c>
      <c r="AB629" s="504"/>
      <c r="AC629" s="504"/>
      <c r="AD629" s="504"/>
    </row>
    <row r="630" spans="1:30" s="505" customFormat="1" ht="41.25" hidden="1" customHeight="1">
      <c r="A630" s="492"/>
      <c r="B630" s="643"/>
      <c r="C630" s="515"/>
      <c r="D630" s="514"/>
      <c r="E630" s="670" t="s">
        <v>376</v>
      </c>
      <c r="F630" s="670"/>
      <c r="G630" s="670"/>
      <c r="H630" s="670"/>
      <c r="I630" s="670"/>
      <c r="J630" s="670"/>
      <c r="K630" s="670"/>
      <c r="L630" s="498">
        <f>ROUND((I625+J625+K625+L628+L629+L633)*3%,2)</f>
        <v>124.96</v>
      </c>
      <c r="M630" s="459">
        <f>L630</f>
        <v>124.96</v>
      </c>
      <c r="N630" s="655"/>
      <c r="O630" s="656"/>
      <c r="P630" s="657"/>
      <c r="Q630" s="671"/>
      <c r="R630" s="672"/>
      <c r="S630" s="673"/>
      <c r="T630" s="457">
        <f>H625*M630*N625*O625*P625</f>
        <v>0</v>
      </c>
      <c r="U630" s="458">
        <f>T630</f>
        <v>0</v>
      </c>
      <c r="V630" s="42"/>
      <c r="W630" s="504"/>
      <c r="X630" s="504"/>
      <c r="Y630" s="503"/>
      <c r="Z630" s="504"/>
      <c r="AA630" s="504"/>
      <c r="AB630" s="503">
        <f>T630</f>
        <v>0</v>
      </c>
      <c r="AC630" s="504"/>
      <c r="AD630" s="504"/>
    </row>
    <row r="631" spans="1:30" s="505" customFormat="1" ht="54.75" hidden="1" customHeight="1">
      <c r="A631" s="492"/>
      <c r="B631" s="643"/>
      <c r="C631" s="515"/>
      <c r="D631" s="514"/>
      <c r="E631" s="670" t="s">
        <v>377</v>
      </c>
      <c r="F631" s="670"/>
      <c r="G631" s="670"/>
      <c r="H631" s="670"/>
      <c r="I631" s="670"/>
      <c r="J631" s="670"/>
      <c r="K631" s="670"/>
      <c r="L631" s="498">
        <f>1846.4853-K625-L628-L629-L633</f>
        <v>0</v>
      </c>
      <c r="M631" s="459">
        <f>L631</f>
        <v>0</v>
      </c>
      <c r="N631" s="655"/>
      <c r="O631" s="656"/>
      <c r="P631" s="657"/>
      <c r="Q631" s="671"/>
      <c r="R631" s="672"/>
      <c r="S631" s="673"/>
      <c r="T631" s="457">
        <f>H625*M631*N625*O625*P625</f>
        <v>0</v>
      </c>
      <c r="U631" s="458">
        <f>T631</f>
        <v>0</v>
      </c>
      <c r="V631" s="42"/>
      <c r="W631" s="504"/>
      <c r="X631" s="504"/>
      <c r="Y631" s="504"/>
      <c r="Z631" s="506"/>
      <c r="AA631" s="504"/>
      <c r="AB631" s="504"/>
      <c r="AC631" s="506">
        <f>T631</f>
        <v>0</v>
      </c>
      <c r="AD631" s="504"/>
    </row>
    <row r="632" spans="1:30" s="505" customFormat="1" ht="45" hidden="1" customHeight="1">
      <c r="A632" s="492"/>
      <c r="B632" s="643"/>
      <c r="C632" s="515"/>
      <c r="D632" s="514"/>
      <c r="E632" s="674"/>
      <c r="F632" s="675"/>
      <c r="G632" s="675"/>
      <c r="H632" s="675"/>
      <c r="I632" s="675"/>
      <c r="J632" s="675"/>
      <c r="K632" s="675"/>
      <c r="L632" s="675"/>
      <c r="M632" s="676"/>
      <c r="N632" s="655"/>
      <c r="O632" s="656"/>
      <c r="P632" s="657"/>
      <c r="Q632" s="677"/>
      <c r="R632" s="678"/>
      <c r="S632" s="678"/>
      <c r="T632" s="678"/>
      <c r="U632" s="679"/>
      <c r="V632" s="45"/>
      <c r="W632" s="504"/>
      <c r="X632" s="504"/>
      <c r="Y632" s="504"/>
      <c r="Z632" s="504"/>
      <c r="AA632" s="506"/>
      <c r="AB632" s="504"/>
      <c r="AC632" s="504"/>
      <c r="AD632" s="504"/>
    </row>
    <row r="633" spans="1:30" s="505" customFormat="1" ht="53.25" hidden="1" customHeight="1" thickBot="1">
      <c r="A633" s="492"/>
      <c r="B633" s="644"/>
      <c r="C633" s="516"/>
      <c r="D633" s="517"/>
      <c r="E633" s="680" t="s">
        <v>369</v>
      </c>
      <c r="F633" s="680" t="s">
        <v>306</v>
      </c>
      <c r="G633" s="680"/>
      <c r="H633" s="680"/>
      <c r="I633" s="680"/>
      <c r="J633" s="680"/>
      <c r="K633" s="680"/>
      <c r="L633" s="499">
        <f>ROUND((I625+J625+K625+L628)*3.93%,2)</f>
        <v>154.63</v>
      </c>
      <c r="M633" s="46">
        <f>L633</f>
        <v>154.63</v>
      </c>
      <c r="N633" s="658"/>
      <c r="O633" s="659"/>
      <c r="P633" s="660"/>
      <c r="Q633" s="681"/>
      <c r="R633" s="682"/>
      <c r="S633" s="683"/>
      <c r="T633" s="500">
        <f>H625*M633*N625*O625*P625</f>
        <v>0</v>
      </c>
      <c r="U633" s="47">
        <f>T633</f>
        <v>0</v>
      </c>
      <c r="V633" s="48"/>
      <c r="W633" s="504"/>
      <c r="X633" s="504"/>
      <c r="Y633" s="504"/>
      <c r="Z633" s="504"/>
      <c r="AA633" s="504"/>
      <c r="AB633" s="506"/>
      <c r="AC633" s="504"/>
      <c r="AD633" s="506">
        <f>T633</f>
        <v>0</v>
      </c>
    </row>
    <row r="634" spans="1:30" s="520" customFormat="1" ht="150" hidden="1" customHeight="1" thickBot="1">
      <c r="A634" s="492"/>
      <c r="B634" s="642">
        <v>1</v>
      </c>
      <c r="C634" s="511">
        <v>5</v>
      </c>
      <c r="D634" s="512"/>
      <c r="E634" s="493" t="s">
        <v>487</v>
      </c>
      <c r="F634" s="487" t="s">
        <v>488</v>
      </c>
      <c r="G634" s="645" t="s">
        <v>388</v>
      </c>
      <c r="H634" s="688">
        <v>0</v>
      </c>
      <c r="I634" s="494">
        <v>1794.37</v>
      </c>
      <c r="J634" s="494">
        <v>802.59000000000015</v>
      </c>
      <c r="K634" s="494">
        <v>1237.53</v>
      </c>
      <c r="L634" s="494">
        <f>SUM(L636:L642)</f>
        <v>760.25168000000008</v>
      </c>
      <c r="M634" s="33">
        <f>SUM(I634:L634)</f>
        <v>4594.7416800000001</v>
      </c>
      <c r="N634" s="501">
        <v>1</v>
      </c>
      <c r="O634" s="502">
        <v>1</v>
      </c>
      <c r="P634" s="37">
        <v>1</v>
      </c>
      <c r="Q634" s="34">
        <f>H634*I634*N634*O634*P634</f>
        <v>0</v>
      </c>
      <c r="R634" s="35">
        <f>H634*J634*N634*O634*P634</f>
        <v>0</v>
      </c>
      <c r="S634" s="36">
        <f>H634*K634*N634*O634*P634</f>
        <v>0</v>
      </c>
      <c r="T634" s="36">
        <f>H634*L634*N634*O634*P634</f>
        <v>0</v>
      </c>
      <c r="U634" s="37">
        <f>SUM(Q634:T634)</f>
        <v>0</v>
      </c>
      <c r="V634" s="38">
        <f>(Q634+R634+S634+T638+T639+T640+T642)*'Прогнозная стоимость РСС ИП '!$M$11+T637*'Прогнозная стоимость РСС ИП '!$M$10</f>
        <v>0</v>
      </c>
      <c r="W634" s="518">
        <f>T634</f>
        <v>0</v>
      </c>
      <c r="X634" s="518">
        <f>U634</f>
        <v>0</v>
      </c>
      <c r="Y634" s="518">
        <f>V634</f>
        <v>0</v>
      </c>
      <c r="Z634" s="519"/>
      <c r="AA634" s="519"/>
      <c r="AB634" s="519"/>
      <c r="AC634" s="519"/>
      <c r="AD634" s="519"/>
    </row>
    <row r="635" spans="1:30" s="505" customFormat="1" ht="41.25" hidden="1" customHeight="1">
      <c r="A635" s="492"/>
      <c r="B635" s="643"/>
      <c r="C635" s="513"/>
      <c r="D635" s="514"/>
      <c r="E635" s="495"/>
      <c r="F635" s="496"/>
      <c r="G635" s="646"/>
      <c r="H635" s="688"/>
      <c r="I635" s="649"/>
      <c r="J635" s="650"/>
      <c r="K635" s="650"/>
      <c r="L635" s="650"/>
      <c r="M635" s="651"/>
      <c r="N635" s="652"/>
      <c r="O635" s="653"/>
      <c r="P635" s="654"/>
      <c r="Q635" s="661"/>
      <c r="R635" s="662"/>
      <c r="S635" s="662"/>
      <c r="T635" s="662"/>
      <c r="U635" s="663"/>
      <c r="V635" s="40"/>
      <c r="W635" s="504"/>
      <c r="X635" s="504"/>
      <c r="Y635" s="504"/>
      <c r="Z635" s="504"/>
      <c r="AA635" s="504"/>
      <c r="AB635" s="504"/>
      <c r="AC635" s="504"/>
      <c r="AD635" s="504"/>
    </row>
    <row r="636" spans="1:30" s="505" customFormat="1" ht="41.25" hidden="1" customHeight="1">
      <c r="A636" s="492"/>
      <c r="B636" s="643"/>
      <c r="C636" s="513"/>
      <c r="D636" s="514"/>
      <c r="E636" s="664" t="s">
        <v>29</v>
      </c>
      <c r="F636" s="665"/>
      <c r="G636" s="665"/>
      <c r="H636" s="665"/>
      <c r="I636" s="665"/>
      <c r="J636" s="665"/>
      <c r="K636" s="665"/>
      <c r="L636" s="665"/>
      <c r="M636" s="666"/>
      <c r="N636" s="655"/>
      <c r="O636" s="656"/>
      <c r="P636" s="657"/>
      <c r="Q636" s="667"/>
      <c r="R636" s="668"/>
      <c r="S636" s="668"/>
      <c r="T636" s="668"/>
      <c r="U636" s="669"/>
      <c r="V636" s="42"/>
      <c r="W636" s="504"/>
      <c r="X636" s="504"/>
      <c r="Y636" s="504"/>
      <c r="Z636" s="504"/>
      <c r="AA636" s="504"/>
      <c r="AB636" s="504"/>
      <c r="AC636" s="504"/>
      <c r="AD636" s="504"/>
    </row>
    <row r="637" spans="1:30" s="505" customFormat="1" ht="41.25" hidden="1" customHeight="1">
      <c r="A637" s="492"/>
      <c r="B637" s="643"/>
      <c r="C637" s="513">
        <v>55</v>
      </c>
      <c r="D637" s="514"/>
      <c r="E637" s="670" t="s">
        <v>30</v>
      </c>
      <c r="F637" s="670"/>
      <c r="G637" s="670"/>
      <c r="H637" s="670"/>
      <c r="I637" s="670"/>
      <c r="J637" s="670"/>
      <c r="K637" s="670"/>
      <c r="L637" s="498">
        <v>378.78167999999999</v>
      </c>
      <c r="M637" s="459">
        <f>L637</f>
        <v>378.78167999999999</v>
      </c>
      <c r="N637" s="655"/>
      <c r="O637" s="656"/>
      <c r="P637" s="657"/>
      <c r="Q637" s="671"/>
      <c r="R637" s="672"/>
      <c r="S637" s="673"/>
      <c r="T637" s="457">
        <f>H634*M637*N634*O634*P634</f>
        <v>0</v>
      </c>
      <c r="U637" s="458">
        <f>T637</f>
        <v>0</v>
      </c>
      <c r="V637" s="42"/>
      <c r="W637" s="503"/>
      <c r="X637" s="504"/>
      <c r="Y637" s="504"/>
      <c r="Z637" s="503">
        <f>T637</f>
        <v>0</v>
      </c>
      <c r="AA637" s="504"/>
      <c r="AB637" s="504"/>
      <c r="AC637" s="504"/>
      <c r="AD637" s="504"/>
    </row>
    <row r="638" spans="1:30" s="505" customFormat="1" ht="41.25" hidden="1" customHeight="1">
      <c r="A638" s="492"/>
      <c r="B638" s="643"/>
      <c r="C638" s="513"/>
      <c r="D638" s="514"/>
      <c r="E638" s="670" t="s">
        <v>31</v>
      </c>
      <c r="F638" s="670"/>
      <c r="G638" s="670"/>
      <c r="H638" s="670"/>
      <c r="I638" s="670"/>
      <c r="J638" s="670"/>
      <c r="K638" s="670"/>
      <c r="L638" s="498">
        <f>ROUND((I634+J634+K634)*2.14%,2)</f>
        <v>82.06</v>
      </c>
      <c r="M638" s="459">
        <f>L638</f>
        <v>82.06</v>
      </c>
      <c r="N638" s="655"/>
      <c r="O638" s="656"/>
      <c r="P638" s="657"/>
      <c r="Q638" s="671"/>
      <c r="R638" s="672"/>
      <c r="S638" s="673"/>
      <c r="T638" s="457">
        <f>H634*M638*N634*O634*P634</f>
        <v>0</v>
      </c>
      <c r="U638" s="458">
        <f>T638</f>
        <v>0</v>
      </c>
      <c r="V638" s="42"/>
      <c r="W638" s="504"/>
      <c r="X638" s="503"/>
      <c r="Y638" s="504"/>
      <c r="Z638" s="504"/>
      <c r="AA638" s="503">
        <f>T638</f>
        <v>0</v>
      </c>
      <c r="AB638" s="504"/>
      <c r="AC638" s="504"/>
      <c r="AD638" s="504"/>
    </row>
    <row r="639" spans="1:30" s="505" customFormat="1" ht="41.25" hidden="1" customHeight="1">
      <c r="A639" s="492"/>
      <c r="B639" s="643"/>
      <c r="C639" s="515"/>
      <c r="D639" s="514"/>
      <c r="E639" s="670" t="s">
        <v>376</v>
      </c>
      <c r="F639" s="670"/>
      <c r="G639" s="670"/>
      <c r="H639" s="670"/>
      <c r="I639" s="670"/>
      <c r="J639" s="670"/>
      <c r="K639" s="670"/>
      <c r="L639" s="498">
        <f>ROUND((I634+J634+K634+L637+L638+L642)*3%,2)</f>
        <v>133.83000000000001</v>
      </c>
      <c r="M639" s="459">
        <f>L639</f>
        <v>133.83000000000001</v>
      </c>
      <c r="N639" s="655"/>
      <c r="O639" s="656"/>
      <c r="P639" s="657"/>
      <c r="Q639" s="671"/>
      <c r="R639" s="672"/>
      <c r="S639" s="673"/>
      <c r="T639" s="457">
        <f>H634*M639*N634*O634*P634</f>
        <v>0</v>
      </c>
      <c r="U639" s="458">
        <f>T639</f>
        <v>0</v>
      </c>
      <c r="V639" s="42"/>
      <c r="W639" s="504"/>
      <c r="X639" s="504"/>
      <c r="Y639" s="503"/>
      <c r="Z639" s="504"/>
      <c r="AA639" s="504"/>
      <c r="AB639" s="503">
        <f>T639</f>
        <v>0</v>
      </c>
      <c r="AC639" s="504"/>
      <c r="AD639" s="504"/>
    </row>
    <row r="640" spans="1:30" s="505" customFormat="1" ht="54.75" hidden="1" customHeight="1">
      <c r="A640" s="492"/>
      <c r="B640" s="643"/>
      <c r="C640" s="515"/>
      <c r="D640" s="514"/>
      <c r="E640" s="670" t="s">
        <v>377</v>
      </c>
      <c r="F640" s="670"/>
      <c r="G640" s="670"/>
      <c r="H640" s="670"/>
      <c r="I640" s="670"/>
      <c r="J640" s="670"/>
      <c r="K640" s="670"/>
      <c r="L640" s="498">
        <f>1863.95168-K634-L637-L638-L642</f>
        <v>0</v>
      </c>
      <c r="M640" s="459">
        <f>L640</f>
        <v>0</v>
      </c>
      <c r="N640" s="655"/>
      <c r="O640" s="656"/>
      <c r="P640" s="657"/>
      <c r="Q640" s="671"/>
      <c r="R640" s="672"/>
      <c r="S640" s="673"/>
      <c r="T640" s="457">
        <f>H634*M640*N634*O634*P634</f>
        <v>0</v>
      </c>
      <c r="U640" s="458">
        <f>T640</f>
        <v>0</v>
      </c>
      <c r="V640" s="42"/>
      <c r="W640" s="504"/>
      <c r="X640" s="504"/>
      <c r="Y640" s="504"/>
      <c r="Z640" s="506"/>
      <c r="AA640" s="504"/>
      <c r="AB640" s="504"/>
      <c r="AC640" s="506">
        <f>T640</f>
        <v>0</v>
      </c>
      <c r="AD640" s="504"/>
    </row>
    <row r="641" spans="1:30" s="505" customFormat="1" ht="45" hidden="1" customHeight="1">
      <c r="A641" s="492"/>
      <c r="B641" s="643"/>
      <c r="C641" s="515"/>
      <c r="D641" s="514"/>
      <c r="E641" s="674"/>
      <c r="F641" s="675"/>
      <c r="G641" s="675"/>
      <c r="H641" s="675"/>
      <c r="I641" s="675"/>
      <c r="J641" s="675"/>
      <c r="K641" s="675"/>
      <c r="L641" s="675"/>
      <c r="M641" s="676"/>
      <c r="N641" s="655"/>
      <c r="O641" s="656"/>
      <c r="P641" s="657"/>
      <c r="Q641" s="677"/>
      <c r="R641" s="678"/>
      <c r="S641" s="678"/>
      <c r="T641" s="678"/>
      <c r="U641" s="679"/>
      <c r="V641" s="45"/>
      <c r="W641" s="504"/>
      <c r="X641" s="504"/>
      <c r="Y641" s="504"/>
      <c r="Z641" s="504"/>
      <c r="AA641" s="506"/>
      <c r="AB641" s="504"/>
      <c r="AC641" s="504"/>
      <c r="AD641" s="504"/>
    </row>
    <row r="642" spans="1:30" s="505" customFormat="1" ht="53.25" hidden="1" customHeight="1" thickBot="1">
      <c r="A642" s="492"/>
      <c r="B642" s="644"/>
      <c r="C642" s="516"/>
      <c r="D642" s="517"/>
      <c r="E642" s="680" t="s">
        <v>369</v>
      </c>
      <c r="F642" s="680" t="s">
        <v>306</v>
      </c>
      <c r="G642" s="680"/>
      <c r="H642" s="680"/>
      <c r="I642" s="680"/>
      <c r="J642" s="680"/>
      <c r="K642" s="680"/>
      <c r="L642" s="499">
        <f>ROUND((I634+J634+K634+L637)*3.93%,2)</f>
        <v>165.58</v>
      </c>
      <c r="M642" s="46">
        <f>L642</f>
        <v>165.58</v>
      </c>
      <c r="N642" s="658"/>
      <c r="O642" s="659"/>
      <c r="P642" s="660"/>
      <c r="Q642" s="681"/>
      <c r="R642" s="682"/>
      <c r="S642" s="683"/>
      <c r="T642" s="500">
        <f>H634*M642*N634*O634*P634</f>
        <v>0</v>
      </c>
      <c r="U642" s="47">
        <f>T642</f>
        <v>0</v>
      </c>
      <c r="V642" s="48"/>
      <c r="W642" s="504"/>
      <c r="X642" s="504"/>
      <c r="Y642" s="504"/>
      <c r="Z642" s="504"/>
      <c r="AA642" s="504"/>
      <c r="AB642" s="506"/>
      <c r="AC642" s="504"/>
      <c r="AD642" s="506">
        <f>T642</f>
        <v>0</v>
      </c>
    </row>
    <row r="643" spans="1:30" s="520" customFormat="1" ht="150" hidden="1" customHeight="1" thickBot="1">
      <c r="A643" s="492"/>
      <c r="B643" s="642">
        <v>1</v>
      </c>
      <c r="C643" s="511">
        <v>5</v>
      </c>
      <c r="D643" s="512"/>
      <c r="E643" s="493" t="s">
        <v>489</v>
      </c>
      <c r="F643" s="487" t="s">
        <v>490</v>
      </c>
      <c r="G643" s="645" t="s">
        <v>388</v>
      </c>
      <c r="H643" s="688">
        <v>0</v>
      </c>
      <c r="I643" s="494">
        <v>2003.68</v>
      </c>
      <c r="J643" s="494">
        <v>802.59000000000015</v>
      </c>
      <c r="K643" s="494">
        <v>1237.53</v>
      </c>
      <c r="L643" s="494">
        <f>SUM(L645:L651)</f>
        <v>950.31860000000006</v>
      </c>
      <c r="M643" s="33">
        <f>SUM(I643:L643)</f>
        <v>4994.1185999999998</v>
      </c>
      <c r="N643" s="501">
        <v>1</v>
      </c>
      <c r="O643" s="502">
        <v>1</v>
      </c>
      <c r="P643" s="37">
        <v>1</v>
      </c>
      <c r="Q643" s="34">
        <f>H643*I643*N643*O643*P643</f>
        <v>0</v>
      </c>
      <c r="R643" s="35">
        <f>H643*J643*N643*O643*P643</f>
        <v>0</v>
      </c>
      <c r="S643" s="36">
        <f>H643*K643*N643*O643*P643</f>
        <v>0</v>
      </c>
      <c r="T643" s="36">
        <f>H643*L643*N643*O643*P643</f>
        <v>0</v>
      </c>
      <c r="U643" s="37">
        <f>SUM(Q643:T643)</f>
        <v>0</v>
      </c>
      <c r="V643" s="38">
        <f>(Q643+R643+S643+T647+T648+T649+T651)*'Прогнозная стоимость РСС ИП '!$M$11+T646*'Прогнозная стоимость РСС ИП '!$M$10</f>
        <v>0</v>
      </c>
      <c r="W643" s="518">
        <f>T643</f>
        <v>0</v>
      </c>
      <c r="X643" s="518">
        <f>U643</f>
        <v>0</v>
      </c>
      <c r="Y643" s="518">
        <f>V643</f>
        <v>0</v>
      </c>
      <c r="Z643" s="519"/>
      <c r="AA643" s="519"/>
      <c r="AB643" s="519"/>
      <c r="AC643" s="519"/>
      <c r="AD643" s="519"/>
    </row>
    <row r="644" spans="1:30" s="505" customFormat="1" ht="41.25" hidden="1" customHeight="1">
      <c r="A644" s="492"/>
      <c r="B644" s="643"/>
      <c r="C644" s="513"/>
      <c r="D644" s="514"/>
      <c r="E644" s="495"/>
      <c r="F644" s="496"/>
      <c r="G644" s="646"/>
      <c r="H644" s="688"/>
      <c r="I644" s="649"/>
      <c r="J644" s="650"/>
      <c r="K644" s="650"/>
      <c r="L644" s="650"/>
      <c r="M644" s="651"/>
      <c r="N644" s="652"/>
      <c r="O644" s="653"/>
      <c r="P644" s="654"/>
      <c r="Q644" s="661"/>
      <c r="R644" s="662"/>
      <c r="S644" s="662"/>
      <c r="T644" s="662"/>
      <c r="U644" s="663"/>
      <c r="V644" s="40"/>
      <c r="W644" s="504"/>
      <c r="X644" s="504"/>
      <c r="Y644" s="504"/>
      <c r="Z644" s="504"/>
      <c r="AA644" s="504"/>
      <c r="AB644" s="504"/>
      <c r="AC644" s="504"/>
      <c r="AD644" s="504"/>
    </row>
    <row r="645" spans="1:30" s="505" customFormat="1" ht="41.25" hidden="1" customHeight="1">
      <c r="A645" s="492"/>
      <c r="B645" s="643"/>
      <c r="C645" s="513"/>
      <c r="D645" s="514"/>
      <c r="E645" s="664" t="s">
        <v>29</v>
      </c>
      <c r="F645" s="665"/>
      <c r="G645" s="665"/>
      <c r="H645" s="665"/>
      <c r="I645" s="665"/>
      <c r="J645" s="665"/>
      <c r="K645" s="665"/>
      <c r="L645" s="665"/>
      <c r="M645" s="666"/>
      <c r="N645" s="655"/>
      <c r="O645" s="656"/>
      <c r="P645" s="657"/>
      <c r="Q645" s="667"/>
      <c r="R645" s="668"/>
      <c r="S645" s="668"/>
      <c r="T645" s="668"/>
      <c r="U645" s="669"/>
      <c r="V645" s="42"/>
      <c r="W645" s="504"/>
      <c r="X645" s="504"/>
      <c r="Y645" s="504"/>
      <c r="Z645" s="504"/>
      <c r="AA645" s="504"/>
      <c r="AB645" s="504"/>
      <c r="AC645" s="504"/>
      <c r="AD645" s="504"/>
    </row>
    <row r="646" spans="1:30" s="505" customFormat="1" ht="41.25" hidden="1" customHeight="1">
      <c r="A646" s="492"/>
      <c r="B646" s="643"/>
      <c r="C646" s="513">
        <v>55</v>
      </c>
      <c r="D646" s="514"/>
      <c r="E646" s="670" t="s">
        <v>30</v>
      </c>
      <c r="F646" s="670"/>
      <c r="G646" s="670"/>
      <c r="H646" s="670"/>
      <c r="I646" s="670"/>
      <c r="J646" s="670"/>
      <c r="K646" s="670"/>
      <c r="L646" s="498">
        <v>538.24860000000001</v>
      </c>
      <c r="M646" s="459">
        <f>L646</f>
        <v>538.24860000000001</v>
      </c>
      <c r="N646" s="655"/>
      <c r="O646" s="656"/>
      <c r="P646" s="657"/>
      <c r="Q646" s="671"/>
      <c r="R646" s="672"/>
      <c r="S646" s="673"/>
      <c r="T646" s="457">
        <f>H643*M646*N643*O643*P643</f>
        <v>0</v>
      </c>
      <c r="U646" s="458">
        <f>T646</f>
        <v>0</v>
      </c>
      <c r="V646" s="42"/>
      <c r="W646" s="503"/>
      <c r="X646" s="504"/>
      <c r="Y646" s="504"/>
      <c r="Z646" s="503">
        <f>T646</f>
        <v>0</v>
      </c>
      <c r="AA646" s="504"/>
      <c r="AB646" s="504"/>
      <c r="AC646" s="504"/>
      <c r="AD646" s="504"/>
    </row>
    <row r="647" spans="1:30" s="505" customFormat="1" ht="41.25" hidden="1" customHeight="1">
      <c r="A647" s="492"/>
      <c r="B647" s="643"/>
      <c r="C647" s="513"/>
      <c r="D647" s="514"/>
      <c r="E647" s="670" t="s">
        <v>31</v>
      </c>
      <c r="F647" s="670"/>
      <c r="G647" s="670"/>
      <c r="H647" s="670"/>
      <c r="I647" s="670"/>
      <c r="J647" s="670"/>
      <c r="K647" s="670"/>
      <c r="L647" s="498">
        <f>ROUND((I643+J643+K643)*2.14%,2)</f>
        <v>86.54</v>
      </c>
      <c r="M647" s="459">
        <f>L647</f>
        <v>86.54</v>
      </c>
      <c r="N647" s="655"/>
      <c r="O647" s="656"/>
      <c r="P647" s="657"/>
      <c r="Q647" s="671"/>
      <c r="R647" s="672"/>
      <c r="S647" s="673"/>
      <c r="T647" s="457">
        <f>H643*M647*N643*O643*P643</f>
        <v>0</v>
      </c>
      <c r="U647" s="458">
        <f>T647</f>
        <v>0</v>
      </c>
      <c r="V647" s="42"/>
      <c r="W647" s="504"/>
      <c r="X647" s="503"/>
      <c r="Y647" s="504"/>
      <c r="Z647" s="504"/>
      <c r="AA647" s="503">
        <f>T647</f>
        <v>0</v>
      </c>
      <c r="AB647" s="504"/>
      <c r="AC647" s="504"/>
      <c r="AD647" s="504"/>
    </row>
    <row r="648" spans="1:30" s="505" customFormat="1" ht="41.25" hidden="1" customHeight="1">
      <c r="A648" s="492"/>
      <c r="B648" s="643"/>
      <c r="C648" s="515"/>
      <c r="D648" s="514"/>
      <c r="E648" s="670" t="s">
        <v>376</v>
      </c>
      <c r="F648" s="670"/>
      <c r="G648" s="670"/>
      <c r="H648" s="670"/>
      <c r="I648" s="670"/>
      <c r="J648" s="670"/>
      <c r="K648" s="670"/>
      <c r="L648" s="498">
        <f>ROUND((I643+J643+K643+L646+L647+L651)*3%,2)</f>
        <v>145.46</v>
      </c>
      <c r="M648" s="459">
        <f>L648</f>
        <v>145.46</v>
      </c>
      <c r="N648" s="655"/>
      <c r="O648" s="656"/>
      <c r="P648" s="657"/>
      <c r="Q648" s="671"/>
      <c r="R648" s="672"/>
      <c r="S648" s="673"/>
      <c r="T648" s="457">
        <f>H643*M648*N643*O643*P643</f>
        <v>0</v>
      </c>
      <c r="U648" s="458">
        <f>T648</f>
        <v>0</v>
      </c>
      <c r="V648" s="42"/>
      <c r="W648" s="504"/>
      <c r="X648" s="504"/>
      <c r="Y648" s="503"/>
      <c r="Z648" s="504"/>
      <c r="AA648" s="504"/>
      <c r="AB648" s="503">
        <f>T648</f>
        <v>0</v>
      </c>
      <c r="AC648" s="504"/>
      <c r="AD648" s="504"/>
    </row>
    <row r="649" spans="1:30" s="505" customFormat="1" ht="54.75" hidden="1" customHeight="1">
      <c r="A649" s="492"/>
      <c r="B649" s="643"/>
      <c r="C649" s="515"/>
      <c r="D649" s="514"/>
      <c r="E649" s="670" t="s">
        <v>377</v>
      </c>
      <c r="F649" s="670"/>
      <c r="G649" s="670"/>
      <c r="H649" s="670"/>
      <c r="I649" s="670"/>
      <c r="J649" s="670"/>
      <c r="K649" s="670"/>
      <c r="L649" s="498">
        <f>2042.3886-K643-L646-L647-L651</f>
        <v>0</v>
      </c>
      <c r="M649" s="459">
        <f>L649</f>
        <v>0</v>
      </c>
      <c r="N649" s="655"/>
      <c r="O649" s="656"/>
      <c r="P649" s="657"/>
      <c r="Q649" s="671"/>
      <c r="R649" s="672"/>
      <c r="S649" s="673"/>
      <c r="T649" s="457">
        <f>H643*M649*N643*O643*P643</f>
        <v>0</v>
      </c>
      <c r="U649" s="458">
        <f>T649</f>
        <v>0</v>
      </c>
      <c r="V649" s="42"/>
      <c r="W649" s="504"/>
      <c r="X649" s="504"/>
      <c r="Y649" s="504"/>
      <c r="Z649" s="506"/>
      <c r="AA649" s="504"/>
      <c r="AB649" s="504"/>
      <c r="AC649" s="506">
        <f>T649</f>
        <v>0</v>
      </c>
      <c r="AD649" s="504"/>
    </row>
    <row r="650" spans="1:30" s="505" customFormat="1" ht="45" hidden="1" customHeight="1">
      <c r="A650" s="492"/>
      <c r="B650" s="643"/>
      <c r="C650" s="515"/>
      <c r="D650" s="514"/>
      <c r="E650" s="674"/>
      <c r="F650" s="675"/>
      <c r="G650" s="675"/>
      <c r="H650" s="675"/>
      <c r="I650" s="675"/>
      <c r="J650" s="675"/>
      <c r="K650" s="675"/>
      <c r="L650" s="675"/>
      <c r="M650" s="676"/>
      <c r="N650" s="655"/>
      <c r="O650" s="656"/>
      <c r="P650" s="657"/>
      <c r="Q650" s="677"/>
      <c r="R650" s="678"/>
      <c r="S650" s="678"/>
      <c r="T650" s="678"/>
      <c r="U650" s="679"/>
      <c r="V650" s="45"/>
      <c r="W650" s="504"/>
      <c r="X650" s="504"/>
      <c r="Y650" s="504"/>
      <c r="Z650" s="504"/>
      <c r="AA650" s="506"/>
      <c r="AB650" s="504"/>
      <c r="AC650" s="504"/>
      <c r="AD650" s="504"/>
    </row>
    <row r="651" spans="1:30" s="505" customFormat="1" ht="53.25" hidden="1" customHeight="1" thickBot="1">
      <c r="A651" s="492"/>
      <c r="B651" s="644"/>
      <c r="C651" s="516"/>
      <c r="D651" s="517"/>
      <c r="E651" s="680" t="s">
        <v>369</v>
      </c>
      <c r="F651" s="680" t="s">
        <v>306</v>
      </c>
      <c r="G651" s="680"/>
      <c r="H651" s="680"/>
      <c r="I651" s="680"/>
      <c r="J651" s="680"/>
      <c r="K651" s="680"/>
      <c r="L651" s="499">
        <f>ROUND((I643+J643+K643+L646)*3.93%,2)</f>
        <v>180.07</v>
      </c>
      <c r="M651" s="46">
        <f>L651</f>
        <v>180.07</v>
      </c>
      <c r="N651" s="658"/>
      <c r="O651" s="659"/>
      <c r="P651" s="660"/>
      <c r="Q651" s="681"/>
      <c r="R651" s="682"/>
      <c r="S651" s="683"/>
      <c r="T651" s="500">
        <f>H643*M651*N643*O643*P643</f>
        <v>0</v>
      </c>
      <c r="U651" s="47">
        <f>T651</f>
        <v>0</v>
      </c>
      <c r="V651" s="48"/>
      <c r="W651" s="504"/>
      <c r="X651" s="504"/>
      <c r="Y651" s="504"/>
      <c r="Z651" s="504"/>
      <c r="AA651" s="504"/>
      <c r="AB651" s="506"/>
      <c r="AC651" s="504"/>
      <c r="AD651" s="506">
        <f>T651</f>
        <v>0</v>
      </c>
    </row>
    <row r="652" spans="1:30" s="520" customFormat="1" ht="150" hidden="1" customHeight="1" thickBot="1">
      <c r="A652" s="492"/>
      <c r="B652" s="642">
        <v>1</v>
      </c>
      <c r="C652" s="511">
        <v>5</v>
      </c>
      <c r="D652" s="512"/>
      <c r="E652" s="493" t="s">
        <v>491</v>
      </c>
      <c r="F652" s="487" t="s">
        <v>492</v>
      </c>
      <c r="G652" s="645" t="s">
        <v>388</v>
      </c>
      <c r="H652" s="688">
        <v>0</v>
      </c>
      <c r="I652" s="494">
        <v>2362.34</v>
      </c>
      <c r="J652" s="494">
        <v>802.59000000000015</v>
      </c>
      <c r="K652" s="494">
        <v>1237.53</v>
      </c>
      <c r="L652" s="494">
        <f>SUM(L654:L660)</f>
        <v>984.27592000000004</v>
      </c>
      <c r="M652" s="33">
        <f>SUM(I652:L652)</f>
        <v>5386.7359200000001</v>
      </c>
      <c r="N652" s="501">
        <v>1</v>
      </c>
      <c r="O652" s="502">
        <v>1</v>
      </c>
      <c r="P652" s="37">
        <v>1</v>
      </c>
      <c r="Q652" s="34">
        <f>H652*I652*N652*O652*P652</f>
        <v>0</v>
      </c>
      <c r="R652" s="35">
        <f>H652*J652*N652*O652*P652</f>
        <v>0</v>
      </c>
      <c r="S652" s="36">
        <f>H652*K652*N652*O652*P652</f>
        <v>0</v>
      </c>
      <c r="T652" s="36">
        <f>H652*L652*N652*O652*P652</f>
        <v>0</v>
      </c>
      <c r="U652" s="37">
        <f>SUM(Q652:T652)</f>
        <v>0</v>
      </c>
      <c r="V652" s="38">
        <f>(Q652+R652+S652+T656+T657+T658+T660)*'Прогнозная стоимость РСС ИП '!$M$11+T655*'Прогнозная стоимость РСС ИП '!$M$10</f>
        <v>0</v>
      </c>
      <c r="W652" s="518">
        <f>T652</f>
        <v>0</v>
      </c>
      <c r="X652" s="518">
        <f>U652</f>
        <v>0</v>
      </c>
      <c r="Y652" s="518">
        <f>V652</f>
        <v>0</v>
      </c>
      <c r="Z652" s="519"/>
      <c r="AA652" s="519"/>
      <c r="AB652" s="519"/>
      <c r="AC652" s="519"/>
      <c r="AD652" s="519"/>
    </row>
    <row r="653" spans="1:30" s="505" customFormat="1" ht="41.25" hidden="1" customHeight="1">
      <c r="A653" s="492"/>
      <c r="B653" s="643"/>
      <c r="C653" s="513"/>
      <c r="D653" s="514"/>
      <c r="E653" s="495"/>
      <c r="F653" s="496"/>
      <c r="G653" s="646"/>
      <c r="H653" s="688"/>
      <c r="I653" s="649"/>
      <c r="J653" s="650"/>
      <c r="K653" s="650"/>
      <c r="L653" s="650"/>
      <c r="M653" s="651"/>
      <c r="N653" s="652"/>
      <c r="O653" s="653"/>
      <c r="P653" s="654"/>
      <c r="Q653" s="661"/>
      <c r="R653" s="662"/>
      <c r="S653" s="662"/>
      <c r="T653" s="662"/>
      <c r="U653" s="663"/>
      <c r="V653" s="40"/>
      <c r="W653" s="504"/>
      <c r="X653" s="504"/>
      <c r="Y653" s="504"/>
      <c r="Z653" s="504"/>
      <c r="AA653" s="504"/>
      <c r="AB653" s="504"/>
      <c r="AC653" s="504"/>
      <c r="AD653" s="504"/>
    </row>
    <row r="654" spans="1:30" s="505" customFormat="1" ht="41.25" hidden="1" customHeight="1">
      <c r="A654" s="492"/>
      <c r="B654" s="643"/>
      <c r="C654" s="513"/>
      <c r="D654" s="514"/>
      <c r="E654" s="664" t="s">
        <v>29</v>
      </c>
      <c r="F654" s="665"/>
      <c r="G654" s="665"/>
      <c r="H654" s="665"/>
      <c r="I654" s="665"/>
      <c r="J654" s="665"/>
      <c r="K654" s="665"/>
      <c r="L654" s="665"/>
      <c r="M654" s="666"/>
      <c r="N654" s="655"/>
      <c r="O654" s="656"/>
      <c r="P654" s="657"/>
      <c r="Q654" s="667"/>
      <c r="R654" s="668"/>
      <c r="S654" s="668"/>
      <c r="T654" s="668"/>
      <c r="U654" s="669"/>
      <c r="V654" s="42"/>
      <c r="W654" s="504"/>
      <c r="X654" s="504"/>
      <c r="Y654" s="504"/>
      <c r="Z654" s="504"/>
      <c r="AA654" s="504"/>
      <c r="AB654" s="504"/>
      <c r="AC654" s="504"/>
      <c r="AD654" s="504"/>
    </row>
    <row r="655" spans="1:30" s="505" customFormat="1" ht="41.25" hidden="1" customHeight="1">
      <c r="A655" s="492"/>
      <c r="B655" s="643"/>
      <c r="C655" s="513">
        <v>55</v>
      </c>
      <c r="D655" s="514"/>
      <c r="E655" s="670" t="s">
        <v>30</v>
      </c>
      <c r="F655" s="670"/>
      <c r="G655" s="670"/>
      <c r="H655" s="670"/>
      <c r="I655" s="670"/>
      <c r="J655" s="670"/>
      <c r="K655" s="670"/>
      <c r="L655" s="498">
        <v>538.9659200000001</v>
      </c>
      <c r="M655" s="459">
        <f>L655</f>
        <v>538.9659200000001</v>
      </c>
      <c r="N655" s="655"/>
      <c r="O655" s="656"/>
      <c r="P655" s="657"/>
      <c r="Q655" s="671"/>
      <c r="R655" s="672"/>
      <c r="S655" s="673"/>
      <c r="T655" s="457">
        <f>H652*M655*N652*O652*P652</f>
        <v>0</v>
      </c>
      <c r="U655" s="458">
        <f>T655</f>
        <v>0</v>
      </c>
      <c r="V655" s="42"/>
      <c r="W655" s="503"/>
      <c r="X655" s="504"/>
      <c r="Y655" s="504"/>
      <c r="Z655" s="503">
        <f>T655</f>
        <v>0</v>
      </c>
      <c r="AA655" s="504"/>
      <c r="AB655" s="504"/>
      <c r="AC655" s="504"/>
      <c r="AD655" s="504"/>
    </row>
    <row r="656" spans="1:30" s="505" customFormat="1" ht="41.25" hidden="1" customHeight="1">
      <c r="A656" s="492"/>
      <c r="B656" s="643"/>
      <c r="C656" s="513"/>
      <c r="D656" s="514"/>
      <c r="E656" s="670" t="s">
        <v>31</v>
      </c>
      <c r="F656" s="670"/>
      <c r="G656" s="670"/>
      <c r="H656" s="670"/>
      <c r="I656" s="670"/>
      <c r="J656" s="670"/>
      <c r="K656" s="670"/>
      <c r="L656" s="498">
        <f>ROUND((I652+J652+K652)*2.14%,2)</f>
        <v>94.21</v>
      </c>
      <c r="M656" s="459">
        <f>L656</f>
        <v>94.21</v>
      </c>
      <c r="N656" s="655"/>
      <c r="O656" s="656"/>
      <c r="P656" s="657"/>
      <c r="Q656" s="671"/>
      <c r="R656" s="672"/>
      <c r="S656" s="673"/>
      <c r="T656" s="457">
        <f>H652*M656*N652*O652*P652</f>
        <v>0</v>
      </c>
      <c r="U656" s="458">
        <f>T656</f>
        <v>0</v>
      </c>
      <c r="V656" s="42"/>
      <c r="W656" s="504"/>
      <c r="X656" s="503"/>
      <c r="Y656" s="504"/>
      <c r="Z656" s="504"/>
      <c r="AA656" s="503">
        <f>T656</f>
        <v>0</v>
      </c>
      <c r="AB656" s="504"/>
      <c r="AC656" s="504"/>
      <c r="AD656" s="504"/>
    </row>
    <row r="657" spans="1:30" s="505" customFormat="1" ht="41.25" hidden="1" customHeight="1">
      <c r="A657" s="492"/>
      <c r="B657" s="643"/>
      <c r="C657" s="515"/>
      <c r="D657" s="514"/>
      <c r="E657" s="670" t="s">
        <v>376</v>
      </c>
      <c r="F657" s="670"/>
      <c r="G657" s="670"/>
      <c r="H657" s="670"/>
      <c r="I657" s="670"/>
      <c r="J657" s="670"/>
      <c r="K657" s="670"/>
      <c r="L657" s="498">
        <f>ROUND((I652+J652+K652+L655+L656+L660)*3%,2)</f>
        <v>156.9</v>
      </c>
      <c r="M657" s="459">
        <f>L657</f>
        <v>156.9</v>
      </c>
      <c r="N657" s="655"/>
      <c r="O657" s="656"/>
      <c r="P657" s="657"/>
      <c r="Q657" s="671"/>
      <c r="R657" s="672"/>
      <c r="S657" s="673"/>
      <c r="T657" s="457">
        <f>H652*M657*N652*O652*P652</f>
        <v>0</v>
      </c>
      <c r="U657" s="458">
        <f>T657</f>
        <v>0</v>
      </c>
      <c r="V657" s="42"/>
      <c r="W657" s="504"/>
      <c r="X657" s="504"/>
      <c r="Y657" s="503"/>
      <c r="Z657" s="504"/>
      <c r="AA657" s="504"/>
      <c r="AB657" s="503">
        <f>T657</f>
        <v>0</v>
      </c>
      <c r="AC657" s="504"/>
      <c r="AD657" s="504"/>
    </row>
    <row r="658" spans="1:30" s="505" customFormat="1" ht="54.75" hidden="1" customHeight="1">
      <c r="A658" s="492"/>
      <c r="B658" s="643"/>
      <c r="C658" s="515"/>
      <c r="D658" s="514"/>
      <c r="E658" s="670" t="s">
        <v>377</v>
      </c>
      <c r="F658" s="670"/>
      <c r="G658" s="670"/>
      <c r="H658" s="670"/>
      <c r="I658" s="670"/>
      <c r="J658" s="670"/>
      <c r="K658" s="670"/>
      <c r="L658" s="498">
        <f>2064.90592-K652-L655-L656-L660</f>
        <v>0</v>
      </c>
      <c r="M658" s="459">
        <f>L658</f>
        <v>0</v>
      </c>
      <c r="N658" s="655"/>
      <c r="O658" s="656"/>
      <c r="P658" s="657"/>
      <c r="Q658" s="671"/>
      <c r="R658" s="672"/>
      <c r="S658" s="673"/>
      <c r="T658" s="457">
        <f>H652*M658*N652*O652*P652</f>
        <v>0</v>
      </c>
      <c r="U658" s="458">
        <f>T658</f>
        <v>0</v>
      </c>
      <c r="V658" s="42"/>
      <c r="W658" s="504"/>
      <c r="X658" s="504"/>
      <c r="Y658" s="504"/>
      <c r="Z658" s="506"/>
      <c r="AA658" s="504"/>
      <c r="AB658" s="504"/>
      <c r="AC658" s="506">
        <f>T658</f>
        <v>0</v>
      </c>
      <c r="AD658" s="504"/>
    </row>
    <row r="659" spans="1:30" s="505" customFormat="1" ht="45" hidden="1" customHeight="1">
      <c r="A659" s="492"/>
      <c r="B659" s="643"/>
      <c r="C659" s="515"/>
      <c r="D659" s="514"/>
      <c r="E659" s="674"/>
      <c r="F659" s="675"/>
      <c r="G659" s="675"/>
      <c r="H659" s="675"/>
      <c r="I659" s="675"/>
      <c r="J659" s="675"/>
      <c r="K659" s="675"/>
      <c r="L659" s="675"/>
      <c r="M659" s="676"/>
      <c r="N659" s="655"/>
      <c r="O659" s="656"/>
      <c r="P659" s="657"/>
      <c r="Q659" s="677"/>
      <c r="R659" s="678"/>
      <c r="S659" s="678"/>
      <c r="T659" s="678"/>
      <c r="U659" s="679"/>
      <c r="V659" s="45"/>
      <c r="W659" s="504"/>
      <c r="X659" s="504"/>
      <c r="Y659" s="504"/>
      <c r="Z659" s="504"/>
      <c r="AA659" s="506"/>
      <c r="AB659" s="504"/>
      <c r="AC659" s="504"/>
      <c r="AD659" s="504"/>
    </row>
    <row r="660" spans="1:30" s="505" customFormat="1" ht="53.25" hidden="1" customHeight="1" thickBot="1">
      <c r="A660" s="492"/>
      <c r="B660" s="644"/>
      <c r="C660" s="516"/>
      <c r="D660" s="517"/>
      <c r="E660" s="680" t="s">
        <v>369</v>
      </c>
      <c r="F660" s="680" t="s">
        <v>306</v>
      </c>
      <c r="G660" s="680"/>
      <c r="H660" s="680"/>
      <c r="I660" s="680"/>
      <c r="J660" s="680"/>
      <c r="K660" s="680"/>
      <c r="L660" s="499">
        <f>ROUND((I652+J652+K652+L655)*3.93%,2)</f>
        <v>194.2</v>
      </c>
      <c r="M660" s="46">
        <f>L660</f>
        <v>194.2</v>
      </c>
      <c r="N660" s="658"/>
      <c r="O660" s="659"/>
      <c r="P660" s="660"/>
      <c r="Q660" s="681"/>
      <c r="R660" s="682"/>
      <c r="S660" s="683"/>
      <c r="T660" s="500">
        <f>H652*M660*N652*O652*P652</f>
        <v>0</v>
      </c>
      <c r="U660" s="47">
        <f>T660</f>
        <v>0</v>
      </c>
      <c r="V660" s="48"/>
      <c r="W660" s="504"/>
      <c r="X660" s="504"/>
      <c r="Y660" s="504"/>
      <c r="Z660" s="504"/>
      <c r="AA660" s="504"/>
      <c r="AB660" s="506"/>
      <c r="AC660" s="504"/>
      <c r="AD660" s="506">
        <f>T660</f>
        <v>0</v>
      </c>
    </row>
    <row r="661" spans="1:30" s="520" customFormat="1" ht="150" hidden="1" customHeight="1" thickBot="1">
      <c r="A661" s="492"/>
      <c r="B661" s="642">
        <v>1</v>
      </c>
      <c r="C661" s="511">
        <v>5</v>
      </c>
      <c r="D661" s="512"/>
      <c r="E661" s="493" t="s">
        <v>493</v>
      </c>
      <c r="F661" s="487" t="s">
        <v>494</v>
      </c>
      <c r="G661" s="645" t="s">
        <v>388</v>
      </c>
      <c r="H661" s="688">
        <v>0</v>
      </c>
      <c r="I661" s="494">
        <v>2868.3</v>
      </c>
      <c r="J661" s="494">
        <v>802.59000000000015</v>
      </c>
      <c r="K661" s="494">
        <v>1237.53</v>
      </c>
      <c r="L661" s="494">
        <f>SUM(L663:L669)</f>
        <v>1032.1678400000001</v>
      </c>
      <c r="M661" s="33">
        <f>SUM(I661:L661)</f>
        <v>5940.5878400000001</v>
      </c>
      <c r="N661" s="501">
        <v>1</v>
      </c>
      <c r="O661" s="502">
        <v>1</v>
      </c>
      <c r="P661" s="37">
        <v>1</v>
      </c>
      <c r="Q661" s="34">
        <f>H661*I661*N661*O661*P661</f>
        <v>0</v>
      </c>
      <c r="R661" s="35">
        <f>H661*J661*N661*O661*P661</f>
        <v>0</v>
      </c>
      <c r="S661" s="36">
        <f>H661*K661*N661*O661*P661</f>
        <v>0</v>
      </c>
      <c r="T661" s="36">
        <f>H661*L661*N661*O661*P661</f>
        <v>0</v>
      </c>
      <c r="U661" s="37">
        <f>SUM(Q661:T661)</f>
        <v>0</v>
      </c>
      <c r="V661" s="38">
        <f>(Q661+R661+S661+T665+T666+T667+T669)*'Прогнозная стоимость РСС ИП '!$M$11+T664*'Прогнозная стоимость РСС ИП '!$M$10</f>
        <v>0</v>
      </c>
      <c r="W661" s="518">
        <f>T661</f>
        <v>0</v>
      </c>
      <c r="X661" s="518">
        <f>U661</f>
        <v>0</v>
      </c>
      <c r="Y661" s="518">
        <f>V661</f>
        <v>0</v>
      </c>
      <c r="Z661" s="519"/>
      <c r="AA661" s="519"/>
      <c r="AB661" s="519"/>
      <c r="AC661" s="519"/>
      <c r="AD661" s="519"/>
    </row>
    <row r="662" spans="1:30" s="505" customFormat="1" ht="41.25" hidden="1" customHeight="1">
      <c r="A662" s="492"/>
      <c r="B662" s="643"/>
      <c r="C662" s="513"/>
      <c r="D662" s="514"/>
      <c r="E662" s="495"/>
      <c r="F662" s="496"/>
      <c r="G662" s="646"/>
      <c r="H662" s="688"/>
      <c r="I662" s="649"/>
      <c r="J662" s="650"/>
      <c r="K662" s="650"/>
      <c r="L662" s="650"/>
      <c r="M662" s="651"/>
      <c r="N662" s="652"/>
      <c r="O662" s="653"/>
      <c r="P662" s="654"/>
      <c r="Q662" s="661"/>
      <c r="R662" s="662"/>
      <c r="S662" s="662"/>
      <c r="T662" s="662"/>
      <c r="U662" s="663"/>
      <c r="V662" s="40"/>
      <c r="W662" s="504"/>
      <c r="X662" s="504"/>
      <c r="Y662" s="504"/>
      <c r="Z662" s="504"/>
      <c r="AA662" s="504"/>
      <c r="AB662" s="504"/>
      <c r="AC662" s="504"/>
      <c r="AD662" s="504"/>
    </row>
    <row r="663" spans="1:30" s="505" customFormat="1" ht="41.25" hidden="1" customHeight="1">
      <c r="A663" s="492"/>
      <c r="B663" s="643"/>
      <c r="C663" s="513"/>
      <c r="D663" s="514"/>
      <c r="E663" s="664" t="s">
        <v>29</v>
      </c>
      <c r="F663" s="665"/>
      <c r="G663" s="665"/>
      <c r="H663" s="665"/>
      <c r="I663" s="665"/>
      <c r="J663" s="665"/>
      <c r="K663" s="665"/>
      <c r="L663" s="665"/>
      <c r="M663" s="666"/>
      <c r="N663" s="655"/>
      <c r="O663" s="656"/>
      <c r="P663" s="657"/>
      <c r="Q663" s="667"/>
      <c r="R663" s="668"/>
      <c r="S663" s="668"/>
      <c r="T663" s="668"/>
      <c r="U663" s="669"/>
      <c r="V663" s="42"/>
      <c r="W663" s="504"/>
      <c r="X663" s="504"/>
      <c r="Y663" s="504"/>
      <c r="Z663" s="504"/>
      <c r="AA663" s="504"/>
      <c r="AB663" s="504"/>
      <c r="AC663" s="504"/>
      <c r="AD663" s="504"/>
    </row>
    <row r="664" spans="1:30" s="505" customFormat="1" ht="41.25" hidden="1" customHeight="1">
      <c r="A664" s="492"/>
      <c r="B664" s="643"/>
      <c r="C664" s="513">
        <v>55</v>
      </c>
      <c r="D664" s="514"/>
      <c r="E664" s="670" t="s">
        <v>30</v>
      </c>
      <c r="F664" s="670"/>
      <c r="G664" s="670"/>
      <c r="H664" s="670"/>
      <c r="I664" s="670"/>
      <c r="J664" s="670"/>
      <c r="K664" s="670"/>
      <c r="L664" s="498">
        <v>539.97784000000001</v>
      </c>
      <c r="M664" s="459">
        <f>L664</f>
        <v>539.97784000000001</v>
      </c>
      <c r="N664" s="655"/>
      <c r="O664" s="656"/>
      <c r="P664" s="657"/>
      <c r="Q664" s="671"/>
      <c r="R664" s="672"/>
      <c r="S664" s="673"/>
      <c r="T664" s="457">
        <f>H661*M664*N661*O661*P661</f>
        <v>0</v>
      </c>
      <c r="U664" s="458">
        <f>T664</f>
        <v>0</v>
      </c>
      <c r="V664" s="42"/>
      <c r="W664" s="503"/>
      <c r="X664" s="504"/>
      <c r="Y664" s="504"/>
      <c r="Z664" s="503">
        <f>T664</f>
        <v>0</v>
      </c>
      <c r="AA664" s="504"/>
      <c r="AB664" s="504"/>
      <c r="AC664" s="504"/>
      <c r="AD664" s="504"/>
    </row>
    <row r="665" spans="1:30" s="505" customFormat="1" ht="41.25" hidden="1" customHeight="1">
      <c r="A665" s="492"/>
      <c r="B665" s="643"/>
      <c r="C665" s="513"/>
      <c r="D665" s="514"/>
      <c r="E665" s="670" t="s">
        <v>31</v>
      </c>
      <c r="F665" s="670"/>
      <c r="G665" s="670"/>
      <c r="H665" s="670"/>
      <c r="I665" s="670"/>
      <c r="J665" s="670"/>
      <c r="K665" s="670"/>
      <c r="L665" s="498">
        <f>ROUND((I661+J661+K661)*2.14%,2)</f>
        <v>105.04</v>
      </c>
      <c r="M665" s="459">
        <f>L665</f>
        <v>105.04</v>
      </c>
      <c r="N665" s="655"/>
      <c r="O665" s="656"/>
      <c r="P665" s="657"/>
      <c r="Q665" s="671"/>
      <c r="R665" s="672"/>
      <c r="S665" s="673"/>
      <c r="T665" s="457">
        <f>H661*M665*N661*O661*P661</f>
        <v>0</v>
      </c>
      <c r="U665" s="458">
        <f>T665</f>
        <v>0</v>
      </c>
      <c r="V665" s="42"/>
      <c r="W665" s="504"/>
      <c r="X665" s="503"/>
      <c r="Y665" s="504"/>
      <c r="Z665" s="504"/>
      <c r="AA665" s="503">
        <f>T665</f>
        <v>0</v>
      </c>
      <c r="AB665" s="504"/>
      <c r="AC665" s="504"/>
      <c r="AD665" s="504"/>
    </row>
    <row r="666" spans="1:30" s="505" customFormat="1" ht="41.25" hidden="1" customHeight="1">
      <c r="A666" s="492"/>
      <c r="B666" s="643"/>
      <c r="C666" s="515"/>
      <c r="D666" s="514"/>
      <c r="E666" s="670" t="s">
        <v>376</v>
      </c>
      <c r="F666" s="670"/>
      <c r="G666" s="670"/>
      <c r="H666" s="670"/>
      <c r="I666" s="670"/>
      <c r="J666" s="670"/>
      <c r="K666" s="670"/>
      <c r="L666" s="498">
        <f>ROUND((I661+J661+K661+L664+L665+L669)*3%,2)</f>
        <v>173.03</v>
      </c>
      <c r="M666" s="459">
        <f>L666</f>
        <v>173.03</v>
      </c>
      <c r="N666" s="655"/>
      <c r="O666" s="656"/>
      <c r="P666" s="657"/>
      <c r="Q666" s="671"/>
      <c r="R666" s="672"/>
      <c r="S666" s="673"/>
      <c r="T666" s="457">
        <f>H661*M666*N661*O661*P661</f>
        <v>0</v>
      </c>
      <c r="U666" s="458">
        <f>T666</f>
        <v>0</v>
      </c>
      <c r="V666" s="42"/>
      <c r="W666" s="504"/>
      <c r="X666" s="504"/>
      <c r="Y666" s="503"/>
      <c r="Z666" s="504"/>
      <c r="AA666" s="504"/>
      <c r="AB666" s="503">
        <f>T666</f>
        <v>0</v>
      </c>
      <c r="AC666" s="504"/>
      <c r="AD666" s="504"/>
    </row>
    <row r="667" spans="1:30" s="505" customFormat="1" ht="54.75" hidden="1" customHeight="1">
      <c r="A667" s="492"/>
      <c r="B667" s="643"/>
      <c r="C667" s="515"/>
      <c r="D667" s="514"/>
      <c r="E667" s="670" t="s">
        <v>377</v>
      </c>
      <c r="F667" s="670"/>
      <c r="G667" s="670"/>
      <c r="H667" s="670"/>
      <c r="I667" s="670"/>
      <c r="J667" s="670"/>
      <c r="K667" s="670"/>
      <c r="L667" s="498">
        <f>2096.66784-K661-L664-L665-L669</f>
        <v>0</v>
      </c>
      <c r="M667" s="459">
        <f>L667</f>
        <v>0</v>
      </c>
      <c r="N667" s="655"/>
      <c r="O667" s="656"/>
      <c r="P667" s="657"/>
      <c r="Q667" s="671"/>
      <c r="R667" s="672"/>
      <c r="S667" s="673"/>
      <c r="T667" s="457">
        <f>H661*M667*N661*O661*P661</f>
        <v>0</v>
      </c>
      <c r="U667" s="458">
        <f>T667</f>
        <v>0</v>
      </c>
      <c r="V667" s="42"/>
      <c r="W667" s="504"/>
      <c r="X667" s="504"/>
      <c r="Y667" s="504"/>
      <c r="Z667" s="506"/>
      <c r="AA667" s="504"/>
      <c r="AB667" s="504"/>
      <c r="AC667" s="506">
        <f>T667</f>
        <v>0</v>
      </c>
      <c r="AD667" s="504"/>
    </row>
    <row r="668" spans="1:30" s="505" customFormat="1" ht="45" hidden="1" customHeight="1">
      <c r="A668" s="492"/>
      <c r="B668" s="643"/>
      <c r="C668" s="515"/>
      <c r="D668" s="514"/>
      <c r="E668" s="674"/>
      <c r="F668" s="675"/>
      <c r="G668" s="675"/>
      <c r="H668" s="675"/>
      <c r="I668" s="675"/>
      <c r="J668" s="675"/>
      <c r="K668" s="675"/>
      <c r="L668" s="675"/>
      <c r="M668" s="676"/>
      <c r="N668" s="655"/>
      <c r="O668" s="656"/>
      <c r="P668" s="657"/>
      <c r="Q668" s="677"/>
      <c r="R668" s="678"/>
      <c r="S668" s="678"/>
      <c r="T668" s="678"/>
      <c r="U668" s="679"/>
      <c r="V668" s="45"/>
      <c r="W668" s="504"/>
      <c r="X668" s="504"/>
      <c r="Y668" s="504"/>
      <c r="Z668" s="504"/>
      <c r="AA668" s="506"/>
      <c r="AB668" s="504"/>
      <c r="AC668" s="504"/>
      <c r="AD668" s="504"/>
    </row>
    <row r="669" spans="1:30" s="505" customFormat="1" ht="53.25" hidden="1" customHeight="1" thickBot="1">
      <c r="A669" s="492"/>
      <c r="B669" s="644"/>
      <c r="C669" s="516"/>
      <c r="D669" s="517"/>
      <c r="E669" s="680" t="s">
        <v>369</v>
      </c>
      <c r="F669" s="680" t="s">
        <v>306</v>
      </c>
      <c r="G669" s="680"/>
      <c r="H669" s="680"/>
      <c r="I669" s="680"/>
      <c r="J669" s="680"/>
      <c r="K669" s="680"/>
      <c r="L669" s="499">
        <f>ROUND((I661+J661+K661+L664)*3.93%,2)</f>
        <v>214.12</v>
      </c>
      <c r="M669" s="46">
        <f>L669</f>
        <v>214.12</v>
      </c>
      <c r="N669" s="658"/>
      <c r="O669" s="659"/>
      <c r="P669" s="660"/>
      <c r="Q669" s="681"/>
      <c r="R669" s="682"/>
      <c r="S669" s="683"/>
      <c r="T669" s="500">
        <f>H661*M669*N661*O661*P661</f>
        <v>0</v>
      </c>
      <c r="U669" s="47">
        <f>T669</f>
        <v>0</v>
      </c>
      <c r="V669" s="48"/>
      <c r="W669" s="504"/>
      <c r="X669" s="504"/>
      <c r="Y669" s="504"/>
      <c r="Z669" s="504"/>
      <c r="AA669" s="504"/>
      <c r="AB669" s="506"/>
      <c r="AC669" s="504"/>
      <c r="AD669" s="506">
        <f>T669</f>
        <v>0</v>
      </c>
    </row>
    <row r="670" spans="1:30" s="520" customFormat="1" ht="150" hidden="1" customHeight="1" thickBot="1">
      <c r="A670" s="492"/>
      <c r="B670" s="642">
        <v>1</v>
      </c>
      <c r="C670" s="511">
        <v>5</v>
      </c>
      <c r="D670" s="512"/>
      <c r="E670" s="493" t="s">
        <v>495</v>
      </c>
      <c r="F670" s="487" t="s">
        <v>496</v>
      </c>
      <c r="G670" s="645" t="s">
        <v>388</v>
      </c>
      <c r="H670" s="688">
        <v>0</v>
      </c>
      <c r="I670" s="494">
        <v>5462.67</v>
      </c>
      <c r="J670" s="494">
        <v>802.59000000000015</v>
      </c>
      <c r="K670" s="494">
        <v>1237.53</v>
      </c>
      <c r="L670" s="494">
        <f>SUM(L672:L678)</f>
        <v>1443.9345800000001</v>
      </c>
      <c r="M670" s="33">
        <f>SUM(I670:L670)</f>
        <v>8946.7245800000001</v>
      </c>
      <c r="N670" s="501">
        <v>1</v>
      </c>
      <c r="O670" s="502">
        <v>1</v>
      </c>
      <c r="P670" s="37">
        <v>1</v>
      </c>
      <c r="Q670" s="34">
        <f>H670*I670*N670*O670*P670</f>
        <v>0</v>
      </c>
      <c r="R670" s="35">
        <f>H670*J670*N670*O670*P670</f>
        <v>0</v>
      </c>
      <c r="S670" s="36">
        <f>H670*K670*N670*O670*P670</f>
        <v>0</v>
      </c>
      <c r="T670" s="36">
        <f>H670*L670*N670*O670*P670</f>
        <v>0</v>
      </c>
      <c r="U670" s="37">
        <f>SUM(Q670:T670)</f>
        <v>0</v>
      </c>
      <c r="V670" s="38">
        <f>(Q670+R670+S670+T674+T675+T676+T678)*'Прогнозная стоимость РСС ИП '!$M$11+T673*'Прогнозная стоимость РСС ИП '!$M$10</f>
        <v>0</v>
      </c>
      <c r="W670" s="518">
        <f>T670</f>
        <v>0</v>
      </c>
      <c r="X670" s="518">
        <f>U670</f>
        <v>0</v>
      </c>
      <c r="Y670" s="518">
        <f>V670</f>
        <v>0</v>
      </c>
      <c r="Z670" s="519"/>
      <c r="AA670" s="519"/>
      <c r="AB670" s="519"/>
      <c r="AC670" s="519"/>
      <c r="AD670" s="519"/>
    </row>
    <row r="671" spans="1:30" s="505" customFormat="1" ht="41.25" hidden="1" customHeight="1">
      <c r="A671" s="492"/>
      <c r="B671" s="643"/>
      <c r="C671" s="513"/>
      <c r="D671" s="514"/>
      <c r="E671" s="495"/>
      <c r="F671" s="496"/>
      <c r="G671" s="646"/>
      <c r="H671" s="688"/>
      <c r="I671" s="649"/>
      <c r="J671" s="650"/>
      <c r="K671" s="650"/>
      <c r="L671" s="650"/>
      <c r="M671" s="651"/>
      <c r="N671" s="652"/>
      <c r="O671" s="653"/>
      <c r="P671" s="654"/>
      <c r="Q671" s="661"/>
      <c r="R671" s="662"/>
      <c r="S671" s="662"/>
      <c r="T671" s="662"/>
      <c r="U671" s="663"/>
      <c r="V671" s="40"/>
      <c r="W671" s="504"/>
      <c r="X671" s="504"/>
      <c r="Y671" s="504"/>
      <c r="Z671" s="504"/>
      <c r="AA671" s="504"/>
      <c r="AB671" s="504"/>
      <c r="AC671" s="504"/>
      <c r="AD671" s="504"/>
    </row>
    <row r="672" spans="1:30" s="505" customFormat="1" ht="41.25" hidden="1" customHeight="1">
      <c r="A672" s="492"/>
      <c r="B672" s="643"/>
      <c r="C672" s="513"/>
      <c r="D672" s="514"/>
      <c r="E672" s="664" t="s">
        <v>29</v>
      </c>
      <c r="F672" s="665"/>
      <c r="G672" s="665"/>
      <c r="H672" s="665"/>
      <c r="I672" s="665"/>
      <c r="J672" s="665"/>
      <c r="K672" s="665"/>
      <c r="L672" s="665"/>
      <c r="M672" s="666"/>
      <c r="N672" s="655"/>
      <c r="O672" s="656"/>
      <c r="P672" s="657"/>
      <c r="Q672" s="667"/>
      <c r="R672" s="668"/>
      <c r="S672" s="668"/>
      <c r="T672" s="668"/>
      <c r="U672" s="669"/>
      <c r="V672" s="42"/>
      <c r="W672" s="504"/>
      <c r="X672" s="504"/>
      <c r="Y672" s="504"/>
      <c r="Z672" s="504"/>
      <c r="AA672" s="504"/>
      <c r="AB672" s="504"/>
      <c r="AC672" s="504"/>
      <c r="AD672" s="504"/>
    </row>
    <row r="673" spans="1:30" s="505" customFormat="1" ht="41.25" hidden="1" customHeight="1">
      <c r="A673" s="492"/>
      <c r="B673" s="643"/>
      <c r="C673" s="513">
        <v>55</v>
      </c>
      <c r="D673" s="514"/>
      <c r="E673" s="670" t="s">
        <v>30</v>
      </c>
      <c r="F673" s="670"/>
      <c r="G673" s="670"/>
      <c r="H673" s="670"/>
      <c r="I673" s="670"/>
      <c r="J673" s="670"/>
      <c r="K673" s="670"/>
      <c r="L673" s="498">
        <v>700.39458000000002</v>
      </c>
      <c r="M673" s="459">
        <f>L673</f>
        <v>700.39458000000002</v>
      </c>
      <c r="N673" s="655"/>
      <c r="O673" s="656"/>
      <c r="P673" s="657"/>
      <c r="Q673" s="671"/>
      <c r="R673" s="672"/>
      <c r="S673" s="673"/>
      <c r="T673" s="457">
        <f>H670*M673*N670*O670*P670</f>
        <v>0</v>
      </c>
      <c r="U673" s="458">
        <f>T673</f>
        <v>0</v>
      </c>
      <c r="V673" s="42"/>
      <c r="W673" s="503"/>
      <c r="X673" s="504"/>
      <c r="Y673" s="504"/>
      <c r="Z673" s="503">
        <f>T673</f>
        <v>0</v>
      </c>
      <c r="AA673" s="504"/>
      <c r="AB673" s="504"/>
      <c r="AC673" s="504"/>
      <c r="AD673" s="504"/>
    </row>
    <row r="674" spans="1:30" s="505" customFormat="1" ht="41.25" hidden="1" customHeight="1">
      <c r="A674" s="492"/>
      <c r="B674" s="643"/>
      <c r="C674" s="513"/>
      <c r="D674" s="514"/>
      <c r="E674" s="670" t="s">
        <v>31</v>
      </c>
      <c r="F674" s="670"/>
      <c r="G674" s="670"/>
      <c r="H674" s="670"/>
      <c r="I674" s="670"/>
      <c r="J674" s="670"/>
      <c r="K674" s="670"/>
      <c r="L674" s="498">
        <f>ROUND((I670+J670+K670)*2.14%,2)</f>
        <v>160.56</v>
      </c>
      <c r="M674" s="459">
        <f>L674</f>
        <v>160.56</v>
      </c>
      <c r="N674" s="655"/>
      <c r="O674" s="656"/>
      <c r="P674" s="657"/>
      <c r="Q674" s="671"/>
      <c r="R674" s="672"/>
      <c r="S674" s="673"/>
      <c r="T674" s="457">
        <f>H670*M674*N670*O670*P670</f>
        <v>0</v>
      </c>
      <c r="U674" s="458">
        <f>T674</f>
        <v>0</v>
      </c>
      <c r="V674" s="42"/>
      <c r="W674" s="504"/>
      <c r="X674" s="503"/>
      <c r="Y674" s="504"/>
      <c r="Z674" s="504"/>
      <c r="AA674" s="503">
        <f>T674</f>
        <v>0</v>
      </c>
      <c r="AB674" s="504"/>
      <c r="AC674" s="504"/>
      <c r="AD674" s="504"/>
    </row>
    <row r="675" spans="1:30" s="505" customFormat="1" ht="41.25" hidden="1" customHeight="1">
      <c r="A675" s="492"/>
      <c r="B675" s="643"/>
      <c r="C675" s="515"/>
      <c r="D675" s="514"/>
      <c r="E675" s="670" t="s">
        <v>376</v>
      </c>
      <c r="F675" s="670"/>
      <c r="G675" s="670"/>
      <c r="H675" s="670"/>
      <c r="I675" s="670"/>
      <c r="J675" s="670"/>
      <c r="K675" s="670"/>
      <c r="L675" s="498">
        <f>ROUND((I670+J670+K670+L673+L674+L678)*3%,2)+0.01</f>
        <v>260.58999999999997</v>
      </c>
      <c r="M675" s="459">
        <f>L675</f>
        <v>260.58999999999997</v>
      </c>
      <c r="N675" s="655"/>
      <c r="O675" s="656"/>
      <c r="P675" s="657"/>
      <c r="Q675" s="671"/>
      <c r="R675" s="672"/>
      <c r="S675" s="673"/>
      <c r="T675" s="457">
        <f>H670*M675*N670*O670*P670</f>
        <v>0</v>
      </c>
      <c r="U675" s="458">
        <f>T675</f>
        <v>0</v>
      </c>
      <c r="V675" s="42"/>
      <c r="W675" s="504"/>
      <c r="X675" s="504"/>
      <c r="Y675" s="503"/>
      <c r="Z675" s="504"/>
      <c r="AA675" s="504"/>
      <c r="AB675" s="503">
        <f>T675</f>
        <v>0</v>
      </c>
      <c r="AC675" s="504"/>
      <c r="AD675" s="504"/>
    </row>
    <row r="676" spans="1:30" s="505" customFormat="1" ht="54.75" hidden="1" customHeight="1">
      <c r="A676" s="492"/>
      <c r="B676" s="643"/>
      <c r="C676" s="515"/>
      <c r="D676" s="514"/>
      <c r="E676" s="670" t="s">
        <v>377</v>
      </c>
      <c r="F676" s="670"/>
      <c r="G676" s="670"/>
      <c r="H676" s="670"/>
      <c r="I676" s="670"/>
      <c r="J676" s="670"/>
      <c r="K676" s="670"/>
      <c r="L676" s="498">
        <f>2420.87458-K670-L673-L674-L678</f>
        <v>0</v>
      </c>
      <c r="M676" s="459">
        <f>L676</f>
        <v>0</v>
      </c>
      <c r="N676" s="655"/>
      <c r="O676" s="656"/>
      <c r="P676" s="657"/>
      <c r="Q676" s="671"/>
      <c r="R676" s="672"/>
      <c r="S676" s="673"/>
      <c r="T676" s="457">
        <f>H670*M676*N670*O670*P670</f>
        <v>0</v>
      </c>
      <c r="U676" s="458">
        <f>T676</f>
        <v>0</v>
      </c>
      <c r="V676" s="42"/>
      <c r="W676" s="504"/>
      <c r="X676" s="504"/>
      <c r="Y676" s="504"/>
      <c r="Z676" s="506"/>
      <c r="AA676" s="504"/>
      <c r="AB676" s="504"/>
      <c r="AC676" s="506">
        <f>T676</f>
        <v>0</v>
      </c>
      <c r="AD676" s="504"/>
    </row>
    <row r="677" spans="1:30" s="505" customFormat="1" ht="45" hidden="1" customHeight="1">
      <c r="A677" s="492"/>
      <c r="B677" s="643"/>
      <c r="C677" s="515"/>
      <c r="D677" s="514"/>
      <c r="E677" s="674"/>
      <c r="F677" s="675"/>
      <c r="G677" s="675"/>
      <c r="H677" s="675"/>
      <c r="I677" s="675"/>
      <c r="J677" s="675"/>
      <c r="K677" s="675"/>
      <c r="L677" s="675"/>
      <c r="M677" s="676"/>
      <c r="N677" s="655"/>
      <c r="O677" s="656"/>
      <c r="P677" s="657"/>
      <c r="Q677" s="677"/>
      <c r="R677" s="678"/>
      <c r="S677" s="678"/>
      <c r="T677" s="678"/>
      <c r="U677" s="679"/>
      <c r="V677" s="45"/>
      <c r="W677" s="504"/>
      <c r="X677" s="504"/>
      <c r="Y677" s="504"/>
      <c r="Z677" s="504"/>
      <c r="AA677" s="506"/>
      <c r="AB677" s="504"/>
      <c r="AC677" s="504"/>
      <c r="AD677" s="504"/>
    </row>
    <row r="678" spans="1:30" s="505" customFormat="1" ht="53.25" hidden="1" customHeight="1" thickBot="1">
      <c r="A678" s="492"/>
      <c r="B678" s="644"/>
      <c r="C678" s="516"/>
      <c r="D678" s="517"/>
      <c r="E678" s="680" t="s">
        <v>369</v>
      </c>
      <c r="F678" s="680" t="s">
        <v>306</v>
      </c>
      <c r="G678" s="680"/>
      <c r="H678" s="680"/>
      <c r="I678" s="680"/>
      <c r="J678" s="680"/>
      <c r="K678" s="680"/>
      <c r="L678" s="499">
        <f>ROUND((I670+J670+K670+L673)*3.93%,2)</f>
        <v>322.39</v>
      </c>
      <c r="M678" s="46">
        <f>L678</f>
        <v>322.39</v>
      </c>
      <c r="N678" s="658"/>
      <c r="O678" s="659"/>
      <c r="P678" s="660"/>
      <c r="Q678" s="681"/>
      <c r="R678" s="682"/>
      <c r="S678" s="683"/>
      <c r="T678" s="500">
        <f>H670*M678*N670*O670*P670</f>
        <v>0</v>
      </c>
      <c r="U678" s="47">
        <f>T678</f>
        <v>0</v>
      </c>
      <c r="V678" s="48"/>
      <c r="W678" s="504"/>
      <c r="X678" s="504"/>
      <c r="Y678" s="504"/>
      <c r="Z678" s="504"/>
      <c r="AA678" s="504"/>
      <c r="AB678" s="506"/>
      <c r="AC678" s="504"/>
      <c r="AD678" s="506">
        <f>T678</f>
        <v>0</v>
      </c>
    </row>
    <row r="679" spans="1:30" s="488" customFormat="1" ht="150" hidden="1" customHeight="1" thickBot="1">
      <c r="A679" s="492"/>
      <c r="B679" s="642">
        <v>1</v>
      </c>
      <c r="C679" s="511">
        <v>5</v>
      </c>
      <c r="D679" s="512"/>
      <c r="E679" s="493" t="s">
        <v>497</v>
      </c>
      <c r="F679" s="487" t="s">
        <v>498</v>
      </c>
      <c r="G679" s="645" t="s">
        <v>388</v>
      </c>
      <c r="H679" s="688">
        <v>0</v>
      </c>
      <c r="I679" s="494">
        <v>306.58</v>
      </c>
      <c r="J679" s="494">
        <v>178.45999999999998</v>
      </c>
      <c r="K679" s="494">
        <v>29.59</v>
      </c>
      <c r="L679" s="494">
        <f>SUM(L681:L687)</f>
        <v>95.267259999999993</v>
      </c>
      <c r="M679" s="33">
        <f>SUM(I679:L679)</f>
        <v>609.89725999999996</v>
      </c>
      <c r="N679" s="501">
        <v>1</v>
      </c>
      <c r="O679" s="502">
        <v>1</v>
      </c>
      <c r="P679" s="37">
        <v>1</v>
      </c>
      <c r="Q679" s="34">
        <f>H679*I679*N679*O679*P679</f>
        <v>0</v>
      </c>
      <c r="R679" s="35">
        <f>H679*J679*N679*O679*P679</f>
        <v>0</v>
      </c>
      <c r="S679" s="36">
        <f>H679*K679*N679*O679*P679</f>
        <v>0</v>
      </c>
      <c r="T679" s="36">
        <f>H679*L679*N679*O679*P679</f>
        <v>0</v>
      </c>
      <c r="U679" s="37">
        <f>SUM(Q679:T679)</f>
        <v>0</v>
      </c>
      <c r="V679" s="38">
        <f>(Q679+R679+S679+T683+T684+T685+T687)*'Прогнозная стоимость РСС ИП '!$M$11+T682*'Прогнозная стоимость РСС ИП '!$M$10</f>
        <v>0</v>
      </c>
      <c r="W679" s="39">
        <f>T679</f>
        <v>0</v>
      </c>
      <c r="X679" s="39">
        <f>U679</f>
        <v>0</v>
      </c>
      <c r="Y679" s="39">
        <f>V679</f>
        <v>0</v>
      </c>
      <c r="Z679" s="29"/>
      <c r="AA679" s="29"/>
      <c r="AB679" s="29"/>
      <c r="AC679" s="29"/>
      <c r="AD679" s="29"/>
    </row>
    <row r="680" spans="1:30" s="488" customFormat="1" ht="41.25" hidden="1" customHeight="1">
      <c r="A680" s="492"/>
      <c r="B680" s="643"/>
      <c r="C680" s="513"/>
      <c r="D680" s="514"/>
      <c r="E680" s="495"/>
      <c r="F680" s="496"/>
      <c r="G680" s="646"/>
      <c r="H680" s="688"/>
      <c r="I680" s="649"/>
      <c r="J680" s="650"/>
      <c r="K680" s="650"/>
      <c r="L680" s="650"/>
      <c r="M680" s="651"/>
      <c r="N680" s="652"/>
      <c r="O680" s="653"/>
      <c r="P680" s="654"/>
      <c r="Q680" s="661"/>
      <c r="R680" s="662"/>
      <c r="S680" s="662"/>
      <c r="T680" s="662"/>
      <c r="U680" s="663"/>
      <c r="V680" s="40"/>
      <c r="W680" s="41"/>
      <c r="X680" s="41"/>
      <c r="Y680" s="41"/>
      <c r="Z680" s="29"/>
      <c r="AA680" s="29"/>
      <c r="AB680" s="29"/>
      <c r="AC680" s="29"/>
      <c r="AD680" s="29"/>
    </row>
    <row r="681" spans="1:30" s="488" customFormat="1" ht="41.25" hidden="1" customHeight="1">
      <c r="A681" s="492"/>
      <c r="B681" s="643"/>
      <c r="C681" s="513"/>
      <c r="D681" s="514"/>
      <c r="E681" s="664" t="s">
        <v>29</v>
      </c>
      <c r="F681" s="665"/>
      <c r="G681" s="665"/>
      <c r="H681" s="665"/>
      <c r="I681" s="665"/>
      <c r="J681" s="665"/>
      <c r="K681" s="665"/>
      <c r="L681" s="665"/>
      <c r="M681" s="666"/>
      <c r="N681" s="655"/>
      <c r="O681" s="656"/>
      <c r="P681" s="657"/>
      <c r="Q681" s="667"/>
      <c r="R681" s="689"/>
      <c r="S681" s="689"/>
      <c r="T681" s="689"/>
      <c r="U681" s="690"/>
      <c r="V681" s="42"/>
      <c r="W681" s="41"/>
      <c r="X681" s="41"/>
      <c r="Y681" s="41"/>
      <c r="Z681" s="29"/>
      <c r="AA681" s="29"/>
      <c r="AB681" s="29"/>
      <c r="AC681" s="29"/>
      <c r="AD681" s="29"/>
    </row>
    <row r="682" spans="1:30" s="488" customFormat="1" ht="41.25" hidden="1" customHeight="1">
      <c r="A682" s="492"/>
      <c r="B682" s="643"/>
      <c r="C682" s="513">
        <v>55</v>
      </c>
      <c r="D682" s="514"/>
      <c r="E682" s="670" t="s">
        <v>30</v>
      </c>
      <c r="F682" s="670"/>
      <c r="G682" s="670"/>
      <c r="H682" s="670"/>
      <c r="I682" s="670"/>
      <c r="J682" s="670"/>
      <c r="K682" s="670"/>
      <c r="L682" s="498">
        <v>44.51726</v>
      </c>
      <c r="M682" s="459">
        <f>L682</f>
        <v>44.51726</v>
      </c>
      <c r="N682" s="655"/>
      <c r="O682" s="656"/>
      <c r="P682" s="657"/>
      <c r="Q682" s="671"/>
      <c r="R682" s="672"/>
      <c r="S682" s="673"/>
      <c r="T682" s="457">
        <f>H679*M682*N679*O679*P679</f>
        <v>0</v>
      </c>
      <c r="U682" s="458">
        <f>T682</f>
        <v>0</v>
      </c>
      <c r="V682" s="42"/>
      <c r="W682" s="39"/>
      <c r="X682" s="41"/>
      <c r="Y682" s="41"/>
      <c r="Z682" s="43">
        <f>T682</f>
        <v>0</v>
      </c>
      <c r="AA682" s="29"/>
      <c r="AB682" s="29"/>
      <c r="AC682" s="29"/>
      <c r="AD682" s="29"/>
    </row>
    <row r="683" spans="1:30" s="488" customFormat="1" ht="41.25" hidden="1" customHeight="1">
      <c r="A683" s="492"/>
      <c r="B683" s="643"/>
      <c r="C683" s="513"/>
      <c r="D683" s="514"/>
      <c r="E683" s="670" t="s">
        <v>31</v>
      </c>
      <c r="F683" s="670"/>
      <c r="G683" s="670"/>
      <c r="H683" s="670"/>
      <c r="I683" s="670"/>
      <c r="J683" s="670"/>
      <c r="K683" s="670"/>
      <c r="L683" s="498">
        <f>ROUND((I679+J679+K679)*2.14%,2)</f>
        <v>11.01</v>
      </c>
      <c r="M683" s="459">
        <f>L683</f>
        <v>11.01</v>
      </c>
      <c r="N683" s="655"/>
      <c r="O683" s="656"/>
      <c r="P683" s="657"/>
      <c r="Q683" s="671"/>
      <c r="R683" s="672"/>
      <c r="S683" s="673"/>
      <c r="T683" s="457">
        <f>H679*M683*N679*O679*P679</f>
        <v>0</v>
      </c>
      <c r="U683" s="458">
        <f>T683</f>
        <v>0</v>
      </c>
      <c r="V683" s="42"/>
      <c r="W683" s="41"/>
      <c r="X683" s="39"/>
      <c r="Y683" s="41"/>
      <c r="Z683" s="29"/>
      <c r="AA683" s="43">
        <f>T683</f>
        <v>0</v>
      </c>
      <c r="AB683" s="29"/>
      <c r="AC683" s="29"/>
      <c r="AD683" s="29"/>
    </row>
    <row r="684" spans="1:30" s="488" customFormat="1" ht="41.25" hidden="1" customHeight="1">
      <c r="A684" s="492"/>
      <c r="B684" s="643"/>
      <c r="C684" s="515"/>
      <c r="D684" s="514"/>
      <c r="E684" s="670" t="s">
        <v>376</v>
      </c>
      <c r="F684" s="670"/>
      <c r="G684" s="670"/>
      <c r="H684" s="670"/>
      <c r="I684" s="670"/>
      <c r="J684" s="670"/>
      <c r="K684" s="670"/>
      <c r="L684" s="498">
        <f>ROUND((I679+J679+K679+L682+L683+L687)*3%,2)+0.01</f>
        <v>17.770000000000003</v>
      </c>
      <c r="M684" s="459">
        <f>L684</f>
        <v>17.770000000000003</v>
      </c>
      <c r="N684" s="655"/>
      <c r="O684" s="656"/>
      <c r="P684" s="657"/>
      <c r="Q684" s="671"/>
      <c r="R684" s="672"/>
      <c r="S684" s="673"/>
      <c r="T684" s="457">
        <f>H679*M684*N679*O679*P679</f>
        <v>0</v>
      </c>
      <c r="U684" s="458">
        <f>T684</f>
        <v>0</v>
      </c>
      <c r="V684" s="42"/>
      <c r="W684" s="41"/>
      <c r="X684" s="41"/>
      <c r="Y684" s="39"/>
      <c r="Z684" s="29"/>
      <c r="AA684" s="29"/>
      <c r="AB684" s="43">
        <f>T684</f>
        <v>0</v>
      </c>
      <c r="AC684" s="29"/>
      <c r="AD684" s="29"/>
    </row>
    <row r="685" spans="1:30" s="488" customFormat="1" ht="54.75" hidden="1" customHeight="1">
      <c r="A685" s="492"/>
      <c r="B685" s="643"/>
      <c r="C685" s="515"/>
      <c r="D685" s="514"/>
      <c r="E685" s="670" t="s">
        <v>377</v>
      </c>
      <c r="F685" s="670"/>
      <c r="G685" s="670"/>
      <c r="H685" s="670"/>
      <c r="I685" s="670"/>
      <c r="J685" s="670"/>
      <c r="K685" s="670"/>
      <c r="L685" s="498">
        <f>107.08726-K679-L682-L683-L687</f>
        <v>0</v>
      </c>
      <c r="M685" s="459">
        <f>L685</f>
        <v>0</v>
      </c>
      <c r="N685" s="655"/>
      <c r="O685" s="656"/>
      <c r="P685" s="657"/>
      <c r="Q685" s="671"/>
      <c r="R685" s="672"/>
      <c r="S685" s="673"/>
      <c r="T685" s="457">
        <f>H679*M685*N679*O679*P679</f>
        <v>0</v>
      </c>
      <c r="U685" s="458">
        <f>T685</f>
        <v>0</v>
      </c>
      <c r="V685" s="42"/>
      <c r="W685" s="41"/>
      <c r="X685" s="41"/>
      <c r="Y685" s="41"/>
      <c r="Z685" s="44"/>
      <c r="AA685" s="29"/>
      <c r="AB685" s="29"/>
      <c r="AC685" s="44">
        <f>T685</f>
        <v>0</v>
      </c>
      <c r="AD685" s="29"/>
    </row>
    <row r="686" spans="1:30" s="488" customFormat="1" ht="45" hidden="1" customHeight="1">
      <c r="A686" s="492"/>
      <c r="B686" s="643"/>
      <c r="C686" s="515"/>
      <c r="D686" s="514"/>
      <c r="E686" s="674"/>
      <c r="F686" s="675"/>
      <c r="G686" s="675"/>
      <c r="H686" s="675"/>
      <c r="I686" s="675"/>
      <c r="J686" s="675"/>
      <c r="K686" s="675"/>
      <c r="L686" s="675"/>
      <c r="M686" s="676"/>
      <c r="N686" s="655"/>
      <c r="O686" s="656"/>
      <c r="P686" s="657"/>
      <c r="Q686" s="677"/>
      <c r="R686" s="678"/>
      <c r="S686" s="678"/>
      <c r="T686" s="678"/>
      <c r="U686" s="679"/>
      <c r="V686" s="45"/>
      <c r="W686" s="41"/>
      <c r="X686" s="41"/>
      <c r="Y686" s="41"/>
      <c r="Z686" s="29"/>
      <c r="AA686" s="44"/>
      <c r="AB686" s="29"/>
      <c r="AC686" s="29"/>
      <c r="AD686" s="29"/>
    </row>
    <row r="687" spans="1:30" s="488" customFormat="1" ht="45" hidden="1" customHeight="1" thickBot="1">
      <c r="A687" s="492"/>
      <c r="B687" s="644"/>
      <c r="C687" s="516"/>
      <c r="D687" s="517"/>
      <c r="E687" s="680" t="s">
        <v>369</v>
      </c>
      <c r="F687" s="680" t="s">
        <v>306</v>
      </c>
      <c r="G687" s="680"/>
      <c r="H687" s="680"/>
      <c r="I687" s="680"/>
      <c r="J687" s="680"/>
      <c r="K687" s="680"/>
      <c r="L687" s="499">
        <f>ROUND((I679+J679+K679+L682)*3.93%,2)</f>
        <v>21.97</v>
      </c>
      <c r="M687" s="46">
        <f>L687</f>
        <v>21.97</v>
      </c>
      <c r="N687" s="658"/>
      <c r="O687" s="659"/>
      <c r="P687" s="660"/>
      <c r="Q687" s="681"/>
      <c r="R687" s="682"/>
      <c r="S687" s="683"/>
      <c r="T687" s="500">
        <f>H679*M687*N679*O679*P679</f>
        <v>0</v>
      </c>
      <c r="U687" s="47">
        <f>T687</f>
        <v>0</v>
      </c>
      <c r="V687" s="48"/>
      <c r="W687" s="41"/>
      <c r="X687" s="41"/>
      <c r="Y687" s="41"/>
      <c r="Z687" s="29"/>
      <c r="AA687" s="29"/>
      <c r="AB687" s="44"/>
      <c r="AC687" s="29"/>
      <c r="AD687" s="44">
        <f>T687</f>
        <v>0</v>
      </c>
    </row>
    <row r="688" spans="1:30" s="488" customFormat="1" ht="150" hidden="1" customHeight="1" thickBot="1">
      <c r="A688" s="492"/>
      <c r="B688" s="642">
        <v>1</v>
      </c>
      <c r="C688" s="511">
        <v>5</v>
      </c>
      <c r="D688" s="512"/>
      <c r="E688" s="493" t="s">
        <v>499</v>
      </c>
      <c r="F688" s="487" t="s">
        <v>500</v>
      </c>
      <c r="G688" s="645" t="s">
        <v>388</v>
      </c>
      <c r="H688" s="688">
        <v>0</v>
      </c>
      <c r="I688" s="494">
        <v>318.77999999999997</v>
      </c>
      <c r="J688" s="494">
        <v>178.45999999999998</v>
      </c>
      <c r="K688" s="494">
        <v>29.59</v>
      </c>
      <c r="L688" s="494">
        <f>SUM(L690:L696)</f>
        <v>96.421660000000003</v>
      </c>
      <c r="M688" s="33">
        <f>SUM(I688:L688)</f>
        <v>623.2516599999999</v>
      </c>
      <c r="N688" s="501">
        <v>1</v>
      </c>
      <c r="O688" s="502">
        <v>1</v>
      </c>
      <c r="P688" s="37">
        <v>1</v>
      </c>
      <c r="Q688" s="34">
        <f>H688*I688*N688*O688*P688</f>
        <v>0</v>
      </c>
      <c r="R688" s="35">
        <f>H688*J688*N688*O688*P688</f>
        <v>0</v>
      </c>
      <c r="S688" s="36">
        <f>H688*K688*N688*O688*P688</f>
        <v>0</v>
      </c>
      <c r="T688" s="36">
        <f>H688*L688*N688*O688*P688</f>
        <v>0</v>
      </c>
      <c r="U688" s="37">
        <f>SUM(Q688:T688)</f>
        <v>0</v>
      </c>
      <c r="V688" s="38">
        <f>(Q688+R688+S688+T692+T693+T694+T696)*'Прогнозная стоимость РСС ИП '!$M$11+T691*'Прогнозная стоимость РСС ИП '!$M$10</f>
        <v>0</v>
      </c>
      <c r="W688" s="39">
        <f>T688</f>
        <v>0</v>
      </c>
      <c r="X688" s="39">
        <f>U688</f>
        <v>0</v>
      </c>
      <c r="Y688" s="39">
        <f>V688</f>
        <v>0</v>
      </c>
      <c r="Z688" s="29"/>
      <c r="AA688" s="29"/>
      <c r="AB688" s="29"/>
      <c r="AC688" s="29"/>
      <c r="AD688" s="29"/>
    </row>
    <row r="689" spans="1:30" s="488" customFormat="1" ht="41.25" hidden="1" customHeight="1">
      <c r="A689" s="492"/>
      <c r="B689" s="643"/>
      <c r="C689" s="513"/>
      <c r="D689" s="514"/>
      <c r="E689" s="495"/>
      <c r="F689" s="496"/>
      <c r="G689" s="646"/>
      <c r="H689" s="688"/>
      <c r="I689" s="649"/>
      <c r="J689" s="650"/>
      <c r="K689" s="650"/>
      <c r="L689" s="650"/>
      <c r="M689" s="651"/>
      <c r="N689" s="652"/>
      <c r="O689" s="653"/>
      <c r="P689" s="654"/>
      <c r="Q689" s="661"/>
      <c r="R689" s="662"/>
      <c r="S689" s="662"/>
      <c r="T689" s="662"/>
      <c r="U689" s="663"/>
      <c r="V689" s="40"/>
      <c r="W689" s="41"/>
      <c r="X689" s="41"/>
      <c r="Y689" s="41"/>
      <c r="Z689" s="29"/>
      <c r="AA689" s="29"/>
      <c r="AB689" s="29"/>
      <c r="AC689" s="29"/>
      <c r="AD689" s="29"/>
    </row>
    <row r="690" spans="1:30" s="488" customFormat="1" ht="41.25" hidden="1" customHeight="1">
      <c r="A690" s="492"/>
      <c r="B690" s="643"/>
      <c r="C690" s="513"/>
      <c r="D690" s="514"/>
      <c r="E690" s="664" t="s">
        <v>29</v>
      </c>
      <c r="F690" s="665"/>
      <c r="G690" s="665"/>
      <c r="H690" s="665"/>
      <c r="I690" s="665"/>
      <c r="J690" s="665"/>
      <c r="K690" s="665"/>
      <c r="L690" s="665"/>
      <c r="M690" s="666"/>
      <c r="N690" s="655"/>
      <c r="O690" s="656"/>
      <c r="P690" s="657"/>
      <c r="Q690" s="667"/>
      <c r="R690" s="689"/>
      <c r="S690" s="689"/>
      <c r="T690" s="689"/>
      <c r="U690" s="690"/>
      <c r="V690" s="42"/>
      <c r="W690" s="41"/>
      <c r="X690" s="41"/>
      <c r="Y690" s="41"/>
      <c r="Z690" s="29"/>
      <c r="AA690" s="29"/>
      <c r="AB690" s="29"/>
      <c r="AC690" s="29"/>
      <c r="AD690" s="29"/>
    </row>
    <row r="691" spans="1:30" s="488" customFormat="1" ht="41.25" hidden="1" customHeight="1">
      <c r="A691" s="492"/>
      <c r="B691" s="643"/>
      <c r="C691" s="513">
        <v>55</v>
      </c>
      <c r="D691" s="514"/>
      <c r="E691" s="670" t="s">
        <v>30</v>
      </c>
      <c r="F691" s="670"/>
      <c r="G691" s="670"/>
      <c r="H691" s="670"/>
      <c r="I691" s="670"/>
      <c r="J691" s="670"/>
      <c r="K691" s="670"/>
      <c r="L691" s="498">
        <v>44.54166</v>
      </c>
      <c r="M691" s="459">
        <f>L691</f>
        <v>44.54166</v>
      </c>
      <c r="N691" s="655"/>
      <c r="O691" s="656"/>
      <c r="P691" s="657"/>
      <c r="Q691" s="671"/>
      <c r="R691" s="672"/>
      <c r="S691" s="673"/>
      <c r="T691" s="457">
        <f>H688*M691*N688*O688*P688</f>
        <v>0</v>
      </c>
      <c r="U691" s="458">
        <f>T691</f>
        <v>0</v>
      </c>
      <c r="V691" s="42"/>
      <c r="W691" s="39"/>
      <c r="X691" s="41"/>
      <c r="Y691" s="41"/>
      <c r="Z691" s="43">
        <f>T691</f>
        <v>0</v>
      </c>
      <c r="AA691" s="29"/>
      <c r="AB691" s="29"/>
      <c r="AC691" s="29"/>
      <c r="AD691" s="29"/>
    </row>
    <row r="692" spans="1:30" s="488" customFormat="1" ht="41.25" hidden="1" customHeight="1">
      <c r="A692" s="492"/>
      <c r="B692" s="643"/>
      <c r="C692" s="513"/>
      <c r="D692" s="514"/>
      <c r="E692" s="670" t="s">
        <v>31</v>
      </c>
      <c r="F692" s="670"/>
      <c r="G692" s="670"/>
      <c r="H692" s="670"/>
      <c r="I692" s="670"/>
      <c r="J692" s="670"/>
      <c r="K692" s="670"/>
      <c r="L692" s="498">
        <f>ROUND((I688+J688+K688)*2.14%,2)</f>
        <v>11.27</v>
      </c>
      <c r="M692" s="459">
        <f>L692</f>
        <v>11.27</v>
      </c>
      <c r="N692" s="655"/>
      <c r="O692" s="656"/>
      <c r="P692" s="657"/>
      <c r="Q692" s="671"/>
      <c r="R692" s="672"/>
      <c r="S692" s="673"/>
      <c r="T692" s="457">
        <f>H688*M692*N688*O688*P688</f>
        <v>0</v>
      </c>
      <c r="U692" s="458">
        <f>T692</f>
        <v>0</v>
      </c>
      <c r="V692" s="42"/>
      <c r="W692" s="41"/>
      <c r="X692" s="39"/>
      <c r="Y692" s="41"/>
      <c r="Z692" s="29"/>
      <c r="AA692" s="43">
        <f>T692</f>
        <v>0</v>
      </c>
      <c r="AB692" s="29"/>
      <c r="AC692" s="29"/>
      <c r="AD692" s="29"/>
    </row>
    <row r="693" spans="1:30" s="488" customFormat="1" ht="41.25" hidden="1" customHeight="1">
      <c r="A693" s="492"/>
      <c r="B693" s="643"/>
      <c r="C693" s="515"/>
      <c r="D693" s="514"/>
      <c r="E693" s="670" t="s">
        <v>376</v>
      </c>
      <c r="F693" s="670"/>
      <c r="G693" s="670"/>
      <c r="H693" s="670"/>
      <c r="I693" s="670"/>
      <c r="J693" s="670"/>
      <c r="K693" s="670"/>
      <c r="L693" s="498">
        <f>ROUND((I688+J688+K688+L691+L692+L696)*3%,2)+0.01</f>
        <v>18.16</v>
      </c>
      <c r="M693" s="459">
        <f>L693</f>
        <v>18.16</v>
      </c>
      <c r="N693" s="655"/>
      <c r="O693" s="656"/>
      <c r="P693" s="657"/>
      <c r="Q693" s="671"/>
      <c r="R693" s="672"/>
      <c r="S693" s="673"/>
      <c r="T693" s="457">
        <f>H688*M693*N688*O688*P688</f>
        <v>0</v>
      </c>
      <c r="U693" s="458">
        <f>T693</f>
        <v>0</v>
      </c>
      <c r="V693" s="42"/>
      <c r="W693" s="41"/>
      <c r="X693" s="41"/>
      <c r="Y693" s="39"/>
      <c r="Z693" s="29"/>
      <c r="AA693" s="29"/>
      <c r="AB693" s="43">
        <f>T693</f>
        <v>0</v>
      </c>
      <c r="AC693" s="29"/>
      <c r="AD693" s="29"/>
    </row>
    <row r="694" spans="1:30" s="488" customFormat="1" ht="54.75" hidden="1" customHeight="1">
      <c r="A694" s="492"/>
      <c r="B694" s="643"/>
      <c r="C694" s="515"/>
      <c r="D694" s="514"/>
      <c r="E694" s="670" t="s">
        <v>377</v>
      </c>
      <c r="F694" s="670"/>
      <c r="G694" s="670"/>
      <c r="H694" s="670"/>
      <c r="I694" s="670"/>
      <c r="J694" s="670"/>
      <c r="K694" s="670"/>
      <c r="L694" s="498">
        <f>107.85166-K688-L691-L692-L696</f>
        <v>0</v>
      </c>
      <c r="M694" s="459">
        <f>L694</f>
        <v>0</v>
      </c>
      <c r="N694" s="655"/>
      <c r="O694" s="656"/>
      <c r="P694" s="657"/>
      <c r="Q694" s="671"/>
      <c r="R694" s="672"/>
      <c r="S694" s="673"/>
      <c r="T694" s="457">
        <f>H688*M694*N688*O688*P688</f>
        <v>0</v>
      </c>
      <c r="U694" s="458">
        <f>T694</f>
        <v>0</v>
      </c>
      <c r="V694" s="42"/>
      <c r="W694" s="41"/>
      <c r="X694" s="41"/>
      <c r="Y694" s="41"/>
      <c r="Z694" s="44"/>
      <c r="AA694" s="29"/>
      <c r="AB694" s="29"/>
      <c r="AC694" s="44">
        <f>T694</f>
        <v>0</v>
      </c>
      <c r="AD694" s="29"/>
    </row>
    <row r="695" spans="1:30" s="488" customFormat="1" ht="45" hidden="1" customHeight="1">
      <c r="A695" s="492"/>
      <c r="B695" s="643"/>
      <c r="C695" s="515"/>
      <c r="D695" s="514"/>
      <c r="E695" s="674"/>
      <c r="F695" s="675"/>
      <c r="G695" s="675"/>
      <c r="H695" s="675"/>
      <c r="I695" s="675"/>
      <c r="J695" s="675"/>
      <c r="K695" s="675"/>
      <c r="L695" s="675"/>
      <c r="M695" s="676"/>
      <c r="N695" s="655"/>
      <c r="O695" s="656"/>
      <c r="P695" s="657"/>
      <c r="Q695" s="677"/>
      <c r="R695" s="678"/>
      <c r="S695" s="678"/>
      <c r="T695" s="678"/>
      <c r="U695" s="679"/>
      <c r="V695" s="45"/>
      <c r="W695" s="41"/>
      <c r="X695" s="41"/>
      <c r="Y695" s="41"/>
      <c r="Z695" s="29"/>
      <c r="AA695" s="44"/>
      <c r="AB695" s="29"/>
      <c r="AC695" s="29"/>
      <c r="AD695" s="29"/>
    </row>
    <row r="696" spans="1:30" s="488" customFormat="1" ht="45" hidden="1" customHeight="1" thickBot="1">
      <c r="A696" s="492"/>
      <c r="B696" s="644"/>
      <c r="C696" s="516"/>
      <c r="D696" s="517"/>
      <c r="E696" s="680" t="s">
        <v>369</v>
      </c>
      <c r="F696" s="680" t="s">
        <v>306</v>
      </c>
      <c r="G696" s="680"/>
      <c r="H696" s="680"/>
      <c r="I696" s="680"/>
      <c r="J696" s="680"/>
      <c r="K696" s="680"/>
      <c r="L696" s="499">
        <f>ROUND((I688+J688+K688+L691)*3.93%,2)</f>
        <v>22.45</v>
      </c>
      <c r="M696" s="46">
        <f>L696</f>
        <v>22.45</v>
      </c>
      <c r="N696" s="658"/>
      <c r="O696" s="659"/>
      <c r="P696" s="660"/>
      <c r="Q696" s="681"/>
      <c r="R696" s="682"/>
      <c r="S696" s="683"/>
      <c r="T696" s="500">
        <f>H688*M696*N688*O688*P688</f>
        <v>0</v>
      </c>
      <c r="U696" s="47">
        <f>T696</f>
        <v>0</v>
      </c>
      <c r="V696" s="48"/>
      <c r="W696" s="41"/>
      <c r="X696" s="41"/>
      <c r="Y696" s="41"/>
      <c r="Z696" s="29"/>
      <c r="AA696" s="29"/>
      <c r="AB696" s="44"/>
      <c r="AC696" s="29"/>
      <c r="AD696" s="44">
        <f>T696</f>
        <v>0</v>
      </c>
    </row>
    <row r="697" spans="1:30" s="488" customFormat="1" ht="150" hidden="1" customHeight="1" thickBot="1">
      <c r="A697" s="492"/>
      <c r="B697" s="642">
        <v>1</v>
      </c>
      <c r="C697" s="511">
        <v>5</v>
      </c>
      <c r="D697" s="512"/>
      <c r="E697" s="493" t="s">
        <v>501</v>
      </c>
      <c r="F697" s="487" t="s">
        <v>502</v>
      </c>
      <c r="G697" s="645" t="s">
        <v>388</v>
      </c>
      <c r="H697" s="688">
        <v>0</v>
      </c>
      <c r="I697" s="494">
        <v>335.56</v>
      </c>
      <c r="J697" s="494">
        <v>178.38</v>
      </c>
      <c r="K697" s="494">
        <v>29.59</v>
      </c>
      <c r="L697" s="494">
        <f>SUM(L699:L705)</f>
        <v>98.00506</v>
      </c>
      <c r="M697" s="33">
        <f>SUM(I697:L697)</f>
        <v>641.53506000000004</v>
      </c>
      <c r="N697" s="501">
        <v>1</v>
      </c>
      <c r="O697" s="502">
        <v>1</v>
      </c>
      <c r="P697" s="37">
        <v>1</v>
      </c>
      <c r="Q697" s="34">
        <f>H697*I697*N697*O697*P697</f>
        <v>0</v>
      </c>
      <c r="R697" s="35">
        <f>H697*J697*N697*O697*P697</f>
        <v>0</v>
      </c>
      <c r="S697" s="36">
        <f>H697*K697*N697*O697*P697</f>
        <v>0</v>
      </c>
      <c r="T697" s="36">
        <f>H697*L697*N697*O697*P697</f>
        <v>0</v>
      </c>
      <c r="U697" s="37">
        <f>SUM(Q697:T697)</f>
        <v>0</v>
      </c>
      <c r="V697" s="38">
        <f>(Q697+R697+S697+T701+T702+T703+T705)*'Прогнозная стоимость РСС ИП '!$M$11+T700*'Прогнозная стоимость РСС ИП '!$M$10</f>
        <v>0</v>
      </c>
      <c r="W697" s="39">
        <f>T697</f>
        <v>0</v>
      </c>
      <c r="X697" s="39">
        <f>U697</f>
        <v>0</v>
      </c>
      <c r="Y697" s="39">
        <f>V697</f>
        <v>0</v>
      </c>
      <c r="Z697" s="29"/>
      <c r="AA697" s="29"/>
      <c r="AB697" s="29"/>
      <c r="AC697" s="29"/>
      <c r="AD697" s="29"/>
    </row>
    <row r="698" spans="1:30" s="488" customFormat="1" ht="41.25" hidden="1" customHeight="1">
      <c r="A698" s="492"/>
      <c r="B698" s="643"/>
      <c r="C698" s="513"/>
      <c r="D698" s="514"/>
      <c r="E698" s="495"/>
      <c r="F698" s="496"/>
      <c r="G698" s="646"/>
      <c r="H698" s="688"/>
      <c r="I698" s="649"/>
      <c r="J698" s="650"/>
      <c r="K698" s="650"/>
      <c r="L698" s="650"/>
      <c r="M698" s="651"/>
      <c r="N698" s="652"/>
      <c r="O698" s="653"/>
      <c r="P698" s="654"/>
      <c r="Q698" s="661"/>
      <c r="R698" s="662"/>
      <c r="S698" s="662"/>
      <c r="T698" s="662"/>
      <c r="U698" s="663"/>
      <c r="V698" s="40"/>
      <c r="W698" s="41"/>
      <c r="X698" s="41"/>
      <c r="Y698" s="41"/>
      <c r="Z698" s="29"/>
      <c r="AA698" s="29"/>
      <c r="AB698" s="29"/>
      <c r="AC698" s="29"/>
      <c r="AD698" s="29"/>
    </row>
    <row r="699" spans="1:30" s="488" customFormat="1" ht="41.25" hidden="1" customHeight="1">
      <c r="A699" s="492"/>
      <c r="B699" s="643"/>
      <c r="C699" s="513"/>
      <c r="D699" s="514"/>
      <c r="E699" s="664" t="s">
        <v>29</v>
      </c>
      <c r="F699" s="665"/>
      <c r="G699" s="665"/>
      <c r="H699" s="665"/>
      <c r="I699" s="665"/>
      <c r="J699" s="665"/>
      <c r="K699" s="665"/>
      <c r="L699" s="665"/>
      <c r="M699" s="666"/>
      <c r="N699" s="655"/>
      <c r="O699" s="656"/>
      <c r="P699" s="657"/>
      <c r="Q699" s="667"/>
      <c r="R699" s="689"/>
      <c r="S699" s="689"/>
      <c r="T699" s="689"/>
      <c r="U699" s="690"/>
      <c r="V699" s="42"/>
      <c r="W699" s="41"/>
      <c r="X699" s="41"/>
      <c r="Y699" s="41"/>
      <c r="Z699" s="29"/>
      <c r="AA699" s="29"/>
      <c r="AB699" s="29"/>
      <c r="AC699" s="29"/>
      <c r="AD699" s="29"/>
    </row>
    <row r="700" spans="1:30" s="488" customFormat="1" ht="41.25" hidden="1" customHeight="1">
      <c r="A700" s="492"/>
      <c r="B700" s="643"/>
      <c r="C700" s="513">
        <v>55</v>
      </c>
      <c r="D700" s="514"/>
      <c r="E700" s="670" t="s">
        <v>30</v>
      </c>
      <c r="F700" s="670"/>
      <c r="G700" s="670"/>
      <c r="H700" s="670"/>
      <c r="I700" s="670"/>
      <c r="J700" s="670"/>
      <c r="K700" s="670"/>
      <c r="L700" s="498">
        <v>44.575060000000001</v>
      </c>
      <c r="M700" s="459">
        <f>L700</f>
        <v>44.575060000000001</v>
      </c>
      <c r="N700" s="655"/>
      <c r="O700" s="656"/>
      <c r="P700" s="657"/>
      <c r="Q700" s="671"/>
      <c r="R700" s="672"/>
      <c r="S700" s="673"/>
      <c r="T700" s="457">
        <f>H697*M700*N697*O697*P697</f>
        <v>0</v>
      </c>
      <c r="U700" s="458">
        <f>T700</f>
        <v>0</v>
      </c>
      <c r="V700" s="42"/>
      <c r="W700" s="39"/>
      <c r="X700" s="41"/>
      <c r="Y700" s="41"/>
      <c r="Z700" s="43">
        <f>T700</f>
        <v>0</v>
      </c>
      <c r="AA700" s="29"/>
      <c r="AB700" s="29"/>
      <c r="AC700" s="29"/>
      <c r="AD700" s="29"/>
    </row>
    <row r="701" spans="1:30" s="488" customFormat="1" ht="41.25" hidden="1" customHeight="1">
      <c r="A701" s="492"/>
      <c r="B701" s="643"/>
      <c r="C701" s="513"/>
      <c r="D701" s="514"/>
      <c r="E701" s="670" t="s">
        <v>31</v>
      </c>
      <c r="F701" s="670"/>
      <c r="G701" s="670"/>
      <c r="H701" s="670"/>
      <c r="I701" s="670"/>
      <c r="J701" s="670"/>
      <c r="K701" s="670"/>
      <c r="L701" s="498">
        <f>ROUND((I697+J697+K697)*2.14%,2)</f>
        <v>11.63</v>
      </c>
      <c r="M701" s="459">
        <f>L701</f>
        <v>11.63</v>
      </c>
      <c r="N701" s="655"/>
      <c r="O701" s="656"/>
      <c r="P701" s="657"/>
      <c r="Q701" s="671"/>
      <c r="R701" s="672"/>
      <c r="S701" s="673"/>
      <c r="T701" s="457">
        <f>H697*M701*N697*O697*P697</f>
        <v>0</v>
      </c>
      <c r="U701" s="458">
        <f>T701</f>
        <v>0</v>
      </c>
      <c r="V701" s="42"/>
      <c r="W701" s="41"/>
      <c r="X701" s="39"/>
      <c r="Y701" s="41"/>
      <c r="Z701" s="29"/>
      <c r="AA701" s="43">
        <f>T701</f>
        <v>0</v>
      </c>
      <c r="AB701" s="29"/>
      <c r="AC701" s="29"/>
      <c r="AD701" s="29"/>
    </row>
    <row r="702" spans="1:30" s="488" customFormat="1" ht="41.25" hidden="1" customHeight="1">
      <c r="A702" s="492"/>
      <c r="B702" s="643"/>
      <c r="C702" s="515"/>
      <c r="D702" s="514"/>
      <c r="E702" s="670" t="s">
        <v>376</v>
      </c>
      <c r="F702" s="670"/>
      <c r="G702" s="670"/>
      <c r="H702" s="670"/>
      <c r="I702" s="670"/>
      <c r="J702" s="670"/>
      <c r="K702" s="670"/>
      <c r="L702" s="498">
        <f>ROUND((I697+J697+K697+L700+L701+L705)*3%,2)</f>
        <v>18.690000000000001</v>
      </c>
      <c r="M702" s="459">
        <f>L702</f>
        <v>18.690000000000001</v>
      </c>
      <c r="N702" s="655"/>
      <c r="O702" s="656"/>
      <c r="P702" s="657"/>
      <c r="Q702" s="671"/>
      <c r="R702" s="672"/>
      <c r="S702" s="673"/>
      <c r="T702" s="457">
        <f>H697*M702*N697*O697*P697</f>
        <v>0</v>
      </c>
      <c r="U702" s="458">
        <f>T702</f>
        <v>0</v>
      </c>
      <c r="V702" s="42"/>
      <c r="W702" s="41"/>
      <c r="X702" s="41"/>
      <c r="Y702" s="39"/>
      <c r="Z702" s="29"/>
      <c r="AA702" s="29"/>
      <c r="AB702" s="43">
        <f>T702</f>
        <v>0</v>
      </c>
      <c r="AC702" s="29"/>
      <c r="AD702" s="29"/>
    </row>
    <row r="703" spans="1:30" s="488" customFormat="1" ht="54.75" hidden="1" customHeight="1">
      <c r="A703" s="492"/>
      <c r="B703" s="643"/>
      <c r="C703" s="515"/>
      <c r="D703" s="514"/>
      <c r="E703" s="670" t="s">
        <v>377</v>
      </c>
      <c r="F703" s="670"/>
      <c r="G703" s="670"/>
      <c r="H703" s="670"/>
      <c r="I703" s="670"/>
      <c r="J703" s="670"/>
      <c r="K703" s="670"/>
      <c r="L703" s="498">
        <f>108.90506-K697-L700-L701-L705</f>
        <v>0</v>
      </c>
      <c r="M703" s="459">
        <f>L703</f>
        <v>0</v>
      </c>
      <c r="N703" s="655"/>
      <c r="O703" s="656"/>
      <c r="P703" s="657"/>
      <c r="Q703" s="671"/>
      <c r="R703" s="672"/>
      <c r="S703" s="673"/>
      <c r="T703" s="457">
        <f>H697*M703*N697*O697*P697</f>
        <v>0</v>
      </c>
      <c r="U703" s="458">
        <f>T703</f>
        <v>0</v>
      </c>
      <c r="V703" s="42"/>
      <c r="W703" s="41"/>
      <c r="X703" s="41"/>
      <c r="Y703" s="41"/>
      <c r="Z703" s="44"/>
      <c r="AA703" s="29"/>
      <c r="AB703" s="29"/>
      <c r="AC703" s="44">
        <f>T703</f>
        <v>0</v>
      </c>
      <c r="AD703" s="29"/>
    </row>
    <row r="704" spans="1:30" s="488" customFormat="1" ht="45" hidden="1" customHeight="1">
      <c r="A704" s="492"/>
      <c r="B704" s="643"/>
      <c r="C704" s="515"/>
      <c r="D704" s="514"/>
      <c r="E704" s="674"/>
      <c r="F704" s="675"/>
      <c r="G704" s="675"/>
      <c r="H704" s="675"/>
      <c r="I704" s="675"/>
      <c r="J704" s="675"/>
      <c r="K704" s="675"/>
      <c r="L704" s="675"/>
      <c r="M704" s="676"/>
      <c r="N704" s="655"/>
      <c r="O704" s="656"/>
      <c r="P704" s="657"/>
      <c r="Q704" s="677"/>
      <c r="R704" s="678"/>
      <c r="S704" s="678"/>
      <c r="T704" s="678"/>
      <c r="U704" s="679"/>
      <c r="V704" s="45"/>
      <c r="W704" s="41"/>
      <c r="X704" s="41"/>
      <c r="Y704" s="41"/>
      <c r="Z704" s="29"/>
      <c r="AA704" s="44"/>
      <c r="AB704" s="29"/>
      <c r="AC704" s="29"/>
      <c r="AD704" s="29"/>
    </row>
    <row r="705" spans="1:30" s="488" customFormat="1" ht="45" hidden="1" customHeight="1" thickBot="1">
      <c r="A705" s="492"/>
      <c r="B705" s="644"/>
      <c r="C705" s="516"/>
      <c r="D705" s="517"/>
      <c r="E705" s="680" t="s">
        <v>369</v>
      </c>
      <c r="F705" s="680" t="s">
        <v>306</v>
      </c>
      <c r="G705" s="680"/>
      <c r="H705" s="680"/>
      <c r="I705" s="680"/>
      <c r="J705" s="680"/>
      <c r="K705" s="680"/>
      <c r="L705" s="499">
        <f>ROUND((I697+J697+K697+L700)*3.93%,2)</f>
        <v>23.11</v>
      </c>
      <c r="M705" s="46">
        <f>L705</f>
        <v>23.11</v>
      </c>
      <c r="N705" s="658"/>
      <c r="O705" s="659"/>
      <c r="P705" s="660"/>
      <c r="Q705" s="681"/>
      <c r="R705" s="682"/>
      <c r="S705" s="683"/>
      <c r="T705" s="500">
        <f>H697*M705*N697*O697*P697</f>
        <v>0</v>
      </c>
      <c r="U705" s="47">
        <f>T705</f>
        <v>0</v>
      </c>
      <c r="V705" s="48"/>
      <c r="W705" s="41"/>
      <c r="X705" s="41"/>
      <c r="Y705" s="41"/>
      <c r="Z705" s="29"/>
      <c r="AA705" s="29"/>
      <c r="AB705" s="44"/>
      <c r="AC705" s="29"/>
      <c r="AD705" s="44">
        <f>T705</f>
        <v>0</v>
      </c>
    </row>
    <row r="706" spans="1:30" s="488" customFormat="1" ht="150" hidden="1" customHeight="1" thickBot="1">
      <c r="A706" s="492"/>
      <c r="B706" s="642">
        <v>1</v>
      </c>
      <c r="C706" s="511">
        <v>5</v>
      </c>
      <c r="D706" s="512"/>
      <c r="E706" s="493" t="s">
        <v>503</v>
      </c>
      <c r="F706" s="487" t="s">
        <v>504</v>
      </c>
      <c r="G706" s="645" t="s">
        <v>388</v>
      </c>
      <c r="H706" s="688">
        <v>0</v>
      </c>
      <c r="I706" s="494">
        <v>361.52</v>
      </c>
      <c r="J706" s="494">
        <v>178.48</v>
      </c>
      <c r="K706" s="494">
        <v>29.59</v>
      </c>
      <c r="L706" s="494">
        <f>SUM(L708:L714)</f>
        <v>100.48718000000001</v>
      </c>
      <c r="M706" s="33">
        <f>SUM(I706:L706)</f>
        <v>670.07718</v>
      </c>
      <c r="N706" s="501">
        <v>1</v>
      </c>
      <c r="O706" s="502">
        <v>1</v>
      </c>
      <c r="P706" s="37">
        <v>1</v>
      </c>
      <c r="Q706" s="34">
        <f>H706*I706*N706*O706*P706</f>
        <v>0</v>
      </c>
      <c r="R706" s="35">
        <f>H706*J706*N706*O706*P706</f>
        <v>0</v>
      </c>
      <c r="S706" s="36">
        <f>H706*K706*N706*O706*P706</f>
        <v>0</v>
      </c>
      <c r="T706" s="36">
        <f>H706*L706*N706*O706*P706</f>
        <v>0</v>
      </c>
      <c r="U706" s="37">
        <f>SUM(Q706:T706)</f>
        <v>0</v>
      </c>
      <c r="V706" s="38">
        <f>(Q706+R706+S706+T710+T711+T712+T714)*'Прогнозная стоимость РСС ИП '!$M$11+T709*'Прогнозная стоимость РСС ИП '!$M$10</f>
        <v>0</v>
      </c>
      <c r="W706" s="39">
        <f>T706</f>
        <v>0</v>
      </c>
      <c r="X706" s="39">
        <f>U706</f>
        <v>0</v>
      </c>
      <c r="Y706" s="39">
        <f>V706</f>
        <v>0</v>
      </c>
      <c r="Z706" s="29"/>
      <c r="AA706" s="29"/>
      <c r="AB706" s="29"/>
      <c r="AC706" s="29"/>
      <c r="AD706" s="29"/>
    </row>
    <row r="707" spans="1:30" s="488" customFormat="1" ht="41.25" hidden="1" customHeight="1">
      <c r="A707" s="492"/>
      <c r="B707" s="643"/>
      <c r="C707" s="513"/>
      <c r="D707" s="514"/>
      <c r="E707" s="495"/>
      <c r="F707" s="496"/>
      <c r="G707" s="646"/>
      <c r="H707" s="688"/>
      <c r="I707" s="649"/>
      <c r="J707" s="650"/>
      <c r="K707" s="650"/>
      <c r="L707" s="650"/>
      <c r="M707" s="651"/>
      <c r="N707" s="652"/>
      <c r="O707" s="653"/>
      <c r="P707" s="654"/>
      <c r="Q707" s="661"/>
      <c r="R707" s="662"/>
      <c r="S707" s="662"/>
      <c r="T707" s="662"/>
      <c r="U707" s="663"/>
      <c r="V707" s="40"/>
      <c r="W707" s="41"/>
      <c r="X707" s="41"/>
      <c r="Y707" s="41"/>
      <c r="Z707" s="29"/>
      <c r="AA707" s="29"/>
      <c r="AB707" s="29"/>
      <c r="AC707" s="29"/>
      <c r="AD707" s="29"/>
    </row>
    <row r="708" spans="1:30" s="488" customFormat="1" ht="41.25" hidden="1" customHeight="1">
      <c r="A708" s="492"/>
      <c r="B708" s="643"/>
      <c r="C708" s="513"/>
      <c r="D708" s="514"/>
      <c r="E708" s="664" t="s">
        <v>29</v>
      </c>
      <c r="F708" s="665"/>
      <c r="G708" s="665"/>
      <c r="H708" s="665"/>
      <c r="I708" s="665"/>
      <c r="J708" s="665"/>
      <c r="K708" s="665"/>
      <c r="L708" s="665"/>
      <c r="M708" s="666"/>
      <c r="N708" s="655"/>
      <c r="O708" s="656"/>
      <c r="P708" s="657"/>
      <c r="Q708" s="667"/>
      <c r="R708" s="689"/>
      <c r="S708" s="689"/>
      <c r="T708" s="689"/>
      <c r="U708" s="690"/>
      <c r="V708" s="42"/>
      <c r="W708" s="41"/>
      <c r="X708" s="41"/>
      <c r="Y708" s="41"/>
      <c r="Z708" s="29"/>
      <c r="AA708" s="29"/>
      <c r="AB708" s="29"/>
      <c r="AC708" s="29"/>
      <c r="AD708" s="29"/>
    </row>
    <row r="709" spans="1:30" s="488" customFormat="1" ht="41.25" hidden="1" customHeight="1">
      <c r="A709" s="492"/>
      <c r="B709" s="643"/>
      <c r="C709" s="513">
        <v>55</v>
      </c>
      <c r="D709" s="514"/>
      <c r="E709" s="670" t="s">
        <v>30</v>
      </c>
      <c r="F709" s="670"/>
      <c r="G709" s="670"/>
      <c r="H709" s="670"/>
      <c r="I709" s="670"/>
      <c r="J709" s="670"/>
      <c r="K709" s="670"/>
      <c r="L709" s="498">
        <v>44.627180000000003</v>
      </c>
      <c r="M709" s="459">
        <f>L709</f>
        <v>44.627180000000003</v>
      </c>
      <c r="N709" s="655"/>
      <c r="O709" s="656"/>
      <c r="P709" s="657"/>
      <c r="Q709" s="671"/>
      <c r="R709" s="672"/>
      <c r="S709" s="673"/>
      <c r="T709" s="457">
        <f>H706*M709*N706*O706*P706</f>
        <v>0</v>
      </c>
      <c r="U709" s="458">
        <f>T709</f>
        <v>0</v>
      </c>
      <c r="V709" s="42"/>
      <c r="W709" s="39"/>
      <c r="X709" s="41"/>
      <c r="Y709" s="41"/>
      <c r="Z709" s="43">
        <f>T709</f>
        <v>0</v>
      </c>
      <c r="AA709" s="29"/>
      <c r="AB709" s="29"/>
      <c r="AC709" s="29"/>
      <c r="AD709" s="29"/>
    </row>
    <row r="710" spans="1:30" s="488" customFormat="1" ht="41.25" hidden="1" customHeight="1">
      <c r="A710" s="492"/>
      <c r="B710" s="643"/>
      <c r="C710" s="513"/>
      <c r="D710" s="514"/>
      <c r="E710" s="670" t="s">
        <v>31</v>
      </c>
      <c r="F710" s="670"/>
      <c r="G710" s="670"/>
      <c r="H710" s="670"/>
      <c r="I710" s="670"/>
      <c r="J710" s="670"/>
      <c r="K710" s="670"/>
      <c r="L710" s="498">
        <f>ROUND((I706+J706+K706)*2.14%,2)</f>
        <v>12.19</v>
      </c>
      <c r="M710" s="459">
        <f>L710</f>
        <v>12.19</v>
      </c>
      <c r="N710" s="655"/>
      <c r="O710" s="656"/>
      <c r="P710" s="657"/>
      <c r="Q710" s="671"/>
      <c r="R710" s="672"/>
      <c r="S710" s="673"/>
      <c r="T710" s="457">
        <f>H706*M710*N706*O706*P706</f>
        <v>0</v>
      </c>
      <c r="U710" s="458">
        <f>T710</f>
        <v>0</v>
      </c>
      <c r="V710" s="42"/>
      <c r="W710" s="41"/>
      <c r="X710" s="39"/>
      <c r="Y710" s="41"/>
      <c r="Z710" s="29"/>
      <c r="AA710" s="43">
        <f>T710</f>
        <v>0</v>
      </c>
      <c r="AB710" s="29"/>
      <c r="AC710" s="29"/>
      <c r="AD710" s="29"/>
    </row>
    <row r="711" spans="1:30" s="488" customFormat="1" ht="41.25" hidden="1" customHeight="1">
      <c r="A711" s="492"/>
      <c r="B711" s="643"/>
      <c r="C711" s="515"/>
      <c r="D711" s="514"/>
      <c r="E711" s="670" t="s">
        <v>376</v>
      </c>
      <c r="F711" s="670"/>
      <c r="G711" s="670"/>
      <c r="H711" s="670"/>
      <c r="I711" s="670"/>
      <c r="J711" s="670"/>
      <c r="K711" s="670"/>
      <c r="L711" s="498">
        <f>ROUND((I706+J706+K706+L709+L710+L714)*3%,2)+0.01</f>
        <v>19.53</v>
      </c>
      <c r="M711" s="459">
        <f>L711</f>
        <v>19.53</v>
      </c>
      <c r="N711" s="655"/>
      <c r="O711" s="656"/>
      <c r="P711" s="657"/>
      <c r="Q711" s="671"/>
      <c r="R711" s="672"/>
      <c r="S711" s="673"/>
      <c r="T711" s="457">
        <f>H706*M711*N706*O706*P706</f>
        <v>0</v>
      </c>
      <c r="U711" s="458">
        <f>T711</f>
        <v>0</v>
      </c>
      <c r="V711" s="42"/>
      <c r="W711" s="41"/>
      <c r="X711" s="41"/>
      <c r="Y711" s="39"/>
      <c r="Z711" s="29"/>
      <c r="AA711" s="29"/>
      <c r="AB711" s="43">
        <f>T711</f>
        <v>0</v>
      </c>
      <c r="AC711" s="29"/>
      <c r="AD711" s="29"/>
    </row>
    <row r="712" spans="1:30" s="488" customFormat="1" ht="54.75" hidden="1" customHeight="1">
      <c r="A712" s="492"/>
      <c r="B712" s="643"/>
      <c r="C712" s="515"/>
      <c r="D712" s="514"/>
      <c r="E712" s="670" t="s">
        <v>377</v>
      </c>
      <c r="F712" s="670"/>
      <c r="G712" s="670"/>
      <c r="H712" s="670"/>
      <c r="I712" s="670"/>
      <c r="J712" s="670"/>
      <c r="K712" s="670"/>
      <c r="L712" s="498">
        <f>110.54718-K706-L709-L710-L714</f>
        <v>0</v>
      </c>
      <c r="M712" s="459">
        <f>L712</f>
        <v>0</v>
      </c>
      <c r="N712" s="655"/>
      <c r="O712" s="656"/>
      <c r="P712" s="657"/>
      <c r="Q712" s="671"/>
      <c r="R712" s="672"/>
      <c r="S712" s="673"/>
      <c r="T712" s="457">
        <f>H706*M712*N706*O706*P706</f>
        <v>0</v>
      </c>
      <c r="U712" s="458">
        <f>T712</f>
        <v>0</v>
      </c>
      <c r="V712" s="42"/>
      <c r="W712" s="41"/>
      <c r="X712" s="41"/>
      <c r="Y712" s="41"/>
      <c r="Z712" s="44"/>
      <c r="AA712" s="29"/>
      <c r="AB712" s="29"/>
      <c r="AC712" s="44">
        <f>T712</f>
        <v>0</v>
      </c>
      <c r="AD712" s="29"/>
    </row>
    <row r="713" spans="1:30" s="488" customFormat="1" ht="45" hidden="1" customHeight="1">
      <c r="A713" s="492"/>
      <c r="B713" s="643"/>
      <c r="C713" s="515"/>
      <c r="D713" s="514"/>
      <c r="E713" s="674"/>
      <c r="F713" s="675"/>
      <c r="G713" s="675"/>
      <c r="H713" s="675"/>
      <c r="I713" s="675"/>
      <c r="J713" s="675"/>
      <c r="K713" s="675"/>
      <c r="L713" s="675"/>
      <c r="M713" s="676"/>
      <c r="N713" s="655"/>
      <c r="O713" s="656"/>
      <c r="P713" s="657"/>
      <c r="Q713" s="677"/>
      <c r="R713" s="678"/>
      <c r="S713" s="678"/>
      <c r="T713" s="678"/>
      <c r="U713" s="679"/>
      <c r="V713" s="45"/>
      <c r="W713" s="41"/>
      <c r="X713" s="41"/>
      <c r="Y713" s="41"/>
      <c r="Z713" s="29"/>
      <c r="AA713" s="44"/>
      <c r="AB713" s="29"/>
      <c r="AC713" s="29"/>
      <c r="AD713" s="29"/>
    </row>
    <row r="714" spans="1:30" s="488" customFormat="1" ht="45" hidden="1" customHeight="1" thickBot="1">
      <c r="A714" s="492"/>
      <c r="B714" s="644"/>
      <c r="C714" s="516"/>
      <c r="D714" s="517"/>
      <c r="E714" s="680" t="s">
        <v>369</v>
      </c>
      <c r="F714" s="680" t="s">
        <v>306</v>
      </c>
      <c r="G714" s="680"/>
      <c r="H714" s="680"/>
      <c r="I714" s="680"/>
      <c r="J714" s="680"/>
      <c r="K714" s="680"/>
      <c r="L714" s="499">
        <f>ROUND((I706+J706+K706+L709)*3.93%,2)</f>
        <v>24.14</v>
      </c>
      <c r="M714" s="46">
        <f>L714</f>
        <v>24.14</v>
      </c>
      <c r="N714" s="658"/>
      <c r="O714" s="659"/>
      <c r="P714" s="660"/>
      <c r="Q714" s="681"/>
      <c r="R714" s="682"/>
      <c r="S714" s="683"/>
      <c r="T714" s="500">
        <f>H706*M714*N706*O706*P706</f>
        <v>0</v>
      </c>
      <c r="U714" s="47">
        <f>T714</f>
        <v>0</v>
      </c>
      <c r="V714" s="48"/>
      <c r="W714" s="41"/>
      <c r="X714" s="41"/>
      <c r="Y714" s="41"/>
      <c r="Z714" s="29"/>
      <c r="AA714" s="29"/>
      <c r="AB714" s="44"/>
      <c r="AC714" s="29"/>
      <c r="AD714" s="44">
        <f>T714</f>
        <v>0</v>
      </c>
    </row>
    <row r="715" spans="1:30" s="488" customFormat="1" ht="150" hidden="1" customHeight="1" thickBot="1">
      <c r="A715" s="492"/>
      <c r="B715" s="642">
        <v>1</v>
      </c>
      <c r="C715" s="511">
        <v>5</v>
      </c>
      <c r="D715" s="512"/>
      <c r="E715" s="493" t="s">
        <v>505</v>
      </c>
      <c r="F715" s="487" t="s">
        <v>506</v>
      </c>
      <c r="G715" s="645" t="s">
        <v>388</v>
      </c>
      <c r="H715" s="688">
        <v>0</v>
      </c>
      <c r="I715" s="494">
        <v>393.4</v>
      </c>
      <c r="J715" s="494">
        <v>190.35999999999999</v>
      </c>
      <c r="K715" s="494">
        <v>33.49</v>
      </c>
      <c r="L715" s="494">
        <f>SUM(L717:L723)</f>
        <v>120.82050000000001</v>
      </c>
      <c r="M715" s="33">
        <f>SUM(I715:L715)</f>
        <v>738.07050000000004</v>
      </c>
      <c r="N715" s="501">
        <v>1</v>
      </c>
      <c r="O715" s="502">
        <v>1</v>
      </c>
      <c r="P715" s="37">
        <v>1</v>
      </c>
      <c r="Q715" s="34">
        <f>H715*I715*N715*O715*P715</f>
        <v>0</v>
      </c>
      <c r="R715" s="35">
        <f>H715*J715*N715*O715*P715</f>
        <v>0</v>
      </c>
      <c r="S715" s="36">
        <f>H715*K715*N715*O715*P715</f>
        <v>0</v>
      </c>
      <c r="T715" s="36">
        <f>H715*L715*N715*O715*P715</f>
        <v>0</v>
      </c>
      <c r="U715" s="37">
        <f>SUM(Q715:T715)</f>
        <v>0</v>
      </c>
      <c r="V715" s="38">
        <f>(Q715+R715+S715+T719+T720+T721+T723)*'Прогнозная стоимость РСС ИП '!$M$11+T718*'Прогнозная стоимость РСС ИП '!$M$10</f>
        <v>0</v>
      </c>
      <c r="W715" s="39">
        <f>T715</f>
        <v>0</v>
      </c>
      <c r="X715" s="39">
        <f>U715</f>
        <v>0</v>
      </c>
      <c r="Y715" s="39">
        <f>V715</f>
        <v>0</v>
      </c>
      <c r="Z715" s="29"/>
      <c r="AA715" s="29"/>
      <c r="AB715" s="29"/>
      <c r="AC715" s="29"/>
      <c r="AD715" s="29"/>
    </row>
    <row r="716" spans="1:30" s="488" customFormat="1" ht="41.25" hidden="1" customHeight="1">
      <c r="A716" s="492"/>
      <c r="B716" s="643"/>
      <c r="C716" s="513"/>
      <c r="D716" s="514"/>
      <c r="E716" s="495"/>
      <c r="F716" s="496"/>
      <c r="G716" s="646"/>
      <c r="H716" s="688"/>
      <c r="I716" s="649"/>
      <c r="J716" s="650"/>
      <c r="K716" s="650"/>
      <c r="L716" s="650"/>
      <c r="M716" s="651"/>
      <c r="N716" s="652"/>
      <c r="O716" s="653"/>
      <c r="P716" s="654"/>
      <c r="Q716" s="661"/>
      <c r="R716" s="662"/>
      <c r="S716" s="662"/>
      <c r="T716" s="662"/>
      <c r="U716" s="663"/>
      <c r="V716" s="40"/>
      <c r="W716" s="41"/>
      <c r="X716" s="41"/>
      <c r="Y716" s="41"/>
      <c r="Z716" s="29"/>
      <c r="AA716" s="29"/>
      <c r="AB716" s="29"/>
      <c r="AC716" s="29"/>
      <c r="AD716" s="29"/>
    </row>
    <row r="717" spans="1:30" s="488" customFormat="1" ht="41.25" hidden="1" customHeight="1">
      <c r="A717" s="492"/>
      <c r="B717" s="643"/>
      <c r="C717" s="513"/>
      <c r="D717" s="514"/>
      <c r="E717" s="664" t="s">
        <v>29</v>
      </c>
      <c r="F717" s="665"/>
      <c r="G717" s="665"/>
      <c r="H717" s="665"/>
      <c r="I717" s="665"/>
      <c r="J717" s="665"/>
      <c r="K717" s="665"/>
      <c r="L717" s="665"/>
      <c r="M717" s="666"/>
      <c r="N717" s="655"/>
      <c r="O717" s="656"/>
      <c r="P717" s="657"/>
      <c r="Q717" s="667"/>
      <c r="R717" s="689"/>
      <c r="S717" s="689"/>
      <c r="T717" s="689"/>
      <c r="U717" s="690"/>
      <c r="V717" s="42"/>
      <c r="W717" s="41"/>
      <c r="X717" s="41"/>
      <c r="Y717" s="41"/>
      <c r="Z717" s="29"/>
      <c r="AA717" s="29"/>
      <c r="AB717" s="29"/>
      <c r="AC717" s="29"/>
      <c r="AD717" s="29"/>
    </row>
    <row r="718" spans="1:30" s="488" customFormat="1" ht="41.25" hidden="1" customHeight="1">
      <c r="A718" s="492"/>
      <c r="B718" s="643"/>
      <c r="C718" s="513">
        <v>55</v>
      </c>
      <c r="D718" s="514"/>
      <c r="E718" s="670" t="s">
        <v>30</v>
      </c>
      <c r="F718" s="670"/>
      <c r="G718" s="670"/>
      <c r="H718" s="670"/>
      <c r="I718" s="670"/>
      <c r="J718" s="670"/>
      <c r="K718" s="670"/>
      <c r="L718" s="498">
        <v>59.520499999999998</v>
      </c>
      <c r="M718" s="459">
        <f>L718</f>
        <v>59.520499999999998</v>
      </c>
      <c r="N718" s="655"/>
      <c r="O718" s="656"/>
      <c r="P718" s="657"/>
      <c r="Q718" s="671"/>
      <c r="R718" s="672"/>
      <c r="S718" s="673"/>
      <c r="T718" s="457">
        <f>H715*M718*N715*O715*P715</f>
        <v>0</v>
      </c>
      <c r="U718" s="458">
        <f>T718</f>
        <v>0</v>
      </c>
      <c r="V718" s="42"/>
      <c r="W718" s="39"/>
      <c r="X718" s="41"/>
      <c r="Y718" s="41"/>
      <c r="Z718" s="43">
        <f>T718</f>
        <v>0</v>
      </c>
      <c r="AA718" s="29"/>
      <c r="AB718" s="29"/>
      <c r="AC718" s="29"/>
      <c r="AD718" s="29"/>
    </row>
    <row r="719" spans="1:30" s="488" customFormat="1" ht="41.25" hidden="1" customHeight="1">
      <c r="A719" s="492"/>
      <c r="B719" s="643"/>
      <c r="C719" s="513"/>
      <c r="D719" s="514"/>
      <c r="E719" s="670" t="s">
        <v>31</v>
      </c>
      <c r="F719" s="670"/>
      <c r="G719" s="670"/>
      <c r="H719" s="670"/>
      <c r="I719" s="670"/>
      <c r="J719" s="670"/>
      <c r="K719" s="670"/>
      <c r="L719" s="498">
        <f>ROUND((I715+J715+K715)*2.14%,2)</f>
        <v>13.21</v>
      </c>
      <c r="M719" s="459">
        <f>L719</f>
        <v>13.21</v>
      </c>
      <c r="N719" s="655"/>
      <c r="O719" s="656"/>
      <c r="P719" s="657"/>
      <c r="Q719" s="671"/>
      <c r="R719" s="672"/>
      <c r="S719" s="673"/>
      <c r="T719" s="457">
        <f>H715*M719*N715*O715*P715</f>
        <v>0</v>
      </c>
      <c r="U719" s="458">
        <f>T719</f>
        <v>0</v>
      </c>
      <c r="V719" s="42"/>
      <c r="W719" s="41"/>
      <c r="X719" s="39"/>
      <c r="Y719" s="41"/>
      <c r="Z719" s="29"/>
      <c r="AA719" s="43">
        <f>T719</f>
        <v>0</v>
      </c>
      <c r="AB719" s="29"/>
      <c r="AC719" s="29"/>
      <c r="AD719" s="29"/>
    </row>
    <row r="720" spans="1:30" s="488" customFormat="1" ht="41.25" hidden="1" customHeight="1">
      <c r="A720" s="492"/>
      <c r="B720" s="643"/>
      <c r="C720" s="515"/>
      <c r="D720" s="514"/>
      <c r="E720" s="670" t="s">
        <v>376</v>
      </c>
      <c r="F720" s="670"/>
      <c r="G720" s="670"/>
      <c r="H720" s="670"/>
      <c r="I720" s="670"/>
      <c r="J720" s="670"/>
      <c r="K720" s="670"/>
      <c r="L720" s="498">
        <f>ROUND((I715+J715+K715+L718+L719+L723)*3%,2)-0.01</f>
        <v>21.49</v>
      </c>
      <c r="M720" s="459">
        <f>L720</f>
        <v>21.49</v>
      </c>
      <c r="N720" s="655"/>
      <c r="O720" s="656"/>
      <c r="P720" s="657"/>
      <c r="Q720" s="671"/>
      <c r="R720" s="672"/>
      <c r="S720" s="673"/>
      <c r="T720" s="457">
        <f>H715*M720*N715*O715*P715</f>
        <v>0</v>
      </c>
      <c r="U720" s="458">
        <f>T720</f>
        <v>0</v>
      </c>
      <c r="V720" s="42"/>
      <c r="W720" s="41"/>
      <c r="X720" s="41"/>
      <c r="Y720" s="39"/>
      <c r="Z720" s="29"/>
      <c r="AA720" s="29"/>
      <c r="AB720" s="43">
        <f>T720</f>
        <v>0</v>
      </c>
      <c r="AC720" s="29"/>
      <c r="AD720" s="29"/>
    </row>
    <row r="721" spans="1:30" s="488" customFormat="1" ht="54.75" hidden="1" customHeight="1">
      <c r="A721" s="492"/>
      <c r="B721" s="643"/>
      <c r="C721" s="515"/>
      <c r="D721" s="514"/>
      <c r="E721" s="670" t="s">
        <v>377</v>
      </c>
      <c r="F721" s="670"/>
      <c r="G721" s="670"/>
      <c r="H721" s="670"/>
      <c r="I721" s="670"/>
      <c r="J721" s="670"/>
      <c r="K721" s="670"/>
      <c r="L721" s="498">
        <f>132.8205-K715-L718-L719-L723</f>
        <v>0</v>
      </c>
      <c r="M721" s="459">
        <f>L721</f>
        <v>0</v>
      </c>
      <c r="N721" s="655"/>
      <c r="O721" s="656"/>
      <c r="P721" s="657"/>
      <c r="Q721" s="671"/>
      <c r="R721" s="672"/>
      <c r="S721" s="673"/>
      <c r="T721" s="457">
        <f>H715*M721*N715*O715*P715</f>
        <v>0</v>
      </c>
      <c r="U721" s="458">
        <f>T721</f>
        <v>0</v>
      </c>
      <c r="V721" s="42"/>
      <c r="W721" s="41"/>
      <c r="X721" s="41"/>
      <c r="Y721" s="41"/>
      <c r="Z721" s="44"/>
      <c r="AA721" s="29"/>
      <c r="AB721" s="29"/>
      <c r="AC721" s="44">
        <f>T721</f>
        <v>0</v>
      </c>
      <c r="AD721" s="29"/>
    </row>
    <row r="722" spans="1:30" s="488" customFormat="1" ht="45" hidden="1" customHeight="1">
      <c r="A722" s="492"/>
      <c r="B722" s="643"/>
      <c r="C722" s="515"/>
      <c r="D722" s="514"/>
      <c r="E722" s="674"/>
      <c r="F722" s="675"/>
      <c r="G722" s="675"/>
      <c r="H722" s="675"/>
      <c r="I722" s="675"/>
      <c r="J722" s="675"/>
      <c r="K722" s="675"/>
      <c r="L722" s="675"/>
      <c r="M722" s="676"/>
      <c r="N722" s="655"/>
      <c r="O722" s="656"/>
      <c r="P722" s="657"/>
      <c r="Q722" s="677"/>
      <c r="R722" s="678"/>
      <c r="S722" s="678"/>
      <c r="T722" s="678"/>
      <c r="U722" s="679"/>
      <c r="V722" s="45"/>
      <c r="W722" s="41"/>
      <c r="X722" s="41"/>
      <c r="Y722" s="41"/>
      <c r="Z722" s="29"/>
      <c r="AA722" s="44"/>
      <c r="AB722" s="29"/>
      <c r="AC722" s="29"/>
      <c r="AD722" s="29"/>
    </row>
    <row r="723" spans="1:30" s="488" customFormat="1" ht="45" hidden="1" customHeight="1" thickBot="1">
      <c r="A723" s="492"/>
      <c r="B723" s="644"/>
      <c r="C723" s="516"/>
      <c r="D723" s="517"/>
      <c r="E723" s="680" t="s">
        <v>369</v>
      </c>
      <c r="F723" s="680" t="s">
        <v>306</v>
      </c>
      <c r="G723" s="680"/>
      <c r="H723" s="680"/>
      <c r="I723" s="680"/>
      <c r="J723" s="680"/>
      <c r="K723" s="680"/>
      <c r="L723" s="499">
        <f>ROUND((I715+J715+K715+L718)*3.93%,2)</f>
        <v>26.6</v>
      </c>
      <c r="M723" s="46">
        <f>L723</f>
        <v>26.6</v>
      </c>
      <c r="N723" s="658"/>
      <c r="O723" s="659"/>
      <c r="P723" s="660"/>
      <c r="Q723" s="681"/>
      <c r="R723" s="682"/>
      <c r="S723" s="683"/>
      <c r="T723" s="500">
        <f>H715*M723*N715*O715*P715</f>
        <v>0</v>
      </c>
      <c r="U723" s="47">
        <f>T723</f>
        <v>0</v>
      </c>
      <c r="V723" s="48"/>
      <c r="W723" s="41"/>
      <c r="X723" s="41"/>
      <c r="Y723" s="41"/>
      <c r="Z723" s="29"/>
      <c r="AA723" s="29"/>
      <c r="AB723" s="44"/>
      <c r="AC723" s="29"/>
      <c r="AD723" s="44">
        <f>T723</f>
        <v>0</v>
      </c>
    </row>
    <row r="724" spans="1:30" s="488" customFormat="1" ht="150" hidden="1" customHeight="1" thickBot="1">
      <c r="A724" s="492"/>
      <c r="B724" s="642">
        <v>1</v>
      </c>
      <c r="C724" s="511">
        <v>5</v>
      </c>
      <c r="D724" s="512"/>
      <c r="E724" s="493" t="s">
        <v>507</v>
      </c>
      <c r="F724" s="487" t="s">
        <v>508</v>
      </c>
      <c r="G724" s="645" t="s">
        <v>388</v>
      </c>
      <c r="H724" s="688">
        <v>0</v>
      </c>
      <c r="I724" s="494">
        <v>405.6</v>
      </c>
      <c r="J724" s="494">
        <v>190.35999999999999</v>
      </c>
      <c r="K724" s="494">
        <v>33.49</v>
      </c>
      <c r="L724" s="494">
        <f>SUM(L726:L732)</f>
        <v>121.9849</v>
      </c>
      <c r="M724" s="33">
        <f>SUM(I724:L724)</f>
        <v>751.43490000000008</v>
      </c>
      <c r="N724" s="501">
        <v>1</v>
      </c>
      <c r="O724" s="502">
        <v>1</v>
      </c>
      <c r="P724" s="37">
        <v>1</v>
      </c>
      <c r="Q724" s="34">
        <f>H724*I724*N724*O724*P724</f>
        <v>0</v>
      </c>
      <c r="R724" s="35">
        <f>H724*J724*N724*O724*P724</f>
        <v>0</v>
      </c>
      <c r="S724" s="36">
        <f>H724*K724*N724*O724*P724</f>
        <v>0</v>
      </c>
      <c r="T724" s="36">
        <f>H724*L724*N724*O724*P724</f>
        <v>0</v>
      </c>
      <c r="U724" s="37">
        <f>SUM(Q724:T724)</f>
        <v>0</v>
      </c>
      <c r="V724" s="38">
        <f>(Q724+R724+S724+T728+T729+T730+T732)*'Прогнозная стоимость РСС ИП '!$M$11+T727*'Прогнозная стоимость РСС ИП '!$M$10</f>
        <v>0</v>
      </c>
      <c r="W724" s="39">
        <f>T724</f>
        <v>0</v>
      </c>
      <c r="X724" s="39">
        <f>U724</f>
        <v>0</v>
      </c>
      <c r="Y724" s="39">
        <f>V724</f>
        <v>0</v>
      </c>
      <c r="Z724" s="29"/>
      <c r="AA724" s="29"/>
      <c r="AB724" s="29"/>
      <c r="AC724" s="29"/>
      <c r="AD724" s="29"/>
    </row>
    <row r="725" spans="1:30" s="488" customFormat="1" ht="41.25" hidden="1" customHeight="1">
      <c r="A725" s="492"/>
      <c r="B725" s="643"/>
      <c r="C725" s="513"/>
      <c r="D725" s="514"/>
      <c r="E725" s="495"/>
      <c r="F725" s="496"/>
      <c r="G725" s="646"/>
      <c r="H725" s="688"/>
      <c r="I725" s="649"/>
      <c r="J725" s="650"/>
      <c r="K725" s="650"/>
      <c r="L725" s="650"/>
      <c r="M725" s="651"/>
      <c r="N725" s="652"/>
      <c r="O725" s="653"/>
      <c r="P725" s="654"/>
      <c r="Q725" s="661"/>
      <c r="R725" s="662"/>
      <c r="S725" s="662"/>
      <c r="T725" s="662"/>
      <c r="U725" s="663"/>
      <c r="V725" s="40"/>
      <c r="W725" s="41"/>
      <c r="X725" s="41"/>
      <c r="Y725" s="41"/>
      <c r="Z725" s="29"/>
      <c r="AA725" s="29"/>
      <c r="AB725" s="29"/>
      <c r="AC725" s="29"/>
      <c r="AD725" s="29"/>
    </row>
    <row r="726" spans="1:30" s="488" customFormat="1" ht="41.25" hidden="1" customHeight="1">
      <c r="A726" s="492"/>
      <c r="B726" s="643"/>
      <c r="C726" s="513"/>
      <c r="D726" s="514"/>
      <c r="E726" s="664" t="s">
        <v>29</v>
      </c>
      <c r="F726" s="665"/>
      <c r="G726" s="665"/>
      <c r="H726" s="665"/>
      <c r="I726" s="665"/>
      <c r="J726" s="665"/>
      <c r="K726" s="665"/>
      <c r="L726" s="665"/>
      <c r="M726" s="666"/>
      <c r="N726" s="655"/>
      <c r="O726" s="656"/>
      <c r="P726" s="657"/>
      <c r="Q726" s="667"/>
      <c r="R726" s="689"/>
      <c r="S726" s="689"/>
      <c r="T726" s="689"/>
      <c r="U726" s="690"/>
      <c r="V726" s="42"/>
      <c r="W726" s="41"/>
      <c r="X726" s="41"/>
      <c r="Y726" s="41"/>
      <c r="Z726" s="29"/>
      <c r="AA726" s="29"/>
      <c r="AB726" s="29"/>
      <c r="AC726" s="29"/>
      <c r="AD726" s="29"/>
    </row>
    <row r="727" spans="1:30" s="488" customFormat="1" ht="41.25" hidden="1" customHeight="1">
      <c r="A727" s="492"/>
      <c r="B727" s="643"/>
      <c r="C727" s="513">
        <v>55</v>
      </c>
      <c r="D727" s="514"/>
      <c r="E727" s="670" t="s">
        <v>30</v>
      </c>
      <c r="F727" s="670"/>
      <c r="G727" s="670"/>
      <c r="H727" s="670"/>
      <c r="I727" s="670"/>
      <c r="J727" s="670"/>
      <c r="K727" s="670"/>
      <c r="L727" s="498">
        <v>59.544899999999998</v>
      </c>
      <c r="M727" s="459">
        <f>L727</f>
        <v>59.544899999999998</v>
      </c>
      <c r="N727" s="655"/>
      <c r="O727" s="656"/>
      <c r="P727" s="657"/>
      <c r="Q727" s="671"/>
      <c r="R727" s="672"/>
      <c r="S727" s="673"/>
      <c r="T727" s="457">
        <f>H724*M727*N724*O724*P724</f>
        <v>0</v>
      </c>
      <c r="U727" s="458">
        <f>T727</f>
        <v>0</v>
      </c>
      <c r="V727" s="42"/>
      <c r="W727" s="39"/>
      <c r="X727" s="41"/>
      <c r="Y727" s="41"/>
      <c r="Z727" s="43">
        <f>T727</f>
        <v>0</v>
      </c>
      <c r="AA727" s="29"/>
      <c r="AB727" s="29"/>
      <c r="AC727" s="29"/>
      <c r="AD727" s="29"/>
    </row>
    <row r="728" spans="1:30" s="488" customFormat="1" ht="41.25" hidden="1" customHeight="1">
      <c r="A728" s="492"/>
      <c r="B728" s="643"/>
      <c r="C728" s="513"/>
      <c r="D728" s="514"/>
      <c r="E728" s="670" t="s">
        <v>31</v>
      </c>
      <c r="F728" s="670"/>
      <c r="G728" s="670"/>
      <c r="H728" s="670"/>
      <c r="I728" s="670"/>
      <c r="J728" s="670"/>
      <c r="K728" s="670"/>
      <c r="L728" s="498">
        <f>ROUND((I724+J724+K724)*2.14%,2)</f>
        <v>13.47</v>
      </c>
      <c r="M728" s="459">
        <f>L728</f>
        <v>13.47</v>
      </c>
      <c r="N728" s="655"/>
      <c r="O728" s="656"/>
      <c r="P728" s="657"/>
      <c r="Q728" s="671"/>
      <c r="R728" s="672"/>
      <c r="S728" s="673"/>
      <c r="T728" s="457">
        <f>H724*M728*N724*O724*P724</f>
        <v>0</v>
      </c>
      <c r="U728" s="458">
        <f>T728</f>
        <v>0</v>
      </c>
      <c r="V728" s="42"/>
      <c r="W728" s="41"/>
      <c r="X728" s="39"/>
      <c r="Y728" s="41"/>
      <c r="Z728" s="29"/>
      <c r="AA728" s="43">
        <f>T728</f>
        <v>0</v>
      </c>
      <c r="AB728" s="29"/>
      <c r="AC728" s="29"/>
      <c r="AD728" s="29"/>
    </row>
    <row r="729" spans="1:30" s="488" customFormat="1" ht="41.25" hidden="1" customHeight="1">
      <c r="A729" s="492"/>
      <c r="B729" s="643"/>
      <c r="C729" s="515"/>
      <c r="D729" s="514"/>
      <c r="E729" s="670" t="s">
        <v>376</v>
      </c>
      <c r="F729" s="670"/>
      <c r="G729" s="670"/>
      <c r="H729" s="670"/>
      <c r="I729" s="670"/>
      <c r="J729" s="670"/>
      <c r="K729" s="670"/>
      <c r="L729" s="498">
        <f>ROUND((I724+J724+K724+L727+L728+L732)*3%,2)</f>
        <v>21.89</v>
      </c>
      <c r="M729" s="459">
        <f>L729</f>
        <v>21.89</v>
      </c>
      <c r="N729" s="655"/>
      <c r="O729" s="656"/>
      <c r="P729" s="657"/>
      <c r="Q729" s="671"/>
      <c r="R729" s="672"/>
      <c r="S729" s="673"/>
      <c r="T729" s="457">
        <f>H724*M729*N724*O724*P724</f>
        <v>0</v>
      </c>
      <c r="U729" s="458">
        <f>T729</f>
        <v>0</v>
      </c>
      <c r="V729" s="42"/>
      <c r="W729" s="41"/>
      <c r="X729" s="41"/>
      <c r="Y729" s="39"/>
      <c r="Z729" s="29"/>
      <c r="AA729" s="29"/>
      <c r="AB729" s="43">
        <f>T729</f>
        <v>0</v>
      </c>
      <c r="AC729" s="29"/>
      <c r="AD729" s="29"/>
    </row>
    <row r="730" spans="1:30" s="488" customFormat="1" ht="54.75" hidden="1" customHeight="1">
      <c r="A730" s="492"/>
      <c r="B730" s="643"/>
      <c r="C730" s="515"/>
      <c r="D730" s="514"/>
      <c r="E730" s="670" t="s">
        <v>377</v>
      </c>
      <c r="F730" s="670"/>
      <c r="G730" s="670"/>
      <c r="H730" s="670"/>
      <c r="I730" s="670"/>
      <c r="J730" s="670"/>
      <c r="K730" s="670"/>
      <c r="L730" s="498">
        <f>133.5849-K724-L727-L728-L732</f>
        <v>0</v>
      </c>
      <c r="M730" s="459">
        <f>L730</f>
        <v>0</v>
      </c>
      <c r="N730" s="655"/>
      <c r="O730" s="656"/>
      <c r="P730" s="657"/>
      <c r="Q730" s="671"/>
      <c r="R730" s="672"/>
      <c r="S730" s="673"/>
      <c r="T730" s="457">
        <f>H724*M730*N724*O724*P724</f>
        <v>0</v>
      </c>
      <c r="U730" s="458">
        <f>T730</f>
        <v>0</v>
      </c>
      <c r="V730" s="42"/>
      <c r="W730" s="41"/>
      <c r="X730" s="41"/>
      <c r="Y730" s="41"/>
      <c r="Z730" s="44"/>
      <c r="AA730" s="29"/>
      <c r="AB730" s="29"/>
      <c r="AC730" s="44">
        <f>T730</f>
        <v>0</v>
      </c>
      <c r="AD730" s="29"/>
    </row>
    <row r="731" spans="1:30" s="488" customFormat="1" ht="45" hidden="1" customHeight="1">
      <c r="A731" s="492"/>
      <c r="B731" s="643"/>
      <c r="C731" s="515"/>
      <c r="D731" s="514"/>
      <c r="E731" s="674"/>
      <c r="F731" s="675"/>
      <c r="G731" s="675"/>
      <c r="H731" s="675"/>
      <c r="I731" s="675"/>
      <c r="J731" s="675"/>
      <c r="K731" s="675"/>
      <c r="L731" s="675"/>
      <c r="M731" s="676"/>
      <c r="N731" s="655"/>
      <c r="O731" s="656"/>
      <c r="P731" s="657"/>
      <c r="Q731" s="677"/>
      <c r="R731" s="678"/>
      <c r="S731" s="678"/>
      <c r="T731" s="678"/>
      <c r="U731" s="679"/>
      <c r="V731" s="45"/>
      <c r="W731" s="41"/>
      <c r="X731" s="41"/>
      <c r="Y731" s="41"/>
      <c r="Z731" s="29"/>
      <c r="AA731" s="44"/>
      <c r="AB731" s="29"/>
      <c r="AC731" s="29"/>
      <c r="AD731" s="29"/>
    </row>
    <row r="732" spans="1:30" s="488" customFormat="1" ht="45" hidden="1" customHeight="1" thickBot="1">
      <c r="A732" s="492"/>
      <c r="B732" s="644"/>
      <c r="C732" s="516"/>
      <c r="D732" s="517"/>
      <c r="E732" s="680" t="s">
        <v>369</v>
      </c>
      <c r="F732" s="680" t="s">
        <v>306</v>
      </c>
      <c r="G732" s="680"/>
      <c r="H732" s="680"/>
      <c r="I732" s="680"/>
      <c r="J732" s="680"/>
      <c r="K732" s="680"/>
      <c r="L732" s="499">
        <f>ROUND((I724+J724+K724+L727)*3.93%,2)</f>
        <v>27.08</v>
      </c>
      <c r="M732" s="46">
        <f>L732</f>
        <v>27.08</v>
      </c>
      <c r="N732" s="658"/>
      <c r="O732" s="659"/>
      <c r="P732" s="660"/>
      <c r="Q732" s="681"/>
      <c r="R732" s="682"/>
      <c r="S732" s="683"/>
      <c r="T732" s="500">
        <f>H724*M732*N724*O724*P724</f>
        <v>0</v>
      </c>
      <c r="U732" s="47">
        <f>T732</f>
        <v>0</v>
      </c>
      <c r="V732" s="48"/>
      <c r="W732" s="41"/>
      <c r="X732" s="41"/>
      <c r="Y732" s="41"/>
      <c r="Z732" s="29"/>
      <c r="AA732" s="29"/>
      <c r="AB732" s="44"/>
      <c r="AC732" s="29"/>
      <c r="AD732" s="44">
        <f>T732</f>
        <v>0</v>
      </c>
    </row>
    <row r="733" spans="1:30" s="488" customFormat="1" ht="150" hidden="1" customHeight="1" thickBot="1">
      <c r="A733" s="492"/>
      <c r="B733" s="642">
        <v>1</v>
      </c>
      <c r="C733" s="511">
        <v>5</v>
      </c>
      <c r="D733" s="512"/>
      <c r="E733" s="493" t="s">
        <v>509</v>
      </c>
      <c r="F733" s="487" t="s">
        <v>510</v>
      </c>
      <c r="G733" s="645" t="s">
        <v>388</v>
      </c>
      <c r="H733" s="688">
        <v>0</v>
      </c>
      <c r="I733" s="494">
        <v>441.83</v>
      </c>
      <c r="J733" s="494">
        <v>190.35999999999999</v>
      </c>
      <c r="K733" s="494">
        <v>33.49</v>
      </c>
      <c r="L733" s="494">
        <f>SUM(L735:L741)</f>
        <v>125.40735999999998</v>
      </c>
      <c r="M733" s="33">
        <f>SUM(I733:L733)</f>
        <v>791.08735999999999</v>
      </c>
      <c r="N733" s="501">
        <v>1</v>
      </c>
      <c r="O733" s="502">
        <v>1</v>
      </c>
      <c r="P733" s="37">
        <v>1</v>
      </c>
      <c r="Q733" s="34">
        <f>H733*I733*N733*O733*P733</f>
        <v>0</v>
      </c>
      <c r="R733" s="35">
        <f>H733*J733*N733*O733*P733</f>
        <v>0</v>
      </c>
      <c r="S733" s="36">
        <f>H733*K733*N733*O733*P733</f>
        <v>0</v>
      </c>
      <c r="T733" s="36">
        <f>H733*L733*N733*O733*P733</f>
        <v>0</v>
      </c>
      <c r="U733" s="37">
        <f>SUM(Q733:T733)</f>
        <v>0</v>
      </c>
      <c r="V733" s="38">
        <f>(Q733+R733+S733+T737+T738+T739+T741)*'Прогнозная стоимость РСС ИП '!$M$11+T736*'Прогнозная стоимость РСС ИП '!$M$10</f>
        <v>0</v>
      </c>
      <c r="W733" s="39">
        <f>T733</f>
        <v>0</v>
      </c>
      <c r="X733" s="39">
        <f>U733</f>
        <v>0</v>
      </c>
      <c r="Y733" s="39">
        <f>V733</f>
        <v>0</v>
      </c>
      <c r="Z733" s="29"/>
      <c r="AA733" s="29"/>
      <c r="AB733" s="29"/>
      <c r="AC733" s="29"/>
      <c r="AD733" s="29"/>
    </row>
    <row r="734" spans="1:30" s="488" customFormat="1" ht="41.25" hidden="1" customHeight="1">
      <c r="A734" s="492"/>
      <c r="B734" s="643"/>
      <c r="C734" s="513"/>
      <c r="D734" s="514"/>
      <c r="E734" s="495"/>
      <c r="F734" s="496"/>
      <c r="G734" s="646"/>
      <c r="H734" s="688"/>
      <c r="I734" s="649"/>
      <c r="J734" s="650"/>
      <c r="K734" s="650"/>
      <c r="L734" s="650"/>
      <c r="M734" s="651"/>
      <c r="N734" s="652"/>
      <c r="O734" s="653"/>
      <c r="P734" s="654"/>
      <c r="Q734" s="661"/>
      <c r="R734" s="662"/>
      <c r="S734" s="662"/>
      <c r="T734" s="662"/>
      <c r="U734" s="663"/>
      <c r="V734" s="40"/>
      <c r="W734" s="41"/>
      <c r="X734" s="41"/>
      <c r="Y734" s="41"/>
      <c r="Z734" s="29"/>
      <c r="AA734" s="29"/>
      <c r="AB734" s="29"/>
      <c r="AC734" s="29"/>
      <c r="AD734" s="29"/>
    </row>
    <row r="735" spans="1:30" s="488" customFormat="1" ht="41.25" hidden="1" customHeight="1">
      <c r="A735" s="492"/>
      <c r="B735" s="643"/>
      <c r="C735" s="513"/>
      <c r="D735" s="514"/>
      <c r="E735" s="664" t="s">
        <v>29</v>
      </c>
      <c r="F735" s="665"/>
      <c r="G735" s="665"/>
      <c r="H735" s="665"/>
      <c r="I735" s="665"/>
      <c r="J735" s="665"/>
      <c r="K735" s="665"/>
      <c r="L735" s="665"/>
      <c r="M735" s="666"/>
      <c r="N735" s="655"/>
      <c r="O735" s="656"/>
      <c r="P735" s="657"/>
      <c r="Q735" s="667"/>
      <c r="R735" s="689"/>
      <c r="S735" s="689"/>
      <c r="T735" s="689"/>
      <c r="U735" s="690"/>
      <c r="V735" s="42"/>
      <c r="W735" s="41"/>
      <c r="X735" s="41"/>
      <c r="Y735" s="41"/>
      <c r="Z735" s="29"/>
      <c r="AA735" s="29"/>
      <c r="AB735" s="29"/>
      <c r="AC735" s="29"/>
      <c r="AD735" s="29"/>
    </row>
    <row r="736" spans="1:30" s="488" customFormat="1" ht="41.25" hidden="1" customHeight="1">
      <c r="A736" s="492"/>
      <c r="B736" s="643"/>
      <c r="C736" s="513">
        <v>55</v>
      </c>
      <c r="D736" s="514"/>
      <c r="E736" s="670" t="s">
        <v>30</v>
      </c>
      <c r="F736" s="670"/>
      <c r="G736" s="670"/>
      <c r="H736" s="670"/>
      <c r="I736" s="670"/>
      <c r="J736" s="670"/>
      <c r="K736" s="670"/>
      <c r="L736" s="498">
        <v>59.617359999999998</v>
      </c>
      <c r="M736" s="459">
        <f>L736</f>
        <v>59.617359999999998</v>
      </c>
      <c r="N736" s="655"/>
      <c r="O736" s="656"/>
      <c r="P736" s="657"/>
      <c r="Q736" s="671"/>
      <c r="R736" s="672"/>
      <c r="S736" s="673"/>
      <c r="T736" s="457">
        <f>H733*M736*N733*O733*P733</f>
        <v>0</v>
      </c>
      <c r="U736" s="458">
        <f>T736</f>
        <v>0</v>
      </c>
      <c r="V736" s="42"/>
      <c r="W736" s="39"/>
      <c r="X736" s="41"/>
      <c r="Y736" s="41"/>
      <c r="Z736" s="43">
        <f>T736</f>
        <v>0</v>
      </c>
      <c r="AA736" s="29"/>
      <c r="AB736" s="29"/>
      <c r="AC736" s="29"/>
      <c r="AD736" s="29"/>
    </row>
    <row r="737" spans="1:30" s="488" customFormat="1" ht="41.25" hidden="1" customHeight="1">
      <c r="A737" s="492"/>
      <c r="B737" s="643"/>
      <c r="C737" s="513"/>
      <c r="D737" s="514"/>
      <c r="E737" s="670" t="s">
        <v>31</v>
      </c>
      <c r="F737" s="670"/>
      <c r="G737" s="670"/>
      <c r="H737" s="670"/>
      <c r="I737" s="670"/>
      <c r="J737" s="670"/>
      <c r="K737" s="670"/>
      <c r="L737" s="498">
        <f>ROUND((I733+J733+K733)*2.14%,2)</f>
        <v>14.25</v>
      </c>
      <c r="M737" s="459">
        <f>L737</f>
        <v>14.25</v>
      </c>
      <c r="N737" s="655"/>
      <c r="O737" s="656"/>
      <c r="P737" s="657"/>
      <c r="Q737" s="671"/>
      <c r="R737" s="672"/>
      <c r="S737" s="673"/>
      <c r="T737" s="457">
        <f>H733*M737*N733*O733*P733</f>
        <v>0</v>
      </c>
      <c r="U737" s="458">
        <f>T737</f>
        <v>0</v>
      </c>
      <c r="V737" s="42"/>
      <c r="W737" s="41"/>
      <c r="X737" s="39"/>
      <c r="Y737" s="41"/>
      <c r="Z737" s="29"/>
      <c r="AA737" s="43">
        <f>T737</f>
        <v>0</v>
      </c>
      <c r="AB737" s="29"/>
      <c r="AC737" s="29"/>
      <c r="AD737" s="29"/>
    </row>
    <row r="738" spans="1:30" s="488" customFormat="1" ht="41.25" hidden="1" customHeight="1">
      <c r="A738" s="492"/>
      <c r="B738" s="643"/>
      <c r="C738" s="515"/>
      <c r="D738" s="514"/>
      <c r="E738" s="670" t="s">
        <v>376</v>
      </c>
      <c r="F738" s="670"/>
      <c r="G738" s="670"/>
      <c r="H738" s="670"/>
      <c r="I738" s="670"/>
      <c r="J738" s="670"/>
      <c r="K738" s="670"/>
      <c r="L738" s="498">
        <f>ROUND((I733+J733+K733+L736+L737+L741)*3%,2)</f>
        <v>23.04</v>
      </c>
      <c r="M738" s="459">
        <f>L738</f>
        <v>23.04</v>
      </c>
      <c r="N738" s="655"/>
      <c r="O738" s="656"/>
      <c r="P738" s="657"/>
      <c r="Q738" s="671"/>
      <c r="R738" s="672"/>
      <c r="S738" s="673"/>
      <c r="T738" s="457">
        <f>H733*M738*N733*O733*P733</f>
        <v>0</v>
      </c>
      <c r="U738" s="458">
        <f>T738</f>
        <v>0</v>
      </c>
      <c r="V738" s="42"/>
      <c r="W738" s="41"/>
      <c r="X738" s="41"/>
      <c r="Y738" s="39"/>
      <c r="Z738" s="29"/>
      <c r="AA738" s="29"/>
      <c r="AB738" s="43">
        <f>T738</f>
        <v>0</v>
      </c>
      <c r="AC738" s="29"/>
      <c r="AD738" s="29"/>
    </row>
    <row r="739" spans="1:30" s="488" customFormat="1" ht="54.75" hidden="1" customHeight="1">
      <c r="A739" s="492"/>
      <c r="B739" s="643"/>
      <c r="C739" s="515"/>
      <c r="D739" s="514"/>
      <c r="E739" s="670" t="s">
        <v>377</v>
      </c>
      <c r="F739" s="670"/>
      <c r="G739" s="670"/>
      <c r="H739" s="670"/>
      <c r="I739" s="670"/>
      <c r="J739" s="670"/>
      <c r="K739" s="670"/>
      <c r="L739" s="498">
        <f>135.85736-K733-L736-L737-L741</f>
        <v>0</v>
      </c>
      <c r="M739" s="459">
        <f>L739</f>
        <v>0</v>
      </c>
      <c r="N739" s="655"/>
      <c r="O739" s="656"/>
      <c r="P739" s="657"/>
      <c r="Q739" s="671"/>
      <c r="R739" s="672"/>
      <c r="S739" s="673"/>
      <c r="T739" s="457">
        <f>H733*M739*N733*O733*P733</f>
        <v>0</v>
      </c>
      <c r="U739" s="458">
        <f>T739</f>
        <v>0</v>
      </c>
      <c r="V739" s="42"/>
      <c r="W739" s="41"/>
      <c r="X739" s="41"/>
      <c r="Y739" s="41"/>
      <c r="Z739" s="44"/>
      <c r="AA739" s="29"/>
      <c r="AB739" s="29"/>
      <c r="AC739" s="44">
        <f>T739</f>
        <v>0</v>
      </c>
      <c r="AD739" s="29"/>
    </row>
    <row r="740" spans="1:30" s="488" customFormat="1" ht="45" hidden="1" customHeight="1">
      <c r="A740" s="492"/>
      <c r="B740" s="643"/>
      <c r="C740" s="515"/>
      <c r="D740" s="514"/>
      <c r="E740" s="674"/>
      <c r="F740" s="675"/>
      <c r="G740" s="675"/>
      <c r="H740" s="675"/>
      <c r="I740" s="675"/>
      <c r="J740" s="675"/>
      <c r="K740" s="675"/>
      <c r="L740" s="675"/>
      <c r="M740" s="676"/>
      <c r="N740" s="655"/>
      <c r="O740" s="656"/>
      <c r="P740" s="657"/>
      <c r="Q740" s="677"/>
      <c r="R740" s="678"/>
      <c r="S740" s="678"/>
      <c r="T740" s="678"/>
      <c r="U740" s="679"/>
      <c r="V740" s="45"/>
      <c r="W740" s="41"/>
      <c r="X740" s="41"/>
      <c r="Y740" s="41"/>
      <c r="Z740" s="29"/>
      <c r="AA740" s="44"/>
      <c r="AB740" s="29"/>
      <c r="AC740" s="29"/>
      <c r="AD740" s="29"/>
    </row>
    <row r="741" spans="1:30" s="488" customFormat="1" ht="45" hidden="1" customHeight="1" thickBot="1">
      <c r="A741" s="492"/>
      <c r="B741" s="644"/>
      <c r="C741" s="516"/>
      <c r="D741" s="517"/>
      <c r="E741" s="680" t="s">
        <v>369</v>
      </c>
      <c r="F741" s="680" t="s">
        <v>306</v>
      </c>
      <c r="G741" s="680"/>
      <c r="H741" s="680"/>
      <c r="I741" s="680"/>
      <c r="J741" s="680"/>
      <c r="K741" s="680"/>
      <c r="L741" s="499">
        <f>ROUND((I733+J733+K733+L736)*3.93%,2)</f>
        <v>28.5</v>
      </c>
      <c r="M741" s="46">
        <f>L741</f>
        <v>28.5</v>
      </c>
      <c r="N741" s="658"/>
      <c r="O741" s="659"/>
      <c r="P741" s="660"/>
      <c r="Q741" s="681"/>
      <c r="R741" s="682"/>
      <c r="S741" s="683"/>
      <c r="T741" s="500">
        <f>H733*M741*N733*O733*P733</f>
        <v>0</v>
      </c>
      <c r="U741" s="47">
        <f>T741</f>
        <v>0</v>
      </c>
      <c r="V741" s="48"/>
      <c r="W741" s="41"/>
      <c r="X741" s="41"/>
      <c r="Y741" s="41"/>
      <c r="Z741" s="29"/>
      <c r="AA741" s="29"/>
      <c r="AB741" s="44"/>
      <c r="AC741" s="29"/>
      <c r="AD741" s="44">
        <f>T741</f>
        <v>0</v>
      </c>
    </row>
    <row r="742" spans="1:30" s="488" customFormat="1" ht="150" hidden="1" customHeight="1" thickBot="1">
      <c r="A742" s="492"/>
      <c r="B742" s="642">
        <v>1</v>
      </c>
      <c r="C742" s="511">
        <v>5</v>
      </c>
      <c r="D742" s="512"/>
      <c r="E742" s="493" t="s">
        <v>511</v>
      </c>
      <c r="F742" s="487" t="s">
        <v>512</v>
      </c>
      <c r="G742" s="645" t="s">
        <v>388</v>
      </c>
      <c r="H742" s="688">
        <v>0</v>
      </c>
      <c r="I742" s="494">
        <v>467.78</v>
      </c>
      <c r="J742" s="494">
        <v>190.35999999999999</v>
      </c>
      <c r="K742" s="494">
        <v>33.49</v>
      </c>
      <c r="L742" s="494">
        <f>SUM(L744:L750)</f>
        <v>127.85926000000001</v>
      </c>
      <c r="M742" s="33">
        <f>SUM(I742:L742)</f>
        <v>819.48926000000006</v>
      </c>
      <c r="N742" s="501">
        <v>1</v>
      </c>
      <c r="O742" s="502">
        <v>1</v>
      </c>
      <c r="P742" s="37">
        <v>1</v>
      </c>
      <c r="Q742" s="34">
        <f>H742*I742*N742*O742*P742</f>
        <v>0</v>
      </c>
      <c r="R742" s="35">
        <f>H742*J742*N742*O742*P742</f>
        <v>0</v>
      </c>
      <c r="S742" s="36">
        <f>H742*K742*N742*O742*P742</f>
        <v>0</v>
      </c>
      <c r="T742" s="36">
        <f>H742*L742*N742*O742*P742</f>
        <v>0</v>
      </c>
      <c r="U742" s="37">
        <f>SUM(Q742:T742)</f>
        <v>0</v>
      </c>
      <c r="V742" s="38">
        <f>(Q742+R742+S742+T746+T747+T748+T750)*'Прогнозная стоимость РСС ИП '!$M$11+T745*'Прогнозная стоимость РСС ИП '!$M$10</f>
        <v>0</v>
      </c>
      <c r="W742" s="39">
        <f>T742</f>
        <v>0</v>
      </c>
      <c r="X742" s="39">
        <f>U742</f>
        <v>0</v>
      </c>
      <c r="Y742" s="39">
        <f>V742</f>
        <v>0</v>
      </c>
      <c r="Z742" s="29"/>
      <c r="AA742" s="29"/>
      <c r="AB742" s="29"/>
      <c r="AC742" s="29"/>
      <c r="AD742" s="29"/>
    </row>
    <row r="743" spans="1:30" s="488" customFormat="1" ht="41.25" hidden="1" customHeight="1">
      <c r="A743" s="492"/>
      <c r="B743" s="643"/>
      <c r="C743" s="513"/>
      <c r="D743" s="514"/>
      <c r="E743" s="495"/>
      <c r="F743" s="496"/>
      <c r="G743" s="646"/>
      <c r="H743" s="688"/>
      <c r="I743" s="649"/>
      <c r="J743" s="650"/>
      <c r="K743" s="650"/>
      <c r="L743" s="650"/>
      <c r="M743" s="651"/>
      <c r="N743" s="652"/>
      <c r="O743" s="653"/>
      <c r="P743" s="654"/>
      <c r="Q743" s="661"/>
      <c r="R743" s="662"/>
      <c r="S743" s="662"/>
      <c r="T743" s="662"/>
      <c r="U743" s="663"/>
      <c r="V743" s="40"/>
      <c r="W743" s="41"/>
      <c r="X743" s="41"/>
      <c r="Y743" s="41"/>
      <c r="Z743" s="29"/>
      <c r="AA743" s="29"/>
      <c r="AB743" s="29"/>
      <c r="AC743" s="29"/>
      <c r="AD743" s="29"/>
    </row>
    <row r="744" spans="1:30" s="488" customFormat="1" ht="41.25" hidden="1" customHeight="1">
      <c r="A744" s="492"/>
      <c r="B744" s="643"/>
      <c r="C744" s="513"/>
      <c r="D744" s="514"/>
      <c r="E744" s="664" t="s">
        <v>29</v>
      </c>
      <c r="F744" s="665"/>
      <c r="G744" s="665"/>
      <c r="H744" s="665"/>
      <c r="I744" s="665"/>
      <c r="J744" s="665"/>
      <c r="K744" s="665"/>
      <c r="L744" s="665"/>
      <c r="M744" s="666"/>
      <c r="N744" s="655"/>
      <c r="O744" s="656"/>
      <c r="P744" s="657"/>
      <c r="Q744" s="667"/>
      <c r="R744" s="689"/>
      <c r="S744" s="689"/>
      <c r="T744" s="689"/>
      <c r="U744" s="690"/>
      <c r="V744" s="42"/>
      <c r="W744" s="41"/>
      <c r="X744" s="41"/>
      <c r="Y744" s="41"/>
      <c r="Z744" s="29"/>
      <c r="AA744" s="29"/>
      <c r="AB744" s="29"/>
      <c r="AC744" s="29"/>
      <c r="AD744" s="29"/>
    </row>
    <row r="745" spans="1:30" s="488" customFormat="1" ht="41.25" hidden="1" customHeight="1">
      <c r="A745" s="492"/>
      <c r="B745" s="643"/>
      <c r="C745" s="513">
        <v>55</v>
      </c>
      <c r="D745" s="514"/>
      <c r="E745" s="670" t="s">
        <v>30</v>
      </c>
      <c r="F745" s="670"/>
      <c r="G745" s="670"/>
      <c r="H745" s="670"/>
      <c r="I745" s="670"/>
      <c r="J745" s="670"/>
      <c r="K745" s="670"/>
      <c r="L745" s="498">
        <v>59.669260000000001</v>
      </c>
      <c r="M745" s="459">
        <f>L745</f>
        <v>59.669260000000001</v>
      </c>
      <c r="N745" s="655"/>
      <c r="O745" s="656"/>
      <c r="P745" s="657"/>
      <c r="Q745" s="671"/>
      <c r="R745" s="672"/>
      <c r="S745" s="673"/>
      <c r="T745" s="457">
        <f>H742*M745*N742*O742*P742</f>
        <v>0</v>
      </c>
      <c r="U745" s="458">
        <f>T745</f>
        <v>0</v>
      </c>
      <c r="V745" s="42"/>
      <c r="W745" s="39"/>
      <c r="X745" s="41"/>
      <c r="Y745" s="41"/>
      <c r="Z745" s="43">
        <f>T745</f>
        <v>0</v>
      </c>
      <c r="AA745" s="29"/>
      <c r="AB745" s="29"/>
      <c r="AC745" s="29"/>
      <c r="AD745" s="29"/>
    </row>
    <row r="746" spans="1:30" s="488" customFormat="1" ht="41.25" hidden="1" customHeight="1">
      <c r="A746" s="492"/>
      <c r="B746" s="643"/>
      <c r="C746" s="513"/>
      <c r="D746" s="514"/>
      <c r="E746" s="670" t="s">
        <v>31</v>
      </c>
      <c r="F746" s="670"/>
      <c r="G746" s="670"/>
      <c r="H746" s="670"/>
      <c r="I746" s="670"/>
      <c r="J746" s="670"/>
      <c r="K746" s="670"/>
      <c r="L746" s="498">
        <f>ROUND((I742+J742+K742)*2.14%,2)</f>
        <v>14.8</v>
      </c>
      <c r="M746" s="459">
        <f>L746</f>
        <v>14.8</v>
      </c>
      <c r="N746" s="655"/>
      <c r="O746" s="656"/>
      <c r="P746" s="657"/>
      <c r="Q746" s="671"/>
      <c r="R746" s="672"/>
      <c r="S746" s="673"/>
      <c r="T746" s="457">
        <f>H742*M746*N742*O742*P742</f>
        <v>0</v>
      </c>
      <c r="U746" s="458">
        <f>T746</f>
        <v>0</v>
      </c>
      <c r="V746" s="42"/>
      <c r="W746" s="41"/>
      <c r="X746" s="39"/>
      <c r="Y746" s="41"/>
      <c r="Z746" s="29"/>
      <c r="AA746" s="43">
        <f>T746</f>
        <v>0</v>
      </c>
      <c r="AB746" s="29"/>
      <c r="AC746" s="29"/>
      <c r="AD746" s="29"/>
    </row>
    <row r="747" spans="1:30" s="488" customFormat="1" ht="41.25" hidden="1" customHeight="1">
      <c r="A747" s="492"/>
      <c r="B747" s="643"/>
      <c r="C747" s="515"/>
      <c r="D747" s="514"/>
      <c r="E747" s="670" t="s">
        <v>376</v>
      </c>
      <c r="F747" s="670"/>
      <c r="G747" s="670"/>
      <c r="H747" s="670"/>
      <c r="I747" s="670"/>
      <c r="J747" s="670"/>
      <c r="K747" s="670"/>
      <c r="L747" s="498">
        <f>ROUND((I742+J742+K742+L745+L746+L750)*3%,2)-0.01</f>
        <v>23.86</v>
      </c>
      <c r="M747" s="459">
        <f>L747</f>
        <v>23.86</v>
      </c>
      <c r="N747" s="655"/>
      <c r="O747" s="656"/>
      <c r="P747" s="657"/>
      <c r="Q747" s="671"/>
      <c r="R747" s="672"/>
      <c r="S747" s="673"/>
      <c r="T747" s="457">
        <f>H742*M747*N742*O742*P742</f>
        <v>0</v>
      </c>
      <c r="U747" s="458">
        <f>T747</f>
        <v>0</v>
      </c>
      <c r="V747" s="42"/>
      <c r="W747" s="41"/>
      <c r="X747" s="41"/>
      <c r="Y747" s="39"/>
      <c r="Z747" s="29"/>
      <c r="AA747" s="29"/>
      <c r="AB747" s="43">
        <f>T747</f>
        <v>0</v>
      </c>
      <c r="AC747" s="29"/>
      <c r="AD747" s="29"/>
    </row>
    <row r="748" spans="1:30" s="488" customFormat="1" ht="54.75" hidden="1" customHeight="1">
      <c r="A748" s="492"/>
      <c r="B748" s="643"/>
      <c r="C748" s="515"/>
      <c r="D748" s="514"/>
      <c r="E748" s="670" t="s">
        <v>377</v>
      </c>
      <c r="F748" s="670"/>
      <c r="G748" s="670"/>
      <c r="H748" s="670"/>
      <c r="I748" s="670"/>
      <c r="J748" s="670"/>
      <c r="K748" s="670"/>
      <c r="L748" s="498">
        <f>137.48926-K742-L745-L746-L750</f>
        <v>0</v>
      </c>
      <c r="M748" s="459">
        <f>L748</f>
        <v>0</v>
      </c>
      <c r="N748" s="655"/>
      <c r="O748" s="656"/>
      <c r="P748" s="657"/>
      <c r="Q748" s="671"/>
      <c r="R748" s="672"/>
      <c r="S748" s="673"/>
      <c r="T748" s="457">
        <f>H742*M748*N742*O742*P742</f>
        <v>0</v>
      </c>
      <c r="U748" s="458">
        <f>T748</f>
        <v>0</v>
      </c>
      <c r="V748" s="42"/>
      <c r="W748" s="41"/>
      <c r="X748" s="41"/>
      <c r="Y748" s="41"/>
      <c r="Z748" s="44"/>
      <c r="AA748" s="29"/>
      <c r="AB748" s="29"/>
      <c r="AC748" s="44">
        <f>T748</f>
        <v>0</v>
      </c>
      <c r="AD748" s="29"/>
    </row>
    <row r="749" spans="1:30" s="488" customFormat="1" ht="45" hidden="1" customHeight="1">
      <c r="A749" s="492"/>
      <c r="B749" s="643"/>
      <c r="C749" s="515"/>
      <c r="D749" s="514"/>
      <c r="E749" s="674"/>
      <c r="F749" s="675"/>
      <c r="G749" s="675"/>
      <c r="H749" s="675"/>
      <c r="I749" s="675"/>
      <c r="J749" s="675"/>
      <c r="K749" s="675"/>
      <c r="L749" s="675"/>
      <c r="M749" s="676"/>
      <c r="N749" s="655"/>
      <c r="O749" s="656"/>
      <c r="P749" s="657"/>
      <c r="Q749" s="677"/>
      <c r="R749" s="678"/>
      <c r="S749" s="678"/>
      <c r="T749" s="678"/>
      <c r="U749" s="679"/>
      <c r="V749" s="45"/>
      <c r="W749" s="41"/>
      <c r="X749" s="41"/>
      <c r="Y749" s="41"/>
      <c r="Z749" s="29"/>
      <c r="AA749" s="44"/>
      <c r="AB749" s="29"/>
      <c r="AC749" s="29"/>
      <c r="AD749" s="29"/>
    </row>
    <row r="750" spans="1:30" s="488" customFormat="1" ht="45" hidden="1" customHeight="1" thickBot="1">
      <c r="A750" s="492"/>
      <c r="B750" s="644"/>
      <c r="C750" s="516"/>
      <c r="D750" s="517"/>
      <c r="E750" s="680" t="s">
        <v>369</v>
      </c>
      <c r="F750" s="680" t="s">
        <v>306</v>
      </c>
      <c r="G750" s="680"/>
      <c r="H750" s="680"/>
      <c r="I750" s="680"/>
      <c r="J750" s="680"/>
      <c r="K750" s="680"/>
      <c r="L750" s="499">
        <f>ROUND((I742+J742+K742+L745)*3.93%,2)</f>
        <v>29.53</v>
      </c>
      <c r="M750" s="46">
        <f>L750</f>
        <v>29.53</v>
      </c>
      <c r="N750" s="658"/>
      <c r="O750" s="659"/>
      <c r="P750" s="660"/>
      <c r="Q750" s="681"/>
      <c r="R750" s="682"/>
      <c r="S750" s="683"/>
      <c r="T750" s="500">
        <f>H742*M750*N742*O742*P742</f>
        <v>0</v>
      </c>
      <c r="U750" s="47">
        <f>T750</f>
        <v>0</v>
      </c>
      <c r="V750" s="48"/>
      <c r="W750" s="41"/>
      <c r="X750" s="41"/>
      <c r="Y750" s="41"/>
      <c r="Z750" s="29"/>
      <c r="AA750" s="29"/>
      <c r="AB750" s="44"/>
      <c r="AC750" s="29"/>
      <c r="AD750" s="44">
        <f>T750</f>
        <v>0</v>
      </c>
    </row>
    <row r="751" spans="1:30" s="488" customFormat="1" ht="150" hidden="1" customHeight="1" thickBot="1">
      <c r="A751" s="492"/>
      <c r="B751" s="642">
        <v>1</v>
      </c>
      <c r="C751" s="511">
        <v>5</v>
      </c>
      <c r="D751" s="512"/>
      <c r="E751" s="493" t="s">
        <v>513</v>
      </c>
      <c r="F751" s="487" t="s">
        <v>514</v>
      </c>
      <c r="G751" s="645" t="s">
        <v>388</v>
      </c>
      <c r="H751" s="688">
        <v>0</v>
      </c>
      <c r="I751" s="494">
        <v>558.21</v>
      </c>
      <c r="J751" s="494">
        <v>190.35999999999999</v>
      </c>
      <c r="K751" s="494">
        <v>33.49</v>
      </c>
      <c r="L751" s="494">
        <f>SUM(L753:L759)</f>
        <v>136.44012000000001</v>
      </c>
      <c r="M751" s="33">
        <f>SUM(I751:L751)</f>
        <v>918.50012000000004</v>
      </c>
      <c r="N751" s="501">
        <v>1</v>
      </c>
      <c r="O751" s="502">
        <v>1</v>
      </c>
      <c r="P751" s="37">
        <v>1</v>
      </c>
      <c r="Q751" s="34">
        <f>H751*I751*N751*O751*P751</f>
        <v>0</v>
      </c>
      <c r="R751" s="35">
        <f>H751*J751*N751*O751*P751</f>
        <v>0</v>
      </c>
      <c r="S751" s="36">
        <f>H751*K751*N751*O751*P751</f>
        <v>0</v>
      </c>
      <c r="T751" s="36">
        <f>H751*L751*N751*O751*P751</f>
        <v>0</v>
      </c>
      <c r="U751" s="37">
        <f>SUM(Q751:T751)</f>
        <v>0</v>
      </c>
      <c r="V751" s="38">
        <f>(Q751+R751+S751+T755+T756+T757+T759)*'Прогнозная стоимость РСС ИП '!$M$11+T754*'Прогнозная стоимость РСС ИП '!$M$10</f>
        <v>0</v>
      </c>
      <c r="W751" s="39">
        <f>T751</f>
        <v>0</v>
      </c>
      <c r="X751" s="39">
        <f>U751</f>
        <v>0</v>
      </c>
      <c r="Y751" s="39">
        <f>V751</f>
        <v>0</v>
      </c>
      <c r="Z751" s="29"/>
      <c r="AA751" s="29"/>
      <c r="AB751" s="29"/>
      <c r="AC751" s="29"/>
      <c r="AD751" s="29"/>
    </row>
    <row r="752" spans="1:30" s="488" customFormat="1" ht="41.25" hidden="1" customHeight="1">
      <c r="A752" s="492"/>
      <c r="B752" s="643"/>
      <c r="C752" s="513"/>
      <c r="D752" s="514"/>
      <c r="E752" s="495"/>
      <c r="F752" s="496"/>
      <c r="G752" s="646"/>
      <c r="H752" s="688"/>
      <c r="I752" s="649"/>
      <c r="J752" s="650"/>
      <c r="K752" s="650"/>
      <c r="L752" s="650"/>
      <c r="M752" s="651"/>
      <c r="N752" s="652"/>
      <c r="O752" s="653"/>
      <c r="P752" s="654"/>
      <c r="Q752" s="661"/>
      <c r="R752" s="662"/>
      <c r="S752" s="662"/>
      <c r="T752" s="662"/>
      <c r="U752" s="663"/>
      <c r="V752" s="40"/>
      <c r="W752" s="41"/>
      <c r="X752" s="41"/>
      <c r="Y752" s="41"/>
      <c r="Z752" s="29"/>
      <c r="AA752" s="29"/>
      <c r="AB752" s="29"/>
      <c r="AC752" s="29"/>
      <c r="AD752" s="29"/>
    </row>
    <row r="753" spans="1:30" s="488" customFormat="1" ht="41.25" hidden="1" customHeight="1">
      <c r="A753" s="492"/>
      <c r="B753" s="643"/>
      <c r="C753" s="513"/>
      <c r="D753" s="514"/>
      <c r="E753" s="664" t="s">
        <v>29</v>
      </c>
      <c r="F753" s="665"/>
      <c r="G753" s="665"/>
      <c r="H753" s="665"/>
      <c r="I753" s="665"/>
      <c r="J753" s="665"/>
      <c r="K753" s="665"/>
      <c r="L753" s="665"/>
      <c r="M753" s="666"/>
      <c r="N753" s="655"/>
      <c r="O753" s="656"/>
      <c r="P753" s="657"/>
      <c r="Q753" s="667"/>
      <c r="R753" s="689"/>
      <c r="S753" s="689"/>
      <c r="T753" s="689"/>
      <c r="U753" s="690"/>
      <c r="V753" s="42"/>
      <c r="W753" s="41"/>
      <c r="X753" s="41"/>
      <c r="Y753" s="41"/>
      <c r="Z753" s="29"/>
      <c r="AA753" s="29"/>
      <c r="AB753" s="29"/>
      <c r="AC753" s="29"/>
      <c r="AD753" s="29"/>
    </row>
    <row r="754" spans="1:30" s="488" customFormat="1" ht="41.25" hidden="1" customHeight="1">
      <c r="A754" s="492"/>
      <c r="B754" s="643"/>
      <c r="C754" s="513">
        <v>55</v>
      </c>
      <c r="D754" s="514"/>
      <c r="E754" s="670" t="s">
        <v>30</v>
      </c>
      <c r="F754" s="670"/>
      <c r="G754" s="670"/>
      <c r="H754" s="670"/>
      <c r="I754" s="670"/>
      <c r="J754" s="670"/>
      <c r="K754" s="670"/>
      <c r="L754" s="498">
        <v>59.850120000000004</v>
      </c>
      <c r="M754" s="459">
        <f>L754</f>
        <v>59.850120000000004</v>
      </c>
      <c r="N754" s="655"/>
      <c r="O754" s="656"/>
      <c r="P754" s="657"/>
      <c r="Q754" s="671"/>
      <c r="R754" s="672"/>
      <c r="S754" s="673"/>
      <c r="T754" s="457">
        <f>H751*M754*N751*O751*P751</f>
        <v>0</v>
      </c>
      <c r="U754" s="458">
        <f>T754</f>
        <v>0</v>
      </c>
      <c r="V754" s="42"/>
      <c r="W754" s="39"/>
      <c r="X754" s="41"/>
      <c r="Y754" s="41"/>
      <c r="Z754" s="43">
        <f>T754</f>
        <v>0</v>
      </c>
      <c r="AA754" s="29"/>
      <c r="AB754" s="29"/>
      <c r="AC754" s="29"/>
      <c r="AD754" s="29"/>
    </row>
    <row r="755" spans="1:30" s="488" customFormat="1" ht="41.25" hidden="1" customHeight="1">
      <c r="A755" s="492"/>
      <c r="B755" s="643"/>
      <c r="C755" s="513"/>
      <c r="D755" s="514"/>
      <c r="E755" s="670" t="s">
        <v>31</v>
      </c>
      <c r="F755" s="670"/>
      <c r="G755" s="670"/>
      <c r="H755" s="670"/>
      <c r="I755" s="670"/>
      <c r="J755" s="670"/>
      <c r="K755" s="670"/>
      <c r="L755" s="498">
        <f>ROUND((I751+J751+K751)*2.14%,2)</f>
        <v>16.739999999999998</v>
      </c>
      <c r="M755" s="459">
        <f>L755</f>
        <v>16.739999999999998</v>
      </c>
      <c r="N755" s="655"/>
      <c r="O755" s="656"/>
      <c r="P755" s="657"/>
      <c r="Q755" s="671"/>
      <c r="R755" s="672"/>
      <c r="S755" s="673"/>
      <c r="T755" s="457">
        <f>H751*M755*N751*O751*P751</f>
        <v>0</v>
      </c>
      <c r="U755" s="458">
        <f>T755</f>
        <v>0</v>
      </c>
      <c r="V755" s="42"/>
      <c r="W755" s="41"/>
      <c r="X755" s="39"/>
      <c r="Y755" s="41"/>
      <c r="Z755" s="29"/>
      <c r="AA755" s="43">
        <f>T755</f>
        <v>0</v>
      </c>
      <c r="AB755" s="29"/>
      <c r="AC755" s="29"/>
      <c r="AD755" s="29"/>
    </row>
    <row r="756" spans="1:30" s="488" customFormat="1" ht="41.25" hidden="1" customHeight="1">
      <c r="A756" s="492"/>
      <c r="B756" s="643"/>
      <c r="C756" s="515"/>
      <c r="D756" s="514"/>
      <c r="E756" s="670" t="s">
        <v>376</v>
      </c>
      <c r="F756" s="670"/>
      <c r="G756" s="670"/>
      <c r="H756" s="670"/>
      <c r="I756" s="670"/>
      <c r="J756" s="670"/>
      <c r="K756" s="670"/>
      <c r="L756" s="498">
        <f>ROUND((I751+J751+K751+L754+L755+L759)*3%,2)+0.01</f>
        <v>26.76</v>
      </c>
      <c r="M756" s="459">
        <f>L756</f>
        <v>26.76</v>
      </c>
      <c r="N756" s="655"/>
      <c r="O756" s="656"/>
      <c r="P756" s="657"/>
      <c r="Q756" s="671"/>
      <c r="R756" s="672"/>
      <c r="S756" s="673"/>
      <c r="T756" s="457">
        <f>H751*M756*N751*O751*P751</f>
        <v>0</v>
      </c>
      <c r="U756" s="458">
        <f>T756</f>
        <v>0</v>
      </c>
      <c r="V756" s="42"/>
      <c r="W756" s="41"/>
      <c r="X756" s="41"/>
      <c r="Y756" s="39"/>
      <c r="Z756" s="29"/>
      <c r="AA756" s="29"/>
      <c r="AB756" s="43">
        <f>T756</f>
        <v>0</v>
      </c>
      <c r="AC756" s="29"/>
      <c r="AD756" s="29"/>
    </row>
    <row r="757" spans="1:30" s="488" customFormat="1" ht="54.75" hidden="1" customHeight="1">
      <c r="A757" s="492"/>
      <c r="B757" s="643"/>
      <c r="C757" s="515"/>
      <c r="D757" s="514"/>
      <c r="E757" s="670" t="s">
        <v>377</v>
      </c>
      <c r="F757" s="670"/>
      <c r="G757" s="670"/>
      <c r="H757" s="670"/>
      <c r="I757" s="670"/>
      <c r="J757" s="670"/>
      <c r="K757" s="670"/>
      <c r="L757" s="498">
        <f>143.17012-K751-L754-L755-L759</f>
        <v>0</v>
      </c>
      <c r="M757" s="459">
        <f>L757</f>
        <v>0</v>
      </c>
      <c r="N757" s="655"/>
      <c r="O757" s="656"/>
      <c r="P757" s="657"/>
      <c r="Q757" s="671"/>
      <c r="R757" s="672"/>
      <c r="S757" s="673"/>
      <c r="T757" s="457">
        <f>H751*M757*N751*O751*P751</f>
        <v>0</v>
      </c>
      <c r="U757" s="458">
        <f>T757</f>
        <v>0</v>
      </c>
      <c r="V757" s="42"/>
      <c r="W757" s="41"/>
      <c r="X757" s="41"/>
      <c r="Y757" s="41"/>
      <c r="Z757" s="44"/>
      <c r="AA757" s="29"/>
      <c r="AB757" s="29"/>
      <c r="AC757" s="44">
        <f>T757</f>
        <v>0</v>
      </c>
      <c r="AD757" s="29"/>
    </row>
    <row r="758" spans="1:30" s="488" customFormat="1" ht="45" hidden="1" customHeight="1">
      <c r="A758" s="492"/>
      <c r="B758" s="643"/>
      <c r="C758" s="515"/>
      <c r="D758" s="514"/>
      <c r="E758" s="674"/>
      <c r="F758" s="675"/>
      <c r="G758" s="675"/>
      <c r="H758" s="675"/>
      <c r="I758" s="675"/>
      <c r="J758" s="675"/>
      <c r="K758" s="675"/>
      <c r="L758" s="675"/>
      <c r="M758" s="676"/>
      <c r="N758" s="655"/>
      <c r="O758" s="656"/>
      <c r="P758" s="657"/>
      <c r="Q758" s="677"/>
      <c r="R758" s="678"/>
      <c r="S758" s="678"/>
      <c r="T758" s="678"/>
      <c r="U758" s="679"/>
      <c r="V758" s="45"/>
      <c r="W758" s="41"/>
      <c r="X758" s="41"/>
      <c r="Y758" s="41"/>
      <c r="Z758" s="29"/>
      <c r="AA758" s="44"/>
      <c r="AB758" s="29"/>
      <c r="AC758" s="29"/>
      <c r="AD758" s="29"/>
    </row>
    <row r="759" spans="1:30" s="488" customFormat="1" ht="45" hidden="1" customHeight="1" thickBot="1">
      <c r="A759" s="492"/>
      <c r="B759" s="644"/>
      <c r="C759" s="516"/>
      <c r="D759" s="517"/>
      <c r="E759" s="680" t="s">
        <v>369</v>
      </c>
      <c r="F759" s="680" t="s">
        <v>306</v>
      </c>
      <c r="G759" s="680"/>
      <c r="H759" s="680"/>
      <c r="I759" s="680"/>
      <c r="J759" s="680"/>
      <c r="K759" s="680"/>
      <c r="L759" s="499">
        <f>ROUND((I751+J751+K751+L754)*3.93%,2)</f>
        <v>33.090000000000003</v>
      </c>
      <c r="M759" s="46">
        <f>L759</f>
        <v>33.090000000000003</v>
      </c>
      <c r="N759" s="658"/>
      <c r="O759" s="659"/>
      <c r="P759" s="660"/>
      <c r="Q759" s="681"/>
      <c r="R759" s="682"/>
      <c r="S759" s="683"/>
      <c r="T759" s="500">
        <f>H751*M759*N751*O751*P751</f>
        <v>0</v>
      </c>
      <c r="U759" s="47">
        <f>T759</f>
        <v>0</v>
      </c>
      <c r="V759" s="48"/>
      <c r="W759" s="41"/>
      <c r="X759" s="41"/>
      <c r="Y759" s="41"/>
      <c r="Z759" s="29"/>
      <c r="AA759" s="29"/>
      <c r="AB759" s="44"/>
      <c r="AC759" s="29"/>
      <c r="AD759" s="44">
        <f>T759</f>
        <v>0</v>
      </c>
    </row>
    <row r="760" spans="1:30" s="488" customFormat="1" ht="150" hidden="1" customHeight="1" thickBot="1">
      <c r="A760" s="492"/>
      <c r="B760" s="642">
        <v>1</v>
      </c>
      <c r="C760" s="511">
        <v>5</v>
      </c>
      <c r="D760" s="512"/>
      <c r="E760" s="493" t="s">
        <v>515</v>
      </c>
      <c r="F760" s="487" t="s">
        <v>516</v>
      </c>
      <c r="G760" s="645" t="s">
        <v>388</v>
      </c>
      <c r="H760" s="688">
        <v>0</v>
      </c>
      <c r="I760" s="494">
        <v>731.72</v>
      </c>
      <c r="J760" s="494">
        <v>200.82999999999998</v>
      </c>
      <c r="K760" s="494">
        <v>33.49</v>
      </c>
      <c r="L760" s="494">
        <f>SUM(L762:L768)</f>
        <v>153.82808</v>
      </c>
      <c r="M760" s="33">
        <f>SUM(I760:L760)</f>
        <v>1119.86808</v>
      </c>
      <c r="N760" s="501">
        <v>1</v>
      </c>
      <c r="O760" s="502">
        <v>1</v>
      </c>
      <c r="P760" s="37">
        <v>1</v>
      </c>
      <c r="Q760" s="34">
        <f>H760*I760*N760*O760*P760</f>
        <v>0</v>
      </c>
      <c r="R760" s="35">
        <f>H760*J760*N760*O760*P760</f>
        <v>0</v>
      </c>
      <c r="S760" s="36">
        <f>H760*K760*N760*O760*P760</f>
        <v>0</v>
      </c>
      <c r="T760" s="36">
        <f>H760*L760*N760*O760*P760</f>
        <v>0</v>
      </c>
      <c r="U760" s="37">
        <f>SUM(Q760:T760)</f>
        <v>0</v>
      </c>
      <c r="V760" s="38">
        <f>(Q760+R760+S760+T764+T765+T766+T768)*'Прогнозная стоимость РСС ИП '!$M$11+T763*'Прогнозная стоимость РСС ИП '!$M$10</f>
        <v>0</v>
      </c>
      <c r="W760" s="39">
        <f>T760</f>
        <v>0</v>
      </c>
      <c r="X760" s="39">
        <f>U760</f>
        <v>0</v>
      </c>
      <c r="Y760" s="39">
        <f>V760</f>
        <v>0</v>
      </c>
      <c r="Z760" s="29"/>
      <c r="AA760" s="29"/>
      <c r="AB760" s="29"/>
      <c r="AC760" s="29"/>
      <c r="AD760" s="29"/>
    </row>
    <row r="761" spans="1:30" s="488" customFormat="1" ht="41.25" hidden="1" customHeight="1">
      <c r="A761" s="492"/>
      <c r="B761" s="643"/>
      <c r="C761" s="513"/>
      <c r="D761" s="514"/>
      <c r="E761" s="495"/>
      <c r="F761" s="496"/>
      <c r="G761" s="646"/>
      <c r="H761" s="688"/>
      <c r="I761" s="649"/>
      <c r="J761" s="650"/>
      <c r="K761" s="650"/>
      <c r="L761" s="650"/>
      <c r="M761" s="651"/>
      <c r="N761" s="652"/>
      <c r="O761" s="653"/>
      <c r="P761" s="654"/>
      <c r="Q761" s="661"/>
      <c r="R761" s="662"/>
      <c r="S761" s="662"/>
      <c r="T761" s="662"/>
      <c r="U761" s="663"/>
      <c r="V761" s="40"/>
      <c r="W761" s="41"/>
      <c r="X761" s="41"/>
      <c r="Y761" s="41"/>
      <c r="Z761" s="29"/>
      <c r="AA761" s="29"/>
      <c r="AB761" s="29"/>
      <c r="AC761" s="29"/>
      <c r="AD761" s="29"/>
    </row>
    <row r="762" spans="1:30" s="488" customFormat="1" ht="41.25" hidden="1" customHeight="1">
      <c r="A762" s="492"/>
      <c r="B762" s="643"/>
      <c r="C762" s="513"/>
      <c r="D762" s="514"/>
      <c r="E762" s="664" t="s">
        <v>29</v>
      </c>
      <c r="F762" s="665"/>
      <c r="G762" s="665"/>
      <c r="H762" s="665"/>
      <c r="I762" s="665"/>
      <c r="J762" s="665"/>
      <c r="K762" s="665"/>
      <c r="L762" s="665"/>
      <c r="M762" s="666"/>
      <c r="N762" s="655"/>
      <c r="O762" s="656"/>
      <c r="P762" s="657"/>
      <c r="Q762" s="667"/>
      <c r="R762" s="689"/>
      <c r="S762" s="689"/>
      <c r="T762" s="689"/>
      <c r="U762" s="690"/>
      <c r="V762" s="42"/>
      <c r="W762" s="41"/>
      <c r="X762" s="41"/>
      <c r="Y762" s="41"/>
      <c r="Z762" s="29"/>
      <c r="AA762" s="29"/>
      <c r="AB762" s="29"/>
      <c r="AC762" s="29"/>
      <c r="AD762" s="29"/>
    </row>
    <row r="763" spans="1:30" s="488" customFormat="1" ht="41.25" hidden="1" customHeight="1">
      <c r="A763" s="492"/>
      <c r="B763" s="643"/>
      <c r="C763" s="513">
        <v>55</v>
      </c>
      <c r="D763" s="514"/>
      <c r="E763" s="670" t="s">
        <v>30</v>
      </c>
      <c r="F763" s="670"/>
      <c r="G763" s="670"/>
      <c r="H763" s="670"/>
      <c r="I763" s="670"/>
      <c r="J763" s="670"/>
      <c r="K763" s="670"/>
      <c r="L763" s="498">
        <v>60.21808</v>
      </c>
      <c r="M763" s="459">
        <f>L763</f>
        <v>60.21808</v>
      </c>
      <c r="N763" s="655"/>
      <c r="O763" s="656"/>
      <c r="P763" s="657"/>
      <c r="Q763" s="671"/>
      <c r="R763" s="672"/>
      <c r="S763" s="673"/>
      <c r="T763" s="457">
        <f>H760*M763*N760*O760*P760</f>
        <v>0</v>
      </c>
      <c r="U763" s="458">
        <f>T763</f>
        <v>0</v>
      </c>
      <c r="V763" s="42"/>
      <c r="W763" s="39"/>
      <c r="X763" s="41"/>
      <c r="Y763" s="41"/>
      <c r="Z763" s="43">
        <f>T763</f>
        <v>0</v>
      </c>
      <c r="AA763" s="29"/>
      <c r="AB763" s="29"/>
      <c r="AC763" s="29"/>
      <c r="AD763" s="29"/>
    </row>
    <row r="764" spans="1:30" s="488" customFormat="1" ht="41.25" hidden="1" customHeight="1">
      <c r="A764" s="492"/>
      <c r="B764" s="643"/>
      <c r="C764" s="513"/>
      <c r="D764" s="514"/>
      <c r="E764" s="670" t="s">
        <v>31</v>
      </c>
      <c r="F764" s="670"/>
      <c r="G764" s="670"/>
      <c r="H764" s="670"/>
      <c r="I764" s="670"/>
      <c r="J764" s="670"/>
      <c r="K764" s="670"/>
      <c r="L764" s="498">
        <f>ROUND((I760+J760+K760)*2.14%,2)</f>
        <v>20.67</v>
      </c>
      <c r="M764" s="459">
        <f>L764</f>
        <v>20.67</v>
      </c>
      <c r="N764" s="655"/>
      <c r="O764" s="656"/>
      <c r="P764" s="657"/>
      <c r="Q764" s="671"/>
      <c r="R764" s="672"/>
      <c r="S764" s="673"/>
      <c r="T764" s="457">
        <f>H760*M764*N760*O760*P760</f>
        <v>0</v>
      </c>
      <c r="U764" s="458">
        <f>T764</f>
        <v>0</v>
      </c>
      <c r="V764" s="42"/>
      <c r="W764" s="41"/>
      <c r="X764" s="39"/>
      <c r="Y764" s="41"/>
      <c r="Z764" s="29"/>
      <c r="AA764" s="43">
        <f>T764</f>
        <v>0</v>
      </c>
      <c r="AB764" s="29"/>
      <c r="AC764" s="29"/>
      <c r="AD764" s="29"/>
    </row>
    <row r="765" spans="1:30" s="488" customFormat="1" ht="41.25" hidden="1" customHeight="1">
      <c r="A765" s="492"/>
      <c r="B765" s="643"/>
      <c r="C765" s="515"/>
      <c r="D765" s="514"/>
      <c r="E765" s="670" t="s">
        <v>376</v>
      </c>
      <c r="F765" s="670"/>
      <c r="G765" s="670"/>
      <c r="H765" s="670"/>
      <c r="I765" s="670"/>
      <c r="J765" s="670"/>
      <c r="K765" s="670"/>
      <c r="L765" s="498">
        <f>ROUND((I760+J760+K760+L763+L764+L768)*3%,2)-0.01</f>
        <v>32.61</v>
      </c>
      <c r="M765" s="459">
        <f>L765</f>
        <v>32.61</v>
      </c>
      <c r="N765" s="655"/>
      <c r="O765" s="656"/>
      <c r="P765" s="657"/>
      <c r="Q765" s="671"/>
      <c r="R765" s="672"/>
      <c r="S765" s="673"/>
      <c r="T765" s="457">
        <f>H760*M765*N760*O760*P760</f>
        <v>0</v>
      </c>
      <c r="U765" s="458">
        <f>T765</f>
        <v>0</v>
      </c>
      <c r="V765" s="42"/>
      <c r="W765" s="41"/>
      <c r="X765" s="41"/>
      <c r="Y765" s="39"/>
      <c r="Z765" s="29"/>
      <c r="AA765" s="29"/>
      <c r="AB765" s="43">
        <f>T765</f>
        <v>0</v>
      </c>
      <c r="AC765" s="29"/>
      <c r="AD765" s="29"/>
    </row>
    <row r="766" spans="1:30" s="488" customFormat="1" ht="54.75" hidden="1" customHeight="1">
      <c r="A766" s="492"/>
      <c r="B766" s="643"/>
      <c r="C766" s="515"/>
      <c r="D766" s="514"/>
      <c r="E766" s="670" t="s">
        <v>377</v>
      </c>
      <c r="F766" s="670"/>
      <c r="G766" s="670"/>
      <c r="H766" s="670"/>
      <c r="I766" s="670"/>
      <c r="J766" s="670"/>
      <c r="K766" s="670"/>
      <c r="L766" s="498">
        <f>154.70808-K760-L763-L764-L768</f>
        <v>0</v>
      </c>
      <c r="M766" s="459">
        <f>L766</f>
        <v>0</v>
      </c>
      <c r="N766" s="655"/>
      <c r="O766" s="656"/>
      <c r="P766" s="657"/>
      <c r="Q766" s="671"/>
      <c r="R766" s="672"/>
      <c r="S766" s="673"/>
      <c r="T766" s="457">
        <f>H760*M766*N760*O760*P760</f>
        <v>0</v>
      </c>
      <c r="U766" s="458">
        <f>T766</f>
        <v>0</v>
      </c>
      <c r="V766" s="42"/>
      <c r="W766" s="41"/>
      <c r="X766" s="41"/>
      <c r="Y766" s="41"/>
      <c r="Z766" s="44"/>
      <c r="AA766" s="29"/>
      <c r="AB766" s="29"/>
      <c r="AC766" s="44">
        <f>T766</f>
        <v>0</v>
      </c>
      <c r="AD766" s="29"/>
    </row>
    <row r="767" spans="1:30" s="488" customFormat="1" ht="45" hidden="1" customHeight="1">
      <c r="A767" s="492"/>
      <c r="B767" s="643"/>
      <c r="C767" s="515"/>
      <c r="D767" s="514"/>
      <c r="E767" s="674"/>
      <c r="F767" s="675"/>
      <c r="G767" s="675"/>
      <c r="H767" s="675"/>
      <c r="I767" s="675"/>
      <c r="J767" s="675"/>
      <c r="K767" s="675"/>
      <c r="L767" s="675"/>
      <c r="M767" s="676"/>
      <c r="N767" s="655"/>
      <c r="O767" s="656"/>
      <c r="P767" s="657"/>
      <c r="Q767" s="677"/>
      <c r="R767" s="678"/>
      <c r="S767" s="678"/>
      <c r="T767" s="678"/>
      <c r="U767" s="679"/>
      <c r="V767" s="45"/>
      <c r="W767" s="41"/>
      <c r="X767" s="41"/>
      <c r="Y767" s="41"/>
      <c r="Z767" s="29"/>
      <c r="AA767" s="44"/>
      <c r="AB767" s="29"/>
      <c r="AC767" s="29"/>
      <c r="AD767" s="29"/>
    </row>
    <row r="768" spans="1:30" s="488" customFormat="1" ht="45" hidden="1" customHeight="1" thickBot="1">
      <c r="A768" s="492"/>
      <c r="B768" s="644"/>
      <c r="C768" s="516"/>
      <c r="D768" s="517"/>
      <c r="E768" s="680" t="s">
        <v>369</v>
      </c>
      <c r="F768" s="680" t="s">
        <v>306</v>
      </c>
      <c r="G768" s="680"/>
      <c r="H768" s="680"/>
      <c r="I768" s="680"/>
      <c r="J768" s="680"/>
      <c r="K768" s="680"/>
      <c r="L768" s="499">
        <f>ROUND((I760+J760+K760+L763)*3.93%,2)</f>
        <v>40.33</v>
      </c>
      <c r="M768" s="46">
        <f>L768</f>
        <v>40.33</v>
      </c>
      <c r="N768" s="658"/>
      <c r="O768" s="659"/>
      <c r="P768" s="660"/>
      <c r="Q768" s="681"/>
      <c r="R768" s="682"/>
      <c r="S768" s="683"/>
      <c r="T768" s="500">
        <f>H760*M768*N760*O760*P760</f>
        <v>0</v>
      </c>
      <c r="U768" s="47">
        <f>T768</f>
        <v>0</v>
      </c>
      <c r="V768" s="48"/>
      <c r="W768" s="41"/>
      <c r="X768" s="41"/>
      <c r="Y768" s="41"/>
      <c r="Z768" s="29"/>
      <c r="AA768" s="29"/>
      <c r="AB768" s="44"/>
      <c r="AC768" s="29"/>
      <c r="AD768" s="44">
        <f>T768</f>
        <v>0</v>
      </c>
    </row>
    <row r="769" spans="1:30" s="488" customFormat="1" ht="150" hidden="1" customHeight="1" thickBot="1">
      <c r="A769" s="492"/>
      <c r="B769" s="642">
        <v>1</v>
      </c>
      <c r="C769" s="511">
        <v>5</v>
      </c>
      <c r="D769" s="512"/>
      <c r="E769" s="493" t="s">
        <v>517</v>
      </c>
      <c r="F769" s="487" t="s">
        <v>518</v>
      </c>
      <c r="G769" s="645" t="s">
        <v>388</v>
      </c>
      <c r="H769" s="688">
        <v>0</v>
      </c>
      <c r="I769" s="494">
        <v>840.86</v>
      </c>
      <c r="J769" s="494">
        <v>200.82999999999998</v>
      </c>
      <c r="K769" s="494">
        <v>33.49</v>
      </c>
      <c r="L769" s="494">
        <f>SUM(L771:L777)</f>
        <v>164.17635999999999</v>
      </c>
      <c r="M769" s="33">
        <f>SUM(I769:L769)</f>
        <v>1239.35636</v>
      </c>
      <c r="N769" s="501">
        <v>1</v>
      </c>
      <c r="O769" s="502">
        <v>1</v>
      </c>
      <c r="P769" s="37">
        <v>1</v>
      </c>
      <c r="Q769" s="34">
        <f>H769*I769*N769*O769*P769</f>
        <v>0</v>
      </c>
      <c r="R769" s="35">
        <f>H769*J769*N769*O769*P769</f>
        <v>0</v>
      </c>
      <c r="S769" s="36">
        <f>H769*K769*N769*O769*P769</f>
        <v>0</v>
      </c>
      <c r="T769" s="36">
        <f>H769*L769*N769*O769*P769</f>
        <v>0</v>
      </c>
      <c r="U769" s="37">
        <f>SUM(Q769:T769)</f>
        <v>0</v>
      </c>
      <c r="V769" s="38">
        <f>(Q769+R769+S769+T773+T774+T775+T777)*'Прогнозная стоимость РСС ИП '!$M$11+T772*'Прогнозная стоимость РСС ИП '!$M$10</f>
        <v>0</v>
      </c>
      <c r="W769" s="39">
        <f>T769</f>
        <v>0</v>
      </c>
      <c r="X769" s="39">
        <f>U769</f>
        <v>0</v>
      </c>
      <c r="Y769" s="39">
        <f>V769</f>
        <v>0</v>
      </c>
      <c r="Z769" s="29"/>
      <c r="AA769" s="29"/>
      <c r="AB769" s="29"/>
      <c r="AC769" s="29"/>
      <c r="AD769" s="29"/>
    </row>
    <row r="770" spans="1:30" s="488" customFormat="1" ht="41.25" hidden="1" customHeight="1">
      <c r="A770" s="492"/>
      <c r="B770" s="643"/>
      <c r="C770" s="513"/>
      <c r="D770" s="514"/>
      <c r="E770" s="495"/>
      <c r="F770" s="496"/>
      <c r="G770" s="646"/>
      <c r="H770" s="688"/>
      <c r="I770" s="649"/>
      <c r="J770" s="650"/>
      <c r="K770" s="650"/>
      <c r="L770" s="650"/>
      <c r="M770" s="651"/>
      <c r="N770" s="652"/>
      <c r="O770" s="653"/>
      <c r="P770" s="654"/>
      <c r="Q770" s="661"/>
      <c r="R770" s="662"/>
      <c r="S770" s="662"/>
      <c r="T770" s="662"/>
      <c r="U770" s="663"/>
      <c r="V770" s="40"/>
      <c r="W770" s="41"/>
      <c r="X770" s="41"/>
      <c r="Y770" s="41"/>
      <c r="Z770" s="29"/>
      <c r="AA770" s="29"/>
      <c r="AB770" s="29"/>
      <c r="AC770" s="29"/>
      <c r="AD770" s="29"/>
    </row>
    <row r="771" spans="1:30" s="488" customFormat="1" ht="41.25" hidden="1" customHeight="1">
      <c r="A771" s="492"/>
      <c r="B771" s="643"/>
      <c r="C771" s="513"/>
      <c r="D771" s="514"/>
      <c r="E771" s="664" t="s">
        <v>29</v>
      </c>
      <c r="F771" s="665"/>
      <c r="G771" s="665"/>
      <c r="H771" s="665"/>
      <c r="I771" s="665"/>
      <c r="J771" s="665"/>
      <c r="K771" s="665"/>
      <c r="L771" s="665"/>
      <c r="M771" s="666"/>
      <c r="N771" s="655"/>
      <c r="O771" s="656"/>
      <c r="P771" s="657"/>
      <c r="Q771" s="667"/>
      <c r="R771" s="689"/>
      <c r="S771" s="689"/>
      <c r="T771" s="689"/>
      <c r="U771" s="690"/>
      <c r="V771" s="42"/>
      <c r="W771" s="41"/>
      <c r="X771" s="41"/>
      <c r="Y771" s="41"/>
      <c r="Z771" s="29"/>
      <c r="AA771" s="29"/>
      <c r="AB771" s="29"/>
      <c r="AC771" s="29"/>
      <c r="AD771" s="29"/>
    </row>
    <row r="772" spans="1:30" s="488" customFormat="1" ht="41.25" hidden="1" customHeight="1">
      <c r="A772" s="492"/>
      <c r="B772" s="643"/>
      <c r="C772" s="513">
        <v>55</v>
      </c>
      <c r="D772" s="514"/>
      <c r="E772" s="670" t="s">
        <v>30</v>
      </c>
      <c r="F772" s="670"/>
      <c r="G772" s="670"/>
      <c r="H772" s="670"/>
      <c r="I772" s="670"/>
      <c r="J772" s="670"/>
      <c r="K772" s="670"/>
      <c r="L772" s="498">
        <v>60.436360000000001</v>
      </c>
      <c r="M772" s="459">
        <f>L772</f>
        <v>60.436360000000001</v>
      </c>
      <c r="N772" s="655"/>
      <c r="O772" s="656"/>
      <c r="P772" s="657"/>
      <c r="Q772" s="671"/>
      <c r="R772" s="672"/>
      <c r="S772" s="673"/>
      <c r="T772" s="457">
        <f>H769*M772*N769*O769*P769</f>
        <v>0</v>
      </c>
      <c r="U772" s="458">
        <f>T772</f>
        <v>0</v>
      </c>
      <c r="V772" s="42"/>
      <c r="W772" s="39"/>
      <c r="X772" s="41"/>
      <c r="Y772" s="41"/>
      <c r="Z772" s="43">
        <f>T772</f>
        <v>0</v>
      </c>
      <c r="AA772" s="29"/>
      <c r="AB772" s="29"/>
      <c r="AC772" s="29"/>
      <c r="AD772" s="29"/>
    </row>
    <row r="773" spans="1:30" s="488" customFormat="1" ht="41.25" hidden="1" customHeight="1">
      <c r="A773" s="492"/>
      <c r="B773" s="643"/>
      <c r="C773" s="513"/>
      <c r="D773" s="514"/>
      <c r="E773" s="670" t="s">
        <v>31</v>
      </c>
      <c r="F773" s="670"/>
      <c r="G773" s="670"/>
      <c r="H773" s="670"/>
      <c r="I773" s="670"/>
      <c r="J773" s="670"/>
      <c r="K773" s="670"/>
      <c r="L773" s="498">
        <f>ROUND((I769+J769+K769)*2.14%,2)</f>
        <v>23.01</v>
      </c>
      <c r="M773" s="459">
        <f>L773</f>
        <v>23.01</v>
      </c>
      <c r="N773" s="655"/>
      <c r="O773" s="656"/>
      <c r="P773" s="657"/>
      <c r="Q773" s="671"/>
      <c r="R773" s="672"/>
      <c r="S773" s="673"/>
      <c r="T773" s="457">
        <f>H769*M773*N769*O769*P769</f>
        <v>0</v>
      </c>
      <c r="U773" s="458">
        <f>T773</f>
        <v>0</v>
      </c>
      <c r="V773" s="42"/>
      <c r="W773" s="41"/>
      <c r="X773" s="39"/>
      <c r="Y773" s="41"/>
      <c r="Z773" s="29"/>
      <c r="AA773" s="43">
        <f>T773</f>
        <v>0</v>
      </c>
      <c r="AB773" s="29"/>
      <c r="AC773" s="29"/>
      <c r="AD773" s="29"/>
    </row>
    <row r="774" spans="1:30" s="488" customFormat="1" ht="41.25" hidden="1" customHeight="1">
      <c r="A774" s="492"/>
      <c r="B774" s="643"/>
      <c r="C774" s="515"/>
      <c r="D774" s="514"/>
      <c r="E774" s="670" t="s">
        <v>376</v>
      </c>
      <c r="F774" s="670"/>
      <c r="G774" s="670"/>
      <c r="H774" s="670"/>
      <c r="I774" s="670"/>
      <c r="J774" s="670"/>
      <c r="K774" s="670"/>
      <c r="L774" s="498">
        <f>ROUND((I769+J769+K769+L772+L773+L777)*3%,2)</f>
        <v>36.1</v>
      </c>
      <c r="M774" s="459">
        <f>L774</f>
        <v>36.1</v>
      </c>
      <c r="N774" s="655"/>
      <c r="O774" s="656"/>
      <c r="P774" s="657"/>
      <c r="Q774" s="671"/>
      <c r="R774" s="672"/>
      <c r="S774" s="673"/>
      <c r="T774" s="457">
        <f>H769*M774*N769*O769*P769</f>
        <v>0</v>
      </c>
      <c r="U774" s="458">
        <f>T774</f>
        <v>0</v>
      </c>
      <c r="V774" s="42"/>
      <c r="W774" s="41"/>
      <c r="X774" s="41"/>
      <c r="Y774" s="39"/>
      <c r="Z774" s="29"/>
      <c r="AA774" s="29"/>
      <c r="AB774" s="43">
        <f>T774</f>
        <v>0</v>
      </c>
      <c r="AC774" s="29"/>
      <c r="AD774" s="29"/>
    </row>
    <row r="775" spans="1:30" s="488" customFormat="1" ht="54.75" hidden="1" customHeight="1">
      <c r="A775" s="492"/>
      <c r="B775" s="643"/>
      <c r="C775" s="515"/>
      <c r="D775" s="514"/>
      <c r="E775" s="670" t="s">
        <v>377</v>
      </c>
      <c r="F775" s="670"/>
      <c r="G775" s="670"/>
      <c r="H775" s="670"/>
      <c r="I775" s="670"/>
      <c r="J775" s="670"/>
      <c r="K775" s="670"/>
      <c r="L775" s="498">
        <f>161.56636-K769-L772-L773-L777</f>
        <v>0</v>
      </c>
      <c r="M775" s="459">
        <f>L775</f>
        <v>0</v>
      </c>
      <c r="N775" s="655"/>
      <c r="O775" s="656"/>
      <c r="P775" s="657"/>
      <c r="Q775" s="671"/>
      <c r="R775" s="672"/>
      <c r="S775" s="673"/>
      <c r="T775" s="457">
        <f>H769*M775*N769*O769*P769</f>
        <v>0</v>
      </c>
      <c r="U775" s="458">
        <f>T775</f>
        <v>0</v>
      </c>
      <c r="V775" s="42"/>
      <c r="W775" s="41"/>
      <c r="X775" s="41"/>
      <c r="Y775" s="41"/>
      <c r="Z775" s="44"/>
      <c r="AA775" s="29"/>
      <c r="AB775" s="29"/>
      <c r="AC775" s="44">
        <f>T775</f>
        <v>0</v>
      </c>
      <c r="AD775" s="29"/>
    </row>
    <row r="776" spans="1:30" s="488" customFormat="1" ht="45" hidden="1" customHeight="1">
      <c r="A776" s="492"/>
      <c r="B776" s="643"/>
      <c r="C776" s="515"/>
      <c r="D776" s="514"/>
      <c r="E776" s="674"/>
      <c r="F776" s="675"/>
      <c r="G776" s="675"/>
      <c r="H776" s="675"/>
      <c r="I776" s="675"/>
      <c r="J776" s="675"/>
      <c r="K776" s="675"/>
      <c r="L776" s="675"/>
      <c r="M776" s="676"/>
      <c r="N776" s="655"/>
      <c r="O776" s="656"/>
      <c r="P776" s="657"/>
      <c r="Q776" s="677"/>
      <c r="R776" s="678"/>
      <c r="S776" s="678"/>
      <c r="T776" s="678"/>
      <c r="U776" s="679"/>
      <c r="V776" s="45"/>
      <c r="W776" s="41"/>
      <c r="X776" s="41"/>
      <c r="Y776" s="41"/>
      <c r="Z776" s="29"/>
      <c r="AA776" s="44"/>
      <c r="AB776" s="29"/>
      <c r="AC776" s="29"/>
      <c r="AD776" s="29"/>
    </row>
    <row r="777" spans="1:30" s="488" customFormat="1" ht="45" hidden="1" customHeight="1" thickBot="1">
      <c r="A777" s="492"/>
      <c r="B777" s="644"/>
      <c r="C777" s="516"/>
      <c r="D777" s="517"/>
      <c r="E777" s="680" t="s">
        <v>369</v>
      </c>
      <c r="F777" s="680" t="s">
        <v>306</v>
      </c>
      <c r="G777" s="680"/>
      <c r="H777" s="680"/>
      <c r="I777" s="680"/>
      <c r="J777" s="680"/>
      <c r="K777" s="680"/>
      <c r="L777" s="499">
        <f>ROUND((I769+J769+K769+L772)*3.93%,2)</f>
        <v>44.63</v>
      </c>
      <c r="M777" s="46">
        <f>L777</f>
        <v>44.63</v>
      </c>
      <c r="N777" s="658"/>
      <c r="O777" s="659"/>
      <c r="P777" s="660"/>
      <c r="Q777" s="681"/>
      <c r="R777" s="682"/>
      <c r="S777" s="683"/>
      <c r="T777" s="500">
        <f>H769*M777*N769*O769*P769</f>
        <v>0</v>
      </c>
      <c r="U777" s="47">
        <f>T777</f>
        <v>0</v>
      </c>
      <c r="V777" s="48"/>
      <c r="W777" s="41"/>
      <c r="X777" s="41"/>
      <c r="Y777" s="41"/>
      <c r="Z777" s="29"/>
      <c r="AA777" s="29"/>
      <c r="AB777" s="44"/>
      <c r="AC777" s="29"/>
      <c r="AD777" s="44">
        <f>T777</f>
        <v>0</v>
      </c>
    </row>
    <row r="778" spans="1:30" s="488" customFormat="1" ht="150" hidden="1" customHeight="1" thickBot="1">
      <c r="A778" s="492"/>
      <c r="B778" s="642">
        <v>1</v>
      </c>
      <c r="C778" s="511">
        <v>5</v>
      </c>
      <c r="D778" s="512"/>
      <c r="E778" s="493" t="s">
        <v>519</v>
      </c>
      <c r="F778" s="487" t="s">
        <v>520</v>
      </c>
      <c r="G778" s="645" t="s">
        <v>388</v>
      </c>
      <c r="H778" s="688">
        <v>0</v>
      </c>
      <c r="I778" s="494">
        <v>0</v>
      </c>
      <c r="J778" s="494">
        <v>45.03</v>
      </c>
      <c r="K778" s="494">
        <v>0</v>
      </c>
      <c r="L778" s="494">
        <f>SUM(L780:L786)</f>
        <v>7.4499999999999993</v>
      </c>
      <c r="M778" s="33">
        <f>SUM(I778:L778)</f>
        <v>52.480000000000004</v>
      </c>
      <c r="N778" s="501">
        <v>1</v>
      </c>
      <c r="O778" s="502">
        <v>1</v>
      </c>
      <c r="P778" s="37">
        <v>1</v>
      </c>
      <c r="Q778" s="34">
        <f>H778*I778*N778*O778*P778</f>
        <v>0</v>
      </c>
      <c r="R778" s="35">
        <f>H778*J778*N778*O778*P778</f>
        <v>0</v>
      </c>
      <c r="S778" s="36">
        <f>H778*K778*N778*O778*P778</f>
        <v>0</v>
      </c>
      <c r="T778" s="36">
        <f>H778*L778*N778*O778*P778</f>
        <v>0</v>
      </c>
      <c r="U778" s="37">
        <f>SUM(Q778:T778)</f>
        <v>0</v>
      </c>
      <c r="V778" s="38">
        <f>(Q778+R778+S778+T782+T783+T784+T786)*'Прогнозная стоимость РСС ИП '!$M$11+T781*'Прогнозная стоимость РСС ИП '!$M$10</f>
        <v>0</v>
      </c>
      <c r="W778" s="39">
        <f>T778</f>
        <v>0</v>
      </c>
      <c r="X778" s="39">
        <f>U778</f>
        <v>0</v>
      </c>
      <c r="Y778" s="39">
        <f>V778</f>
        <v>0</v>
      </c>
      <c r="Z778" s="29"/>
      <c r="AA778" s="29"/>
      <c r="AB778" s="29"/>
      <c r="AC778" s="29"/>
      <c r="AD778" s="29"/>
    </row>
    <row r="779" spans="1:30" s="488" customFormat="1" ht="41.25" hidden="1" customHeight="1">
      <c r="A779" s="492"/>
      <c r="B779" s="643"/>
      <c r="C779" s="513"/>
      <c r="D779" s="514"/>
      <c r="E779" s="495"/>
      <c r="F779" s="496"/>
      <c r="G779" s="646"/>
      <c r="H779" s="688"/>
      <c r="I779" s="649"/>
      <c r="J779" s="650"/>
      <c r="K779" s="650"/>
      <c r="L779" s="650"/>
      <c r="M779" s="651"/>
      <c r="N779" s="652"/>
      <c r="O779" s="653"/>
      <c r="P779" s="654"/>
      <c r="Q779" s="661"/>
      <c r="R779" s="662"/>
      <c r="S779" s="662"/>
      <c r="T779" s="662"/>
      <c r="U779" s="663"/>
      <c r="V779" s="40"/>
      <c r="W779" s="41"/>
      <c r="X779" s="41"/>
      <c r="Y779" s="41"/>
      <c r="Z779" s="29"/>
      <c r="AA779" s="29"/>
      <c r="AB779" s="29"/>
      <c r="AC779" s="29"/>
      <c r="AD779" s="29"/>
    </row>
    <row r="780" spans="1:30" s="488" customFormat="1" ht="41.25" hidden="1" customHeight="1">
      <c r="A780" s="492"/>
      <c r="B780" s="643"/>
      <c r="C780" s="513"/>
      <c r="D780" s="514"/>
      <c r="E780" s="664" t="s">
        <v>29</v>
      </c>
      <c r="F780" s="665"/>
      <c r="G780" s="665"/>
      <c r="H780" s="665"/>
      <c r="I780" s="665"/>
      <c r="J780" s="665"/>
      <c r="K780" s="665"/>
      <c r="L780" s="665"/>
      <c r="M780" s="666"/>
      <c r="N780" s="655"/>
      <c r="O780" s="656"/>
      <c r="P780" s="657"/>
      <c r="Q780" s="667"/>
      <c r="R780" s="689"/>
      <c r="S780" s="689"/>
      <c r="T780" s="689"/>
      <c r="U780" s="690"/>
      <c r="V780" s="42"/>
      <c r="W780" s="41"/>
      <c r="X780" s="41"/>
      <c r="Y780" s="41"/>
      <c r="Z780" s="29"/>
      <c r="AA780" s="29"/>
      <c r="AB780" s="29"/>
      <c r="AC780" s="29"/>
      <c r="AD780" s="29"/>
    </row>
    <row r="781" spans="1:30" s="488" customFormat="1" ht="41.25" hidden="1" customHeight="1">
      <c r="A781" s="492"/>
      <c r="B781" s="643"/>
      <c r="C781" s="513">
        <v>55</v>
      </c>
      <c r="D781" s="514"/>
      <c r="E781" s="670" t="s">
        <v>30</v>
      </c>
      <c r="F781" s="670"/>
      <c r="G781" s="670"/>
      <c r="H781" s="670"/>
      <c r="I781" s="670"/>
      <c r="J781" s="670"/>
      <c r="K781" s="670"/>
      <c r="L781" s="498">
        <v>3.07</v>
      </c>
      <c r="M781" s="459">
        <f>L781</f>
        <v>3.07</v>
      </c>
      <c r="N781" s="655"/>
      <c r="O781" s="656"/>
      <c r="P781" s="657"/>
      <c r="Q781" s="671"/>
      <c r="R781" s="672"/>
      <c r="S781" s="673"/>
      <c r="T781" s="457">
        <f>H778*M781*N778*O778*P778</f>
        <v>0</v>
      </c>
      <c r="U781" s="458">
        <f>T781</f>
        <v>0</v>
      </c>
      <c r="V781" s="42"/>
      <c r="W781" s="39"/>
      <c r="X781" s="41"/>
      <c r="Y781" s="41"/>
      <c r="Z781" s="43">
        <f>T781</f>
        <v>0</v>
      </c>
      <c r="AA781" s="29"/>
      <c r="AB781" s="29"/>
      <c r="AC781" s="29"/>
      <c r="AD781" s="29"/>
    </row>
    <row r="782" spans="1:30" s="488" customFormat="1" ht="41.25" hidden="1" customHeight="1">
      <c r="A782" s="492"/>
      <c r="B782" s="643"/>
      <c r="C782" s="513"/>
      <c r="D782" s="514"/>
      <c r="E782" s="670" t="s">
        <v>31</v>
      </c>
      <c r="F782" s="670"/>
      <c r="G782" s="670"/>
      <c r="H782" s="670"/>
      <c r="I782" s="670"/>
      <c r="J782" s="670"/>
      <c r="K782" s="670"/>
      <c r="L782" s="498">
        <f>ROUND((I778+J778+K778)*2.14%,2)</f>
        <v>0.96</v>
      </c>
      <c r="M782" s="459">
        <f>L782</f>
        <v>0.96</v>
      </c>
      <c r="N782" s="655"/>
      <c r="O782" s="656"/>
      <c r="P782" s="657"/>
      <c r="Q782" s="671"/>
      <c r="R782" s="672"/>
      <c r="S782" s="673"/>
      <c r="T782" s="457">
        <f>H778*M782*N778*O778*P778</f>
        <v>0</v>
      </c>
      <c r="U782" s="458">
        <f>T782</f>
        <v>0</v>
      </c>
      <c r="V782" s="42"/>
      <c r="W782" s="41"/>
      <c r="X782" s="39"/>
      <c r="Y782" s="41"/>
      <c r="Z782" s="29"/>
      <c r="AA782" s="43">
        <f>T782</f>
        <v>0</v>
      </c>
      <c r="AB782" s="29"/>
      <c r="AC782" s="29"/>
      <c r="AD782" s="29"/>
    </row>
    <row r="783" spans="1:30" s="488" customFormat="1" ht="41.25" hidden="1" customHeight="1">
      <c r="A783" s="492"/>
      <c r="B783" s="643"/>
      <c r="C783" s="515"/>
      <c r="D783" s="514"/>
      <c r="E783" s="670" t="s">
        <v>376</v>
      </c>
      <c r="F783" s="670"/>
      <c r="G783" s="670"/>
      <c r="H783" s="670"/>
      <c r="I783" s="670"/>
      <c r="J783" s="670"/>
      <c r="K783" s="670"/>
      <c r="L783" s="498">
        <f>ROUND((I778+J778+K778+L781+L782+L786)*3%,2)</f>
        <v>1.53</v>
      </c>
      <c r="M783" s="459">
        <f>L783</f>
        <v>1.53</v>
      </c>
      <c r="N783" s="655"/>
      <c r="O783" s="656"/>
      <c r="P783" s="657"/>
      <c r="Q783" s="671"/>
      <c r="R783" s="672"/>
      <c r="S783" s="673"/>
      <c r="T783" s="457">
        <f>H778*M783*N778*O778*P778</f>
        <v>0</v>
      </c>
      <c r="U783" s="458">
        <f>T783</f>
        <v>0</v>
      </c>
      <c r="V783" s="42"/>
      <c r="W783" s="41"/>
      <c r="X783" s="41"/>
      <c r="Y783" s="39"/>
      <c r="Z783" s="29"/>
      <c r="AA783" s="29"/>
      <c r="AB783" s="43">
        <f>T783</f>
        <v>0</v>
      </c>
      <c r="AC783" s="29"/>
      <c r="AD783" s="29"/>
    </row>
    <row r="784" spans="1:30" s="488" customFormat="1" ht="54.75" hidden="1" customHeight="1">
      <c r="A784" s="492"/>
      <c r="B784" s="643"/>
      <c r="C784" s="515"/>
      <c r="D784" s="514"/>
      <c r="E784" s="670" t="s">
        <v>377</v>
      </c>
      <c r="F784" s="670"/>
      <c r="G784" s="670"/>
      <c r="H784" s="670"/>
      <c r="I784" s="670"/>
      <c r="J784" s="670"/>
      <c r="K784" s="670"/>
      <c r="L784" s="498">
        <f>5.92-K778-L781-L782-L786</f>
        <v>0</v>
      </c>
      <c r="M784" s="459">
        <f>L784</f>
        <v>0</v>
      </c>
      <c r="N784" s="655"/>
      <c r="O784" s="656"/>
      <c r="P784" s="657"/>
      <c r="Q784" s="671"/>
      <c r="R784" s="672"/>
      <c r="S784" s="673"/>
      <c r="T784" s="457">
        <f>H778*M784*N778*O778*P778</f>
        <v>0</v>
      </c>
      <c r="U784" s="458">
        <f>T784</f>
        <v>0</v>
      </c>
      <c r="V784" s="42"/>
      <c r="W784" s="41"/>
      <c r="X784" s="41"/>
      <c r="Y784" s="41"/>
      <c r="Z784" s="44"/>
      <c r="AA784" s="29"/>
      <c r="AB784" s="29"/>
      <c r="AC784" s="44">
        <f>T784</f>
        <v>0</v>
      </c>
      <c r="AD784" s="29"/>
    </row>
    <row r="785" spans="1:30" s="488" customFormat="1" ht="45" hidden="1" customHeight="1">
      <c r="A785" s="492"/>
      <c r="B785" s="643"/>
      <c r="C785" s="515"/>
      <c r="D785" s="514"/>
      <c r="E785" s="674"/>
      <c r="F785" s="675"/>
      <c r="G785" s="675"/>
      <c r="H785" s="675"/>
      <c r="I785" s="675"/>
      <c r="J785" s="675"/>
      <c r="K785" s="675"/>
      <c r="L785" s="675"/>
      <c r="M785" s="676"/>
      <c r="N785" s="655"/>
      <c r="O785" s="656"/>
      <c r="P785" s="657"/>
      <c r="Q785" s="677"/>
      <c r="R785" s="678"/>
      <c r="S785" s="678"/>
      <c r="T785" s="678"/>
      <c r="U785" s="679"/>
      <c r="V785" s="45"/>
      <c r="W785" s="41"/>
      <c r="X785" s="41"/>
      <c r="Y785" s="41"/>
      <c r="Z785" s="29"/>
      <c r="AA785" s="44"/>
      <c r="AB785" s="29"/>
      <c r="AC785" s="29"/>
      <c r="AD785" s="29"/>
    </row>
    <row r="786" spans="1:30" s="488" customFormat="1" ht="45" hidden="1" customHeight="1" thickBot="1">
      <c r="A786" s="492"/>
      <c r="B786" s="644"/>
      <c r="C786" s="516"/>
      <c r="D786" s="517"/>
      <c r="E786" s="680" t="s">
        <v>369</v>
      </c>
      <c r="F786" s="680" t="s">
        <v>306</v>
      </c>
      <c r="G786" s="680"/>
      <c r="H786" s="680"/>
      <c r="I786" s="680"/>
      <c r="J786" s="680"/>
      <c r="K786" s="680"/>
      <c r="L786" s="499">
        <f>ROUND((I778+J778+K778+L781)*3.93%,2)</f>
        <v>1.89</v>
      </c>
      <c r="M786" s="46">
        <f>L786</f>
        <v>1.89</v>
      </c>
      <c r="N786" s="658"/>
      <c r="O786" s="659"/>
      <c r="P786" s="660"/>
      <c r="Q786" s="681"/>
      <c r="R786" s="682"/>
      <c r="S786" s="683"/>
      <c r="T786" s="500">
        <f>H778*M786*N778*O778*P778</f>
        <v>0</v>
      </c>
      <c r="U786" s="47">
        <f>T786</f>
        <v>0</v>
      </c>
      <c r="V786" s="48"/>
      <c r="W786" s="41"/>
      <c r="X786" s="41"/>
      <c r="Y786" s="41"/>
      <c r="Z786" s="29"/>
      <c r="AA786" s="29"/>
      <c r="AB786" s="44"/>
      <c r="AC786" s="29"/>
      <c r="AD786" s="44">
        <f>T786</f>
        <v>0</v>
      </c>
    </row>
    <row r="787" spans="1:30" s="488" customFormat="1" ht="150" hidden="1" customHeight="1" thickBot="1">
      <c r="A787" s="492"/>
      <c r="B787" s="642">
        <v>1</v>
      </c>
      <c r="C787" s="511">
        <v>5</v>
      </c>
      <c r="D787" s="512"/>
      <c r="E787" s="493" t="s">
        <v>521</v>
      </c>
      <c r="F787" s="487" t="s">
        <v>522</v>
      </c>
      <c r="G787" s="645" t="s">
        <v>388</v>
      </c>
      <c r="H787" s="688">
        <v>0</v>
      </c>
      <c r="I787" s="494">
        <v>123.9</v>
      </c>
      <c r="J787" s="494">
        <v>46.26</v>
      </c>
      <c r="K787" s="494">
        <v>12.78</v>
      </c>
      <c r="L787" s="494">
        <f>SUM(L789:L795)</f>
        <v>61.94</v>
      </c>
      <c r="M787" s="33">
        <f>SUM(I787:L787)</f>
        <v>244.88</v>
      </c>
      <c r="N787" s="501">
        <v>1</v>
      </c>
      <c r="O787" s="502">
        <v>1</v>
      </c>
      <c r="P787" s="37">
        <v>1</v>
      </c>
      <c r="Q787" s="34">
        <f>H787*I787*N787*O787*P787</f>
        <v>0</v>
      </c>
      <c r="R787" s="35">
        <f>H787*J787*N787*O787*P787</f>
        <v>0</v>
      </c>
      <c r="S787" s="36">
        <f>H787*K787*N787*O787*P787</f>
        <v>0</v>
      </c>
      <c r="T787" s="36">
        <f>H787*L787*N787*O787*P787</f>
        <v>0</v>
      </c>
      <c r="U787" s="37">
        <f>SUM(Q787:T787)</f>
        <v>0</v>
      </c>
      <c r="V787" s="38">
        <f>(Q787+R787+S787+T791+T792+T793+T795)*'Прогнозная стоимость РСС ИП '!$M$11+T790*'Прогнозная стоимость РСС ИП '!$M$10</f>
        <v>0</v>
      </c>
      <c r="W787" s="39">
        <f>T787</f>
        <v>0</v>
      </c>
      <c r="X787" s="39">
        <f>U787</f>
        <v>0</v>
      </c>
      <c r="Y787" s="39">
        <f>V787</f>
        <v>0</v>
      </c>
      <c r="Z787" s="29"/>
      <c r="AA787" s="29"/>
      <c r="AB787" s="29"/>
      <c r="AC787" s="29"/>
      <c r="AD787" s="29"/>
    </row>
    <row r="788" spans="1:30" s="488" customFormat="1" ht="41.25" hidden="1" customHeight="1">
      <c r="A788" s="492"/>
      <c r="B788" s="643"/>
      <c r="C788" s="513"/>
      <c r="D788" s="514"/>
      <c r="E788" s="495"/>
      <c r="F788" s="496"/>
      <c r="G788" s="646"/>
      <c r="H788" s="688"/>
      <c r="I788" s="649"/>
      <c r="J788" s="650"/>
      <c r="K788" s="650"/>
      <c r="L788" s="650"/>
      <c r="M788" s="651"/>
      <c r="N788" s="652"/>
      <c r="O788" s="653"/>
      <c r="P788" s="654"/>
      <c r="Q788" s="661"/>
      <c r="R788" s="662"/>
      <c r="S788" s="662"/>
      <c r="T788" s="662"/>
      <c r="U788" s="663"/>
      <c r="V788" s="40"/>
      <c r="W788" s="41"/>
      <c r="X788" s="41"/>
      <c r="Y788" s="41"/>
      <c r="Z788" s="29"/>
      <c r="AA788" s="29"/>
      <c r="AB788" s="29"/>
      <c r="AC788" s="29"/>
      <c r="AD788" s="29"/>
    </row>
    <row r="789" spans="1:30" s="488" customFormat="1" ht="41.25" hidden="1" customHeight="1">
      <c r="A789" s="492"/>
      <c r="B789" s="643"/>
      <c r="C789" s="513"/>
      <c r="D789" s="514"/>
      <c r="E789" s="664" t="s">
        <v>29</v>
      </c>
      <c r="F789" s="665"/>
      <c r="G789" s="665"/>
      <c r="H789" s="665"/>
      <c r="I789" s="665"/>
      <c r="J789" s="665"/>
      <c r="K789" s="665"/>
      <c r="L789" s="665"/>
      <c r="M789" s="666"/>
      <c r="N789" s="655"/>
      <c r="O789" s="656"/>
      <c r="P789" s="657"/>
      <c r="Q789" s="667"/>
      <c r="R789" s="689"/>
      <c r="S789" s="689"/>
      <c r="T789" s="689"/>
      <c r="U789" s="690"/>
      <c r="V789" s="42"/>
      <c r="W789" s="41"/>
      <c r="X789" s="41"/>
      <c r="Y789" s="41"/>
      <c r="Z789" s="29"/>
      <c r="AA789" s="29"/>
      <c r="AB789" s="29"/>
      <c r="AC789" s="29"/>
      <c r="AD789" s="29"/>
    </row>
    <row r="790" spans="1:30" s="488" customFormat="1" ht="41.25" hidden="1" customHeight="1">
      <c r="A790" s="492"/>
      <c r="B790" s="643"/>
      <c r="C790" s="513">
        <v>55</v>
      </c>
      <c r="D790" s="514"/>
      <c r="E790" s="670" t="s">
        <v>30</v>
      </c>
      <c r="F790" s="670"/>
      <c r="G790" s="670"/>
      <c r="H790" s="670"/>
      <c r="I790" s="670"/>
      <c r="J790" s="670"/>
      <c r="K790" s="670"/>
      <c r="L790" s="498">
        <v>42.05</v>
      </c>
      <c r="M790" s="459">
        <f>L790</f>
        <v>42.05</v>
      </c>
      <c r="N790" s="655"/>
      <c r="O790" s="656"/>
      <c r="P790" s="657"/>
      <c r="Q790" s="671"/>
      <c r="R790" s="672"/>
      <c r="S790" s="673"/>
      <c r="T790" s="457">
        <f>H787*M790*N787*O787*P787</f>
        <v>0</v>
      </c>
      <c r="U790" s="458">
        <f>T790</f>
        <v>0</v>
      </c>
      <c r="V790" s="42"/>
      <c r="W790" s="39"/>
      <c r="X790" s="41"/>
      <c r="Y790" s="41"/>
      <c r="Z790" s="43">
        <f>T790</f>
        <v>0</v>
      </c>
      <c r="AA790" s="29"/>
      <c r="AB790" s="29"/>
      <c r="AC790" s="29"/>
      <c r="AD790" s="29"/>
    </row>
    <row r="791" spans="1:30" s="488" customFormat="1" ht="41.25" hidden="1" customHeight="1">
      <c r="A791" s="492"/>
      <c r="B791" s="643"/>
      <c r="C791" s="513"/>
      <c r="D791" s="514"/>
      <c r="E791" s="670" t="s">
        <v>31</v>
      </c>
      <c r="F791" s="670"/>
      <c r="G791" s="670"/>
      <c r="H791" s="670"/>
      <c r="I791" s="670"/>
      <c r="J791" s="670"/>
      <c r="K791" s="670"/>
      <c r="L791" s="498">
        <f>ROUND((I787+J787+K787)*2.14%,2)</f>
        <v>3.91</v>
      </c>
      <c r="M791" s="459">
        <f>L791</f>
        <v>3.91</v>
      </c>
      <c r="N791" s="655"/>
      <c r="O791" s="656"/>
      <c r="P791" s="657"/>
      <c r="Q791" s="671"/>
      <c r="R791" s="672"/>
      <c r="S791" s="673"/>
      <c r="T791" s="457">
        <f>H787*M791*N787*O787*P787</f>
        <v>0</v>
      </c>
      <c r="U791" s="458">
        <f>T791</f>
        <v>0</v>
      </c>
      <c r="V791" s="42"/>
      <c r="W791" s="41"/>
      <c r="X791" s="39"/>
      <c r="Y791" s="41"/>
      <c r="Z791" s="29"/>
      <c r="AA791" s="43">
        <f>T791</f>
        <v>0</v>
      </c>
      <c r="AB791" s="29"/>
      <c r="AC791" s="29"/>
      <c r="AD791" s="29"/>
    </row>
    <row r="792" spans="1:30" s="488" customFormat="1" ht="41.25" hidden="1" customHeight="1">
      <c r="A792" s="492"/>
      <c r="B792" s="643"/>
      <c r="C792" s="515"/>
      <c r="D792" s="514"/>
      <c r="E792" s="670" t="s">
        <v>376</v>
      </c>
      <c r="F792" s="670"/>
      <c r="G792" s="670"/>
      <c r="H792" s="670"/>
      <c r="I792" s="670"/>
      <c r="J792" s="670"/>
      <c r="K792" s="670"/>
      <c r="L792" s="498">
        <f>ROUND((I787+J787+K787+L790+L791+L795)*3%,2)+0.01</f>
        <v>7.14</v>
      </c>
      <c r="M792" s="459">
        <f>L792</f>
        <v>7.14</v>
      </c>
      <c r="N792" s="655"/>
      <c r="O792" s="656"/>
      <c r="P792" s="657"/>
      <c r="Q792" s="671"/>
      <c r="R792" s="672"/>
      <c r="S792" s="673"/>
      <c r="T792" s="457">
        <f>H787*M792*N787*O787*P787</f>
        <v>0</v>
      </c>
      <c r="U792" s="458">
        <f>T792</f>
        <v>0</v>
      </c>
      <c r="V792" s="42"/>
      <c r="W792" s="41"/>
      <c r="X792" s="41"/>
      <c r="Y792" s="39"/>
      <c r="Z792" s="29"/>
      <c r="AA792" s="29"/>
      <c r="AB792" s="43">
        <f>T792</f>
        <v>0</v>
      </c>
      <c r="AC792" s="29"/>
      <c r="AD792" s="29"/>
    </row>
    <row r="793" spans="1:30" s="488" customFormat="1" ht="54.75" hidden="1" customHeight="1">
      <c r="A793" s="492"/>
      <c r="B793" s="643"/>
      <c r="C793" s="515"/>
      <c r="D793" s="514"/>
      <c r="E793" s="670" t="s">
        <v>377</v>
      </c>
      <c r="F793" s="670"/>
      <c r="G793" s="670"/>
      <c r="H793" s="670"/>
      <c r="I793" s="670"/>
      <c r="J793" s="670"/>
      <c r="K793" s="670"/>
      <c r="L793" s="498">
        <f>67.58-K787-L790-L791-L795</f>
        <v>0</v>
      </c>
      <c r="M793" s="459">
        <f>L793</f>
        <v>0</v>
      </c>
      <c r="N793" s="655"/>
      <c r="O793" s="656"/>
      <c r="P793" s="657"/>
      <c r="Q793" s="671"/>
      <c r="R793" s="672"/>
      <c r="S793" s="673"/>
      <c r="T793" s="457">
        <f>H787*M793*N787*O787*P787</f>
        <v>0</v>
      </c>
      <c r="U793" s="458">
        <f>T793</f>
        <v>0</v>
      </c>
      <c r="V793" s="42"/>
      <c r="W793" s="41"/>
      <c r="X793" s="41"/>
      <c r="Y793" s="41"/>
      <c r="Z793" s="44"/>
      <c r="AA793" s="29"/>
      <c r="AB793" s="29"/>
      <c r="AC793" s="44">
        <f>T793</f>
        <v>0</v>
      </c>
      <c r="AD793" s="29"/>
    </row>
    <row r="794" spans="1:30" s="488" customFormat="1" ht="45" hidden="1" customHeight="1">
      <c r="A794" s="492"/>
      <c r="B794" s="643"/>
      <c r="C794" s="515"/>
      <c r="D794" s="514"/>
      <c r="E794" s="674"/>
      <c r="F794" s="675"/>
      <c r="G794" s="675"/>
      <c r="H794" s="675"/>
      <c r="I794" s="675"/>
      <c r="J794" s="675"/>
      <c r="K794" s="675"/>
      <c r="L794" s="675"/>
      <c r="M794" s="676"/>
      <c r="N794" s="655"/>
      <c r="O794" s="656"/>
      <c r="P794" s="657"/>
      <c r="Q794" s="677"/>
      <c r="R794" s="678"/>
      <c r="S794" s="678"/>
      <c r="T794" s="678"/>
      <c r="U794" s="679"/>
      <c r="V794" s="45"/>
      <c r="W794" s="41"/>
      <c r="X794" s="41"/>
      <c r="Y794" s="41"/>
      <c r="Z794" s="29"/>
      <c r="AA794" s="44"/>
      <c r="AB794" s="29"/>
      <c r="AC794" s="29"/>
      <c r="AD794" s="29"/>
    </row>
    <row r="795" spans="1:30" s="488" customFormat="1" ht="45" hidden="1" customHeight="1" thickBot="1">
      <c r="A795" s="492"/>
      <c r="B795" s="644"/>
      <c r="C795" s="516"/>
      <c r="D795" s="517"/>
      <c r="E795" s="680" t="s">
        <v>369</v>
      </c>
      <c r="F795" s="680" t="s">
        <v>306</v>
      </c>
      <c r="G795" s="680"/>
      <c r="H795" s="680"/>
      <c r="I795" s="680"/>
      <c r="J795" s="680"/>
      <c r="K795" s="680"/>
      <c r="L795" s="499">
        <f>ROUND((I787+J787+K787+L790)*3.93%,2)</f>
        <v>8.84</v>
      </c>
      <c r="M795" s="46">
        <f>L795</f>
        <v>8.84</v>
      </c>
      <c r="N795" s="658"/>
      <c r="O795" s="659"/>
      <c r="P795" s="660"/>
      <c r="Q795" s="681"/>
      <c r="R795" s="682"/>
      <c r="S795" s="683"/>
      <c r="T795" s="500">
        <f>H787*M795*N787*O787*P787</f>
        <v>0</v>
      </c>
      <c r="U795" s="47">
        <f>T795</f>
        <v>0</v>
      </c>
      <c r="V795" s="48"/>
      <c r="W795" s="41"/>
      <c r="X795" s="41"/>
      <c r="Y795" s="41"/>
      <c r="Z795" s="29"/>
      <c r="AA795" s="29"/>
      <c r="AB795" s="44"/>
      <c r="AC795" s="29"/>
      <c r="AD795" s="44">
        <f>T795</f>
        <v>0</v>
      </c>
    </row>
    <row r="796" spans="1:30" s="488" customFormat="1" ht="150" hidden="1" customHeight="1" thickBot="1">
      <c r="A796" s="492"/>
      <c r="B796" s="642">
        <v>1</v>
      </c>
      <c r="C796" s="511">
        <v>5</v>
      </c>
      <c r="D796" s="512"/>
      <c r="E796" s="493" t="s">
        <v>523</v>
      </c>
      <c r="F796" s="487" t="s">
        <v>524</v>
      </c>
      <c r="G796" s="645" t="s">
        <v>388</v>
      </c>
      <c r="H796" s="688">
        <v>0</v>
      </c>
      <c r="I796" s="494">
        <v>140</v>
      </c>
      <c r="J796" s="494">
        <v>46.26</v>
      </c>
      <c r="K796" s="494">
        <v>12.78</v>
      </c>
      <c r="L796" s="494">
        <f>SUM(L798:L804)</f>
        <v>63.47</v>
      </c>
      <c r="M796" s="33">
        <f>SUM(I796:L796)</f>
        <v>262.51</v>
      </c>
      <c r="N796" s="501">
        <v>1</v>
      </c>
      <c r="O796" s="502">
        <v>1</v>
      </c>
      <c r="P796" s="37">
        <v>1</v>
      </c>
      <c r="Q796" s="34">
        <f>H796*I796*N796*O796*P796</f>
        <v>0</v>
      </c>
      <c r="R796" s="35">
        <f>H796*J796*N796*O796*P796</f>
        <v>0</v>
      </c>
      <c r="S796" s="36">
        <f>H796*K796*N796*O796*P796</f>
        <v>0</v>
      </c>
      <c r="T796" s="36">
        <f>H796*L796*N796*O796*P796</f>
        <v>0</v>
      </c>
      <c r="U796" s="37">
        <f>SUM(Q796:T796)</f>
        <v>0</v>
      </c>
      <c r="V796" s="38">
        <f>(Q796+R796+S796+T800+T801+T802+T804)*'Прогнозная стоимость РСС ИП '!$M$11+T799*'Прогнозная стоимость РСС ИП '!$M$10</f>
        <v>0</v>
      </c>
      <c r="W796" s="39">
        <f>T796</f>
        <v>0</v>
      </c>
      <c r="X796" s="39">
        <f>U796</f>
        <v>0</v>
      </c>
      <c r="Y796" s="39">
        <f>V796</f>
        <v>0</v>
      </c>
      <c r="Z796" s="29"/>
      <c r="AA796" s="29"/>
      <c r="AB796" s="29"/>
      <c r="AC796" s="29"/>
      <c r="AD796" s="29"/>
    </row>
    <row r="797" spans="1:30" s="488" customFormat="1" ht="41.25" hidden="1" customHeight="1">
      <c r="A797" s="492"/>
      <c r="B797" s="643"/>
      <c r="C797" s="513"/>
      <c r="D797" s="514"/>
      <c r="E797" s="495"/>
      <c r="F797" s="496"/>
      <c r="G797" s="646"/>
      <c r="H797" s="688"/>
      <c r="I797" s="649"/>
      <c r="J797" s="650"/>
      <c r="K797" s="650"/>
      <c r="L797" s="650"/>
      <c r="M797" s="651"/>
      <c r="N797" s="652"/>
      <c r="O797" s="653"/>
      <c r="P797" s="654"/>
      <c r="Q797" s="661"/>
      <c r="R797" s="662"/>
      <c r="S797" s="662"/>
      <c r="T797" s="662"/>
      <c r="U797" s="663"/>
      <c r="V797" s="40"/>
      <c r="W797" s="41"/>
      <c r="X797" s="41"/>
      <c r="Y797" s="41"/>
      <c r="Z797" s="29"/>
      <c r="AA797" s="29"/>
      <c r="AB797" s="29"/>
      <c r="AC797" s="29"/>
      <c r="AD797" s="29"/>
    </row>
    <row r="798" spans="1:30" s="488" customFormat="1" ht="41.25" hidden="1" customHeight="1">
      <c r="A798" s="492"/>
      <c r="B798" s="643"/>
      <c r="C798" s="513"/>
      <c r="D798" s="514"/>
      <c r="E798" s="664" t="s">
        <v>29</v>
      </c>
      <c r="F798" s="665"/>
      <c r="G798" s="665"/>
      <c r="H798" s="665"/>
      <c r="I798" s="665"/>
      <c r="J798" s="665"/>
      <c r="K798" s="665"/>
      <c r="L798" s="665"/>
      <c r="M798" s="666"/>
      <c r="N798" s="655"/>
      <c r="O798" s="656"/>
      <c r="P798" s="657"/>
      <c r="Q798" s="667"/>
      <c r="R798" s="689"/>
      <c r="S798" s="689"/>
      <c r="T798" s="689"/>
      <c r="U798" s="690"/>
      <c r="V798" s="42"/>
      <c r="W798" s="41"/>
      <c r="X798" s="41"/>
      <c r="Y798" s="41"/>
      <c r="Z798" s="29"/>
      <c r="AA798" s="29"/>
      <c r="AB798" s="29"/>
      <c r="AC798" s="29"/>
      <c r="AD798" s="29"/>
    </row>
    <row r="799" spans="1:30" s="488" customFormat="1" ht="41.25" hidden="1" customHeight="1">
      <c r="A799" s="492"/>
      <c r="B799" s="643"/>
      <c r="C799" s="513">
        <v>55</v>
      </c>
      <c r="D799" s="514"/>
      <c r="E799" s="670" t="s">
        <v>30</v>
      </c>
      <c r="F799" s="670"/>
      <c r="G799" s="670"/>
      <c r="H799" s="670"/>
      <c r="I799" s="670"/>
      <c r="J799" s="670"/>
      <c r="K799" s="670"/>
      <c r="L799" s="498">
        <v>42.08</v>
      </c>
      <c r="M799" s="459">
        <f>L799</f>
        <v>42.08</v>
      </c>
      <c r="N799" s="655"/>
      <c r="O799" s="656"/>
      <c r="P799" s="657"/>
      <c r="Q799" s="671"/>
      <c r="R799" s="672"/>
      <c r="S799" s="673"/>
      <c r="T799" s="457">
        <f>H796*M799*N796*O796*P796</f>
        <v>0</v>
      </c>
      <c r="U799" s="458">
        <f>T799</f>
        <v>0</v>
      </c>
      <c r="V799" s="42"/>
      <c r="W799" s="39"/>
      <c r="X799" s="41"/>
      <c r="Y799" s="41"/>
      <c r="Z799" s="43">
        <f>T799</f>
        <v>0</v>
      </c>
      <c r="AA799" s="29"/>
      <c r="AB799" s="29"/>
      <c r="AC799" s="29"/>
      <c r="AD799" s="29"/>
    </row>
    <row r="800" spans="1:30" s="488" customFormat="1" ht="41.25" hidden="1" customHeight="1">
      <c r="A800" s="492"/>
      <c r="B800" s="643"/>
      <c r="C800" s="513"/>
      <c r="D800" s="514"/>
      <c r="E800" s="670" t="s">
        <v>31</v>
      </c>
      <c r="F800" s="670"/>
      <c r="G800" s="670"/>
      <c r="H800" s="670"/>
      <c r="I800" s="670"/>
      <c r="J800" s="670"/>
      <c r="K800" s="670"/>
      <c r="L800" s="498">
        <f>ROUND((I796+J796+K796)*2.14%,2)</f>
        <v>4.26</v>
      </c>
      <c r="M800" s="459">
        <f>L800</f>
        <v>4.26</v>
      </c>
      <c r="N800" s="655"/>
      <c r="O800" s="656"/>
      <c r="P800" s="657"/>
      <c r="Q800" s="671"/>
      <c r="R800" s="672"/>
      <c r="S800" s="673"/>
      <c r="T800" s="457">
        <f>H796*M800*N796*O796*P796</f>
        <v>0</v>
      </c>
      <c r="U800" s="458">
        <f>T800</f>
        <v>0</v>
      </c>
      <c r="V800" s="42"/>
      <c r="W800" s="41"/>
      <c r="X800" s="39"/>
      <c r="Y800" s="41"/>
      <c r="Z800" s="29"/>
      <c r="AA800" s="43">
        <f>T800</f>
        <v>0</v>
      </c>
      <c r="AB800" s="29"/>
      <c r="AC800" s="29"/>
      <c r="AD800" s="29"/>
    </row>
    <row r="801" spans="1:30" s="488" customFormat="1" ht="41.25" hidden="1" customHeight="1">
      <c r="A801" s="492"/>
      <c r="B801" s="643"/>
      <c r="C801" s="515"/>
      <c r="D801" s="514"/>
      <c r="E801" s="670" t="s">
        <v>376</v>
      </c>
      <c r="F801" s="670"/>
      <c r="G801" s="670"/>
      <c r="H801" s="670"/>
      <c r="I801" s="670"/>
      <c r="J801" s="670"/>
      <c r="K801" s="670"/>
      <c r="L801" s="498">
        <f>ROUND((I796+J796+K796+L799+L800+L804)*3%,2)</f>
        <v>7.65</v>
      </c>
      <c r="M801" s="459">
        <f>L801</f>
        <v>7.65</v>
      </c>
      <c r="N801" s="655"/>
      <c r="O801" s="656"/>
      <c r="P801" s="657"/>
      <c r="Q801" s="671"/>
      <c r="R801" s="672"/>
      <c r="S801" s="673"/>
      <c r="T801" s="457">
        <f>H796*M801*N796*O796*P796</f>
        <v>0</v>
      </c>
      <c r="U801" s="458">
        <f>T801</f>
        <v>0</v>
      </c>
      <c r="V801" s="42"/>
      <c r="W801" s="41"/>
      <c r="X801" s="41"/>
      <c r="Y801" s="39"/>
      <c r="Z801" s="29"/>
      <c r="AA801" s="29"/>
      <c r="AB801" s="43">
        <f>T801</f>
        <v>0</v>
      </c>
      <c r="AC801" s="29"/>
      <c r="AD801" s="29"/>
    </row>
    <row r="802" spans="1:30" s="488" customFormat="1" ht="54.75" hidden="1" customHeight="1">
      <c r="A802" s="492"/>
      <c r="B802" s="643"/>
      <c r="C802" s="515"/>
      <c r="D802" s="514"/>
      <c r="E802" s="670" t="s">
        <v>377</v>
      </c>
      <c r="F802" s="670"/>
      <c r="G802" s="670"/>
      <c r="H802" s="670"/>
      <c r="I802" s="670"/>
      <c r="J802" s="670"/>
      <c r="K802" s="670"/>
      <c r="L802" s="498">
        <f>68.6-K796-L799-L800-L804</f>
        <v>0</v>
      </c>
      <c r="M802" s="459">
        <f>L802</f>
        <v>0</v>
      </c>
      <c r="N802" s="655"/>
      <c r="O802" s="656"/>
      <c r="P802" s="657"/>
      <c r="Q802" s="671"/>
      <c r="R802" s="672"/>
      <c r="S802" s="673"/>
      <c r="T802" s="457">
        <f>H796*M802*N796*O796*P796</f>
        <v>0</v>
      </c>
      <c r="U802" s="458">
        <f>T802</f>
        <v>0</v>
      </c>
      <c r="V802" s="42"/>
      <c r="W802" s="41"/>
      <c r="X802" s="41"/>
      <c r="Y802" s="41"/>
      <c r="Z802" s="44"/>
      <c r="AA802" s="29"/>
      <c r="AB802" s="29"/>
      <c r="AC802" s="44">
        <f>T802</f>
        <v>0</v>
      </c>
      <c r="AD802" s="29"/>
    </row>
    <row r="803" spans="1:30" s="488" customFormat="1" ht="45" hidden="1" customHeight="1">
      <c r="A803" s="492"/>
      <c r="B803" s="643"/>
      <c r="C803" s="515"/>
      <c r="D803" s="514"/>
      <c r="E803" s="674"/>
      <c r="F803" s="675"/>
      <c r="G803" s="675"/>
      <c r="H803" s="675"/>
      <c r="I803" s="675"/>
      <c r="J803" s="675"/>
      <c r="K803" s="675"/>
      <c r="L803" s="675"/>
      <c r="M803" s="676"/>
      <c r="N803" s="655"/>
      <c r="O803" s="656"/>
      <c r="P803" s="657"/>
      <c r="Q803" s="677"/>
      <c r="R803" s="678"/>
      <c r="S803" s="678"/>
      <c r="T803" s="678"/>
      <c r="U803" s="679"/>
      <c r="V803" s="45"/>
      <c r="W803" s="41"/>
      <c r="X803" s="41"/>
      <c r="Y803" s="41"/>
      <c r="Z803" s="29"/>
      <c r="AA803" s="44"/>
      <c r="AB803" s="29"/>
      <c r="AC803" s="29"/>
      <c r="AD803" s="29"/>
    </row>
    <row r="804" spans="1:30" s="488" customFormat="1" ht="45" hidden="1" customHeight="1" thickBot="1">
      <c r="A804" s="492"/>
      <c r="B804" s="644"/>
      <c r="C804" s="516"/>
      <c r="D804" s="517"/>
      <c r="E804" s="680" t="s">
        <v>369</v>
      </c>
      <c r="F804" s="680" t="s">
        <v>306</v>
      </c>
      <c r="G804" s="680"/>
      <c r="H804" s="680"/>
      <c r="I804" s="680"/>
      <c r="J804" s="680"/>
      <c r="K804" s="680"/>
      <c r="L804" s="499">
        <f>ROUND((I796+J796+K796+L799)*3.93%,2)</f>
        <v>9.48</v>
      </c>
      <c r="M804" s="46">
        <f>L804</f>
        <v>9.48</v>
      </c>
      <c r="N804" s="658"/>
      <c r="O804" s="659"/>
      <c r="P804" s="660"/>
      <c r="Q804" s="681"/>
      <c r="R804" s="682"/>
      <c r="S804" s="683"/>
      <c r="T804" s="500">
        <f>H796*M804*N796*O796*P796</f>
        <v>0</v>
      </c>
      <c r="U804" s="47">
        <f>T804</f>
        <v>0</v>
      </c>
      <c r="V804" s="48"/>
      <c r="W804" s="41"/>
      <c r="X804" s="41"/>
      <c r="Y804" s="41"/>
      <c r="Z804" s="29"/>
      <c r="AA804" s="29"/>
      <c r="AB804" s="44"/>
      <c r="AC804" s="29"/>
      <c r="AD804" s="44">
        <f>T804</f>
        <v>0</v>
      </c>
    </row>
    <row r="805" spans="1:30" s="488" customFormat="1" ht="150" hidden="1" customHeight="1" thickBot="1">
      <c r="A805" s="492"/>
      <c r="B805" s="642">
        <v>1</v>
      </c>
      <c r="C805" s="511">
        <v>5</v>
      </c>
      <c r="D805" s="512"/>
      <c r="E805" s="493" t="s">
        <v>525</v>
      </c>
      <c r="F805" s="487" t="s">
        <v>526</v>
      </c>
      <c r="G805" s="645" t="s">
        <v>388</v>
      </c>
      <c r="H805" s="688">
        <v>0</v>
      </c>
      <c r="I805" s="494">
        <v>164.9</v>
      </c>
      <c r="J805" s="494">
        <v>46.26</v>
      </c>
      <c r="K805" s="494">
        <v>12.78</v>
      </c>
      <c r="L805" s="494">
        <f>SUM(L807:L813)</f>
        <v>65.819999999999993</v>
      </c>
      <c r="M805" s="33">
        <f>SUM(I805:L805)</f>
        <v>289.76</v>
      </c>
      <c r="N805" s="501">
        <v>1</v>
      </c>
      <c r="O805" s="502">
        <v>1</v>
      </c>
      <c r="P805" s="37">
        <v>1</v>
      </c>
      <c r="Q805" s="34">
        <f>H805*I805*N805*O805*P805</f>
        <v>0</v>
      </c>
      <c r="R805" s="35">
        <f>H805*J805*N805*O805*P805</f>
        <v>0</v>
      </c>
      <c r="S805" s="36">
        <f>H805*K805*N805*O805*P805</f>
        <v>0</v>
      </c>
      <c r="T805" s="36">
        <f>H805*L805*N805*O805*P805</f>
        <v>0</v>
      </c>
      <c r="U805" s="37">
        <f>SUM(Q805:T805)</f>
        <v>0</v>
      </c>
      <c r="V805" s="38">
        <f>(Q805+R805+S805+T809+T810+T811+T813)*'Прогнозная стоимость РСС ИП '!$M$11+T808*'Прогнозная стоимость РСС ИП '!$M$10</f>
        <v>0</v>
      </c>
      <c r="W805" s="39">
        <f>T805</f>
        <v>0</v>
      </c>
      <c r="X805" s="39">
        <f>U805</f>
        <v>0</v>
      </c>
      <c r="Y805" s="39">
        <f>V805</f>
        <v>0</v>
      </c>
      <c r="Z805" s="29"/>
      <c r="AA805" s="29"/>
      <c r="AB805" s="29"/>
      <c r="AC805" s="29"/>
      <c r="AD805" s="29"/>
    </row>
    <row r="806" spans="1:30" s="488" customFormat="1" ht="41.25" hidden="1" customHeight="1">
      <c r="A806" s="492"/>
      <c r="B806" s="643"/>
      <c r="C806" s="513"/>
      <c r="D806" s="514"/>
      <c r="E806" s="495"/>
      <c r="F806" s="496"/>
      <c r="G806" s="646"/>
      <c r="H806" s="688"/>
      <c r="I806" s="649"/>
      <c r="J806" s="650"/>
      <c r="K806" s="650"/>
      <c r="L806" s="650"/>
      <c r="M806" s="651"/>
      <c r="N806" s="652"/>
      <c r="O806" s="653"/>
      <c r="P806" s="654"/>
      <c r="Q806" s="661"/>
      <c r="R806" s="662"/>
      <c r="S806" s="662"/>
      <c r="T806" s="662"/>
      <c r="U806" s="663"/>
      <c r="V806" s="40"/>
      <c r="W806" s="41"/>
      <c r="X806" s="41"/>
      <c r="Y806" s="41"/>
      <c r="Z806" s="29"/>
      <c r="AA806" s="29"/>
      <c r="AB806" s="29"/>
      <c r="AC806" s="29"/>
      <c r="AD806" s="29"/>
    </row>
    <row r="807" spans="1:30" s="488" customFormat="1" ht="41.25" hidden="1" customHeight="1">
      <c r="A807" s="492"/>
      <c r="B807" s="643"/>
      <c r="C807" s="513"/>
      <c r="D807" s="514"/>
      <c r="E807" s="664" t="s">
        <v>29</v>
      </c>
      <c r="F807" s="665"/>
      <c r="G807" s="665"/>
      <c r="H807" s="665"/>
      <c r="I807" s="665"/>
      <c r="J807" s="665"/>
      <c r="K807" s="665"/>
      <c r="L807" s="665"/>
      <c r="M807" s="666"/>
      <c r="N807" s="655"/>
      <c r="O807" s="656"/>
      <c r="P807" s="657"/>
      <c r="Q807" s="667"/>
      <c r="R807" s="689"/>
      <c r="S807" s="689"/>
      <c r="T807" s="689"/>
      <c r="U807" s="690"/>
      <c r="V807" s="42"/>
      <c r="W807" s="41"/>
      <c r="X807" s="41"/>
      <c r="Y807" s="41"/>
      <c r="Z807" s="29"/>
      <c r="AA807" s="29"/>
      <c r="AB807" s="29"/>
      <c r="AC807" s="29"/>
      <c r="AD807" s="29"/>
    </row>
    <row r="808" spans="1:30" s="488" customFormat="1" ht="41.25" hidden="1" customHeight="1">
      <c r="A808" s="492"/>
      <c r="B808" s="643"/>
      <c r="C808" s="513">
        <v>55</v>
      </c>
      <c r="D808" s="514"/>
      <c r="E808" s="670" t="s">
        <v>30</v>
      </c>
      <c r="F808" s="670"/>
      <c r="G808" s="670"/>
      <c r="H808" s="670"/>
      <c r="I808" s="670"/>
      <c r="J808" s="670"/>
      <c r="K808" s="670"/>
      <c r="L808" s="498">
        <v>42.13</v>
      </c>
      <c r="M808" s="459">
        <f>L808</f>
        <v>42.13</v>
      </c>
      <c r="N808" s="655"/>
      <c r="O808" s="656"/>
      <c r="P808" s="657"/>
      <c r="Q808" s="671"/>
      <c r="R808" s="672"/>
      <c r="S808" s="673"/>
      <c r="T808" s="457">
        <f>H805*M808*N805*O805*P805</f>
        <v>0</v>
      </c>
      <c r="U808" s="458">
        <f>T808</f>
        <v>0</v>
      </c>
      <c r="V808" s="42"/>
      <c r="W808" s="39"/>
      <c r="X808" s="41"/>
      <c r="Y808" s="41"/>
      <c r="Z808" s="43">
        <f>T808</f>
        <v>0</v>
      </c>
      <c r="AA808" s="29"/>
      <c r="AB808" s="29"/>
      <c r="AC808" s="29"/>
      <c r="AD808" s="29"/>
    </row>
    <row r="809" spans="1:30" s="488" customFormat="1" ht="41.25" hidden="1" customHeight="1">
      <c r="A809" s="492"/>
      <c r="B809" s="643"/>
      <c r="C809" s="513"/>
      <c r="D809" s="514"/>
      <c r="E809" s="670" t="s">
        <v>31</v>
      </c>
      <c r="F809" s="670"/>
      <c r="G809" s="670"/>
      <c r="H809" s="670"/>
      <c r="I809" s="670"/>
      <c r="J809" s="670"/>
      <c r="K809" s="670"/>
      <c r="L809" s="498">
        <f>ROUND((I805+J805+K805)*2.14%,2)</f>
        <v>4.79</v>
      </c>
      <c r="M809" s="459">
        <f>L809</f>
        <v>4.79</v>
      </c>
      <c r="N809" s="655"/>
      <c r="O809" s="656"/>
      <c r="P809" s="657"/>
      <c r="Q809" s="671"/>
      <c r="R809" s="672"/>
      <c r="S809" s="673"/>
      <c r="T809" s="457">
        <f>H805*M809*N805*O805*P805</f>
        <v>0</v>
      </c>
      <c r="U809" s="458">
        <f>T809</f>
        <v>0</v>
      </c>
      <c r="V809" s="42"/>
      <c r="W809" s="41"/>
      <c r="X809" s="39"/>
      <c r="Y809" s="41"/>
      <c r="Z809" s="29"/>
      <c r="AA809" s="43">
        <f>T809</f>
        <v>0</v>
      </c>
      <c r="AB809" s="29"/>
      <c r="AC809" s="29"/>
      <c r="AD809" s="29"/>
    </row>
    <row r="810" spans="1:30" s="488" customFormat="1" ht="41.25" hidden="1" customHeight="1">
      <c r="A810" s="492"/>
      <c r="B810" s="643"/>
      <c r="C810" s="515"/>
      <c r="D810" s="514"/>
      <c r="E810" s="670" t="s">
        <v>376</v>
      </c>
      <c r="F810" s="670"/>
      <c r="G810" s="670"/>
      <c r="H810" s="670"/>
      <c r="I810" s="670"/>
      <c r="J810" s="670"/>
      <c r="K810" s="670"/>
      <c r="L810" s="498">
        <f>ROUND((I805+J805+K805+L808+L809+L813)*3%,2)</f>
        <v>8.44</v>
      </c>
      <c r="M810" s="459">
        <f>L810</f>
        <v>8.44</v>
      </c>
      <c r="N810" s="655"/>
      <c r="O810" s="656"/>
      <c r="P810" s="657"/>
      <c r="Q810" s="671"/>
      <c r="R810" s="672"/>
      <c r="S810" s="673"/>
      <c r="T810" s="457">
        <f>H805*M810*N805*O805*P805</f>
        <v>0</v>
      </c>
      <c r="U810" s="458">
        <f>T810</f>
        <v>0</v>
      </c>
      <c r="V810" s="42"/>
      <c r="W810" s="41"/>
      <c r="X810" s="41"/>
      <c r="Y810" s="39"/>
      <c r="Z810" s="29"/>
      <c r="AA810" s="29"/>
      <c r="AB810" s="43">
        <f>T810</f>
        <v>0</v>
      </c>
      <c r="AC810" s="29"/>
      <c r="AD810" s="29"/>
    </row>
    <row r="811" spans="1:30" s="488" customFormat="1" ht="54.75" hidden="1" customHeight="1">
      <c r="A811" s="492"/>
      <c r="B811" s="643"/>
      <c r="C811" s="515"/>
      <c r="D811" s="514"/>
      <c r="E811" s="670" t="s">
        <v>377</v>
      </c>
      <c r="F811" s="670"/>
      <c r="G811" s="670"/>
      <c r="H811" s="670"/>
      <c r="I811" s="670"/>
      <c r="J811" s="670"/>
      <c r="K811" s="670"/>
      <c r="L811" s="498">
        <f>70.16-K805-L808-L809-L813</f>
        <v>0</v>
      </c>
      <c r="M811" s="459">
        <f>L811</f>
        <v>0</v>
      </c>
      <c r="N811" s="655"/>
      <c r="O811" s="656"/>
      <c r="P811" s="657"/>
      <c r="Q811" s="671"/>
      <c r="R811" s="672"/>
      <c r="S811" s="673"/>
      <c r="T811" s="457">
        <f>H805*M811*N805*O805*P805</f>
        <v>0</v>
      </c>
      <c r="U811" s="458">
        <f>T811</f>
        <v>0</v>
      </c>
      <c r="V811" s="42"/>
      <c r="W811" s="41"/>
      <c r="X811" s="41"/>
      <c r="Y811" s="41"/>
      <c r="Z811" s="44"/>
      <c r="AA811" s="29"/>
      <c r="AB811" s="29"/>
      <c r="AC811" s="44">
        <f>T811</f>
        <v>0</v>
      </c>
      <c r="AD811" s="29"/>
    </row>
    <row r="812" spans="1:30" s="488" customFormat="1" ht="45" hidden="1" customHeight="1">
      <c r="A812" s="492"/>
      <c r="B812" s="643"/>
      <c r="C812" s="515"/>
      <c r="D812" s="514"/>
      <c r="E812" s="674"/>
      <c r="F812" s="675"/>
      <c r="G812" s="675"/>
      <c r="H812" s="675"/>
      <c r="I812" s="675"/>
      <c r="J812" s="675"/>
      <c r="K812" s="675"/>
      <c r="L812" s="675"/>
      <c r="M812" s="676"/>
      <c r="N812" s="655"/>
      <c r="O812" s="656"/>
      <c r="P812" s="657"/>
      <c r="Q812" s="677"/>
      <c r="R812" s="678"/>
      <c r="S812" s="678"/>
      <c r="T812" s="678"/>
      <c r="U812" s="679"/>
      <c r="V812" s="45"/>
      <c r="W812" s="41"/>
      <c r="X812" s="41"/>
      <c r="Y812" s="41"/>
      <c r="Z812" s="29"/>
      <c r="AA812" s="44"/>
      <c r="AB812" s="29"/>
      <c r="AC812" s="29"/>
      <c r="AD812" s="29"/>
    </row>
    <row r="813" spans="1:30" s="488" customFormat="1" ht="45" hidden="1" customHeight="1" thickBot="1">
      <c r="A813" s="492"/>
      <c r="B813" s="644"/>
      <c r="C813" s="516"/>
      <c r="D813" s="517"/>
      <c r="E813" s="680" t="s">
        <v>369</v>
      </c>
      <c r="F813" s="680" t="s">
        <v>306</v>
      </c>
      <c r="G813" s="680"/>
      <c r="H813" s="680"/>
      <c r="I813" s="680"/>
      <c r="J813" s="680"/>
      <c r="K813" s="680"/>
      <c r="L813" s="499">
        <f>ROUND((I805+J805+K805+L808)*3.93%,2)</f>
        <v>10.46</v>
      </c>
      <c r="M813" s="46">
        <f>L813</f>
        <v>10.46</v>
      </c>
      <c r="N813" s="658"/>
      <c r="O813" s="659"/>
      <c r="P813" s="660"/>
      <c r="Q813" s="681"/>
      <c r="R813" s="682"/>
      <c r="S813" s="683"/>
      <c r="T813" s="500">
        <f>H805*M813*N805*O805*P805</f>
        <v>0</v>
      </c>
      <c r="U813" s="47">
        <f>T813</f>
        <v>0</v>
      </c>
      <c r="V813" s="48"/>
      <c r="W813" s="41"/>
      <c r="X813" s="41"/>
      <c r="Y813" s="41"/>
      <c r="Z813" s="29"/>
      <c r="AA813" s="29"/>
      <c r="AB813" s="44"/>
      <c r="AC813" s="29"/>
      <c r="AD813" s="44">
        <f>T813</f>
        <v>0</v>
      </c>
    </row>
    <row r="814" spans="1:30" s="488" customFormat="1" ht="150" hidden="1" customHeight="1" thickBot="1">
      <c r="A814" s="492"/>
      <c r="B814" s="642">
        <v>1</v>
      </c>
      <c r="C814" s="511">
        <v>5</v>
      </c>
      <c r="D814" s="512"/>
      <c r="E814" s="493" t="s">
        <v>527</v>
      </c>
      <c r="F814" s="487" t="s">
        <v>528</v>
      </c>
      <c r="G814" s="645" t="s">
        <v>388</v>
      </c>
      <c r="H814" s="688">
        <v>0</v>
      </c>
      <c r="I814" s="494">
        <v>201.8</v>
      </c>
      <c r="J814" s="494">
        <v>46.26</v>
      </c>
      <c r="K814" s="494">
        <v>12.78</v>
      </c>
      <c r="L814" s="494">
        <f>SUM(L816:L822)</f>
        <v>69.3</v>
      </c>
      <c r="M814" s="33">
        <f>SUM(I814:L814)</f>
        <v>330.14</v>
      </c>
      <c r="N814" s="501">
        <v>1</v>
      </c>
      <c r="O814" s="502">
        <v>1</v>
      </c>
      <c r="P814" s="37">
        <v>1</v>
      </c>
      <c r="Q814" s="34">
        <f>H814*I814*N814*O814*P814</f>
        <v>0</v>
      </c>
      <c r="R814" s="35">
        <f>H814*J814*N814*O814*P814</f>
        <v>0</v>
      </c>
      <c r="S814" s="36">
        <f>H814*K814*N814*O814*P814</f>
        <v>0</v>
      </c>
      <c r="T814" s="36">
        <f>H814*L814*N814*O814*P814</f>
        <v>0</v>
      </c>
      <c r="U814" s="37">
        <f>SUM(Q814:T814)</f>
        <v>0</v>
      </c>
      <c r="V814" s="38">
        <f>(Q814+R814+S814+T818+T819+T820+T822)*'Прогнозная стоимость РСС ИП '!$M$11+T817*'Прогнозная стоимость РСС ИП '!$M$10</f>
        <v>0</v>
      </c>
      <c r="W814" s="39">
        <f>T814</f>
        <v>0</v>
      </c>
      <c r="X814" s="39">
        <f>U814</f>
        <v>0</v>
      </c>
      <c r="Y814" s="39">
        <f>V814</f>
        <v>0</v>
      </c>
      <c r="Z814" s="29"/>
      <c r="AA814" s="29"/>
      <c r="AB814" s="29"/>
      <c r="AC814" s="29"/>
      <c r="AD814" s="29"/>
    </row>
    <row r="815" spans="1:30" s="488" customFormat="1" ht="41.25" hidden="1" customHeight="1">
      <c r="A815" s="492"/>
      <c r="B815" s="643"/>
      <c r="C815" s="513"/>
      <c r="D815" s="514"/>
      <c r="E815" s="495"/>
      <c r="F815" s="496"/>
      <c r="G815" s="646"/>
      <c r="H815" s="688"/>
      <c r="I815" s="649"/>
      <c r="J815" s="650"/>
      <c r="K815" s="650"/>
      <c r="L815" s="650"/>
      <c r="M815" s="651"/>
      <c r="N815" s="652"/>
      <c r="O815" s="653"/>
      <c r="P815" s="654"/>
      <c r="Q815" s="661"/>
      <c r="R815" s="662"/>
      <c r="S815" s="662"/>
      <c r="T815" s="662"/>
      <c r="U815" s="663"/>
      <c r="V815" s="40"/>
      <c r="W815" s="41"/>
      <c r="X815" s="41"/>
      <c r="Y815" s="41"/>
      <c r="Z815" s="29"/>
      <c r="AA815" s="29"/>
      <c r="AB815" s="29"/>
      <c r="AC815" s="29"/>
      <c r="AD815" s="29"/>
    </row>
    <row r="816" spans="1:30" s="488" customFormat="1" ht="41.25" hidden="1" customHeight="1">
      <c r="A816" s="492"/>
      <c r="B816" s="643"/>
      <c r="C816" s="513"/>
      <c r="D816" s="514"/>
      <c r="E816" s="664" t="s">
        <v>29</v>
      </c>
      <c r="F816" s="665"/>
      <c r="G816" s="665"/>
      <c r="H816" s="665"/>
      <c r="I816" s="665"/>
      <c r="J816" s="665"/>
      <c r="K816" s="665"/>
      <c r="L816" s="665"/>
      <c r="M816" s="666"/>
      <c r="N816" s="655"/>
      <c r="O816" s="656"/>
      <c r="P816" s="657"/>
      <c r="Q816" s="667"/>
      <c r="R816" s="689"/>
      <c r="S816" s="689"/>
      <c r="T816" s="689"/>
      <c r="U816" s="690"/>
      <c r="V816" s="42"/>
      <c r="W816" s="41"/>
      <c r="X816" s="41"/>
      <c r="Y816" s="41"/>
      <c r="Z816" s="29"/>
      <c r="AA816" s="29"/>
      <c r="AB816" s="29"/>
      <c r="AC816" s="29"/>
      <c r="AD816" s="29"/>
    </row>
    <row r="817" spans="1:30" s="488" customFormat="1" ht="41.25" hidden="1" customHeight="1">
      <c r="A817" s="492"/>
      <c r="B817" s="643"/>
      <c r="C817" s="513">
        <v>55</v>
      </c>
      <c r="D817" s="514"/>
      <c r="E817" s="670" t="s">
        <v>30</v>
      </c>
      <c r="F817" s="670"/>
      <c r="G817" s="670"/>
      <c r="H817" s="670"/>
      <c r="I817" s="670"/>
      <c r="J817" s="670"/>
      <c r="K817" s="670"/>
      <c r="L817" s="498">
        <v>42.2</v>
      </c>
      <c r="M817" s="459">
        <f>L817</f>
        <v>42.2</v>
      </c>
      <c r="N817" s="655"/>
      <c r="O817" s="656"/>
      <c r="P817" s="657"/>
      <c r="Q817" s="671"/>
      <c r="R817" s="672"/>
      <c r="S817" s="673"/>
      <c r="T817" s="457">
        <f>H814*M817*N814*O814*P814</f>
        <v>0</v>
      </c>
      <c r="U817" s="458">
        <f>T817</f>
        <v>0</v>
      </c>
      <c r="V817" s="42"/>
      <c r="W817" s="39"/>
      <c r="X817" s="41"/>
      <c r="Y817" s="41"/>
      <c r="Z817" s="43">
        <f>T817</f>
        <v>0</v>
      </c>
      <c r="AA817" s="29"/>
      <c r="AB817" s="29"/>
      <c r="AC817" s="29"/>
      <c r="AD817" s="29"/>
    </row>
    <row r="818" spans="1:30" s="488" customFormat="1" ht="41.25" hidden="1" customHeight="1">
      <c r="A818" s="492"/>
      <c r="B818" s="643"/>
      <c r="C818" s="513"/>
      <c r="D818" s="514"/>
      <c r="E818" s="670" t="s">
        <v>31</v>
      </c>
      <c r="F818" s="670"/>
      <c r="G818" s="670"/>
      <c r="H818" s="670"/>
      <c r="I818" s="670"/>
      <c r="J818" s="670"/>
      <c r="K818" s="670"/>
      <c r="L818" s="498">
        <f>ROUND((I814+J814+K814)*2.14%,2)</f>
        <v>5.58</v>
      </c>
      <c r="M818" s="459">
        <f>L818</f>
        <v>5.58</v>
      </c>
      <c r="N818" s="655"/>
      <c r="O818" s="656"/>
      <c r="P818" s="657"/>
      <c r="Q818" s="671"/>
      <c r="R818" s="672"/>
      <c r="S818" s="673"/>
      <c r="T818" s="457">
        <f>H814*M818*N814*O814*P814</f>
        <v>0</v>
      </c>
      <c r="U818" s="458">
        <f>T818</f>
        <v>0</v>
      </c>
      <c r="V818" s="42"/>
      <c r="W818" s="41"/>
      <c r="X818" s="39"/>
      <c r="Y818" s="41"/>
      <c r="Z818" s="29"/>
      <c r="AA818" s="43">
        <f>T818</f>
        <v>0</v>
      </c>
      <c r="AB818" s="29"/>
      <c r="AC818" s="29"/>
      <c r="AD818" s="29"/>
    </row>
    <row r="819" spans="1:30" s="488" customFormat="1" ht="41.25" hidden="1" customHeight="1">
      <c r="A819" s="492"/>
      <c r="B819" s="643"/>
      <c r="C819" s="515"/>
      <c r="D819" s="514"/>
      <c r="E819" s="670" t="s">
        <v>376</v>
      </c>
      <c r="F819" s="670"/>
      <c r="G819" s="670"/>
      <c r="H819" s="670"/>
      <c r="I819" s="670"/>
      <c r="J819" s="670"/>
      <c r="K819" s="670"/>
      <c r="L819" s="498">
        <f>ROUND((I814+J814+K814+L817+L818+L822)*3%,2)-0.01</f>
        <v>9.61</v>
      </c>
      <c r="M819" s="459">
        <f>L819</f>
        <v>9.61</v>
      </c>
      <c r="N819" s="655"/>
      <c r="O819" s="656"/>
      <c r="P819" s="657"/>
      <c r="Q819" s="671"/>
      <c r="R819" s="672"/>
      <c r="S819" s="673"/>
      <c r="T819" s="457">
        <f>H814*M819*N814*O814*P814</f>
        <v>0</v>
      </c>
      <c r="U819" s="458">
        <f>T819</f>
        <v>0</v>
      </c>
      <c r="V819" s="42"/>
      <c r="W819" s="41"/>
      <c r="X819" s="41"/>
      <c r="Y819" s="39"/>
      <c r="Z819" s="29"/>
      <c r="AA819" s="29"/>
      <c r="AB819" s="43">
        <f>T819</f>
        <v>0</v>
      </c>
      <c r="AC819" s="29"/>
      <c r="AD819" s="29"/>
    </row>
    <row r="820" spans="1:30" s="488" customFormat="1" ht="54.75" hidden="1" customHeight="1">
      <c r="A820" s="492"/>
      <c r="B820" s="643"/>
      <c r="C820" s="515"/>
      <c r="D820" s="514"/>
      <c r="E820" s="670" t="s">
        <v>377</v>
      </c>
      <c r="F820" s="670"/>
      <c r="G820" s="670"/>
      <c r="H820" s="670"/>
      <c r="I820" s="670"/>
      <c r="J820" s="670"/>
      <c r="K820" s="670"/>
      <c r="L820" s="498">
        <f>72.47-K814-L817-L818-L822</f>
        <v>0</v>
      </c>
      <c r="M820" s="459">
        <f>L820</f>
        <v>0</v>
      </c>
      <c r="N820" s="655"/>
      <c r="O820" s="656"/>
      <c r="P820" s="657"/>
      <c r="Q820" s="671"/>
      <c r="R820" s="672"/>
      <c r="S820" s="673"/>
      <c r="T820" s="457">
        <f>H814*M820*N814*O814*P814</f>
        <v>0</v>
      </c>
      <c r="U820" s="458">
        <f>T820</f>
        <v>0</v>
      </c>
      <c r="V820" s="42"/>
      <c r="W820" s="41"/>
      <c r="X820" s="41"/>
      <c r="Y820" s="41"/>
      <c r="Z820" s="44"/>
      <c r="AA820" s="29"/>
      <c r="AB820" s="29"/>
      <c r="AC820" s="44">
        <f>T820</f>
        <v>0</v>
      </c>
      <c r="AD820" s="29"/>
    </row>
    <row r="821" spans="1:30" s="488" customFormat="1" ht="45" hidden="1" customHeight="1">
      <c r="A821" s="492"/>
      <c r="B821" s="643"/>
      <c r="C821" s="515"/>
      <c r="D821" s="514"/>
      <c r="E821" s="674"/>
      <c r="F821" s="675"/>
      <c r="G821" s="675"/>
      <c r="H821" s="675"/>
      <c r="I821" s="675"/>
      <c r="J821" s="675"/>
      <c r="K821" s="675"/>
      <c r="L821" s="675"/>
      <c r="M821" s="676"/>
      <c r="N821" s="655"/>
      <c r="O821" s="656"/>
      <c r="P821" s="657"/>
      <c r="Q821" s="677"/>
      <c r="R821" s="678"/>
      <c r="S821" s="678"/>
      <c r="T821" s="678"/>
      <c r="U821" s="679"/>
      <c r="V821" s="45"/>
      <c r="W821" s="41"/>
      <c r="X821" s="41"/>
      <c r="Y821" s="41"/>
      <c r="Z821" s="29"/>
      <c r="AA821" s="44"/>
      <c r="AB821" s="29"/>
      <c r="AC821" s="29"/>
      <c r="AD821" s="29"/>
    </row>
    <row r="822" spans="1:30" s="488" customFormat="1" ht="45" hidden="1" customHeight="1" thickBot="1">
      <c r="A822" s="492"/>
      <c r="B822" s="644"/>
      <c r="C822" s="516"/>
      <c r="D822" s="517"/>
      <c r="E822" s="680" t="s">
        <v>369</v>
      </c>
      <c r="F822" s="680" t="s">
        <v>306</v>
      </c>
      <c r="G822" s="680"/>
      <c r="H822" s="680"/>
      <c r="I822" s="680"/>
      <c r="J822" s="680"/>
      <c r="K822" s="680"/>
      <c r="L822" s="499">
        <f>ROUND((I814+J814+K814+L817)*3.93%,2)</f>
        <v>11.91</v>
      </c>
      <c r="M822" s="46">
        <f>L822</f>
        <v>11.91</v>
      </c>
      <c r="N822" s="658"/>
      <c r="O822" s="659"/>
      <c r="P822" s="660"/>
      <c r="Q822" s="681"/>
      <c r="R822" s="682"/>
      <c r="S822" s="683"/>
      <c r="T822" s="500">
        <f>H814*M822*N814*O814*P814</f>
        <v>0</v>
      </c>
      <c r="U822" s="47">
        <f>T822</f>
        <v>0</v>
      </c>
      <c r="V822" s="48"/>
      <c r="W822" s="41"/>
      <c r="X822" s="41"/>
      <c r="Y822" s="41"/>
      <c r="Z822" s="29"/>
      <c r="AA822" s="29"/>
      <c r="AB822" s="44"/>
      <c r="AC822" s="29"/>
      <c r="AD822" s="44">
        <f>T822</f>
        <v>0</v>
      </c>
    </row>
    <row r="823" spans="1:30" s="488" customFormat="1" ht="150" hidden="1" customHeight="1" thickBot="1">
      <c r="A823" s="492"/>
      <c r="B823" s="642">
        <v>1</v>
      </c>
      <c r="C823" s="511">
        <v>5</v>
      </c>
      <c r="D823" s="512"/>
      <c r="E823" s="493" t="s">
        <v>529</v>
      </c>
      <c r="F823" s="487" t="s">
        <v>530</v>
      </c>
      <c r="G823" s="645" t="s">
        <v>388</v>
      </c>
      <c r="H823" s="688">
        <v>0</v>
      </c>
      <c r="I823" s="494">
        <v>253.9</v>
      </c>
      <c r="J823" s="494">
        <v>46.26</v>
      </c>
      <c r="K823" s="494">
        <v>12.78</v>
      </c>
      <c r="L823" s="494">
        <f>SUM(L825:L831)</f>
        <v>74.25</v>
      </c>
      <c r="M823" s="33">
        <f>SUM(I823:L823)</f>
        <v>387.19</v>
      </c>
      <c r="N823" s="501">
        <v>1</v>
      </c>
      <c r="O823" s="502">
        <v>1</v>
      </c>
      <c r="P823" s="37">
        <v>1</v>
      </c>
      <c r="Q823" s="34">
        <f>H823*I823*N823*O823*P823</f>
        <v>0</v>
      </c>
      <c r="R823" s="35">
        <f>H823*J823*N823*O823*P823</f>
        <v>0</v>
      </c>
      <c r="S823" s="36">
        <f>H823*K823*N823*O823*P823</f>
        <v>0</v>
      </c>
      <c r="T823" s="36">
        <f>H823*L823*N823*O823*P823</f>
        <v>0</v>
      </c>
      <c r="U823" s="37">
        <f>SUM(Q823:T823)</f>
        <v>0</v>
      </c>
      <c r="V823" s="38">
        <f>(Q823+R823+S823+T827+T828+T829+T831)*'Прогнозная стоимость РСС ИП '!$M$11+T826*'Прогнозная стоимость РСС ИП '!$M$10</f>
        <v>0</v>
      </c>
      <c r="W823" s="39">
        <f>T823</f>
        <v>0</v>
      </c>
      <c r="X823" s="39">
        <f>U823</f>
        <v>0</v>
      </c>
      <c r="Y823" s="39">
        <f>V823</f>
        <v>0</v>
      </c>
      <c r="Z823" s="29"/>
      <c r="AA823" s="29"/>
      <c r="AB823" s="29"/>
      <c r="AC823" s="29"/>
      <c r="AD823" s="29"/>
    </row>
    <row r="824" spans="1:30" s="488" customFormat="1" ht="41.25" hidden="1" customHeight="1">
      <c r="A824" s="492"/>
      <c r="B824" s="643"/>
      <c r="C824" s="513"/>
      <c r="D824" s="514"/>
      <c r="E824" s="495"/>
      <c r="F824" s="496"/>
      <c r="G824" s="646"/>
      <c r="H824" s="688"/>
      <c r="I824" s="649"/>
      <c r="J824" s="650"/>
      <c r="K824" s="650"/>
      <c r="L824" s="650"/>
      <c r="M824" s="651"/>
      <c r="N824" s="652"/>
      <c r="O824" s="653"/>
      <c r="P824" s="654"/>
      <c r="Q824" s="661"/>
      <c r="R824" s="662"/>
      <c r="S824" s="662"/>
      <c r="T824" s="662"/>
      <c r="U824" s="663"/>
      <c r="V824" s="40"/>
      <c r="W824" s="41"/>
      <c r="X824" s="41"/>
      <c r="Y824" s="41"/>
      <c r="Z824" s="29"/>
      <c r="AA824" s="29"/>
      <c r="AB824" s="29"/>
      <c r="AC824" s="29"/>
      <c r="AD824" s="29"/>
    </row>
    <row r="825" spans="1:30" s="488" customFormat="1" ht="41.25" hidden="1" customHeight="1">
      <c r="A825" s="492"/>
      <c r="B825" s="643"/>
      <c r="C825" s="513"/>
      <c r="D825" s="514"/>
      <c r="E825" s="664" t="s">
        <v>29</v>
      </c>
      <c r="F825" s="665"/>
      <c r="G825" s="665"/>
      <c r="H825" s="665"/>
      <c r="I825" s="665"/>
      <c r="J825" s="665"/>
      <c r="K825" s="665"/>
      <c r="L825" s="665"/>
      <c r="M825" s="666"/>
      <c r="N825" s="655"/>
      <c r="O825" s="656"/>
      <c r="P825" s="657"/>
      <c r="Q825" s="667"/>
      <c r="R825" s="689"/>
      <c r="S825" s="689"/>
      <c r="T825" s="689"/>
      <c r="U825" s="690"/>
      <c r="V825" s="42"/>
      <c r="W825" s="41"/>
      <c r="X825" s="41"/>
      <c r="Y825" s="41"/>
      <c r="Z825" s="29"/>
      <c r="AA825" s="29"/>
      <c r="AB825" s="29"/>
      <c r="AC825" s="29"/>
      <c r="AD825" s="29"/>
    </row>
    <row r="826" spans="1:30" s="488" customFormat="1" ht="41.25" hidden="1" customHeight="1">
      <c r="A826" s="492"/>
      <c r="B826" s="643"/>
      <c r="C826" s="513">
        <v>55</v>
      </c>
      <c r="D826" s="514"/>
      <c r="E826" s="670" t="s">
        <v>30</v>
      </c>
      <c r="F826" s="670"/>
      <c r="G826" s="670"/>
      <c r="H826" s="670"/>
      <c r="I826" s="670"/>
      <c r="J826" s="670"/>
      <c r="K826" s="670"/>
      <c r="L826" s="498">
        <v>42.31</v>
      </c>
      <c r="M826" s="459">
        <f>L826</f>
        <v>42.31</v>
      </c>
      <c r="N826" s="655"/>
      <c r="O826" s="656"/>
      <c r="P826" s="657"/>
      <c r="Q826" s="671"/>
      <c r="R826" s="672"/>
      <c r="S826" s="673"/>
      <c r="T826" s="457">
        <f>H823*M826*N823*O823*P823</f>
        <v>0</v>
      </c>
      <c r="U826" s="458">
        <f>T826</f>
        <v>0</v>
      </c>
      <c r="V826" s="42"/>
      <c r="W826" s="39"/>
      <c r="X826" s="41"/>
      <c r="Y826" s="41"/>
      <c r="Z826" s="43">
        <f>T826</f>
        <v>0</v>
      </c>
      <c r="AA826" s="29"/>
      <c r="AB826" s="29"/>
      <c r="AC826" s="29"/>
      <c r="AD826" s="29"/>
    </row>
    <row r="827" spans="1:30" s="488" customFormat="1" ht="41.25" hidden="1" customHeight="1">
      <c r="A827" s="492"/>
      <c r="B827" s="643"/>
      <c r="C827" s="513"/>
      <c r="D827" s="514"/>
      <c r="E827" s="670" t="s">
        <v>31</v>
      </c>
      <c r="F827" s="670"/>
      <c r="G827" s="670"/>
      <c r="H827" s="670"/>
      <c r="I827" s="670"/>
      <c r="J827" s="670"/>
      <c r="K827" s="670"/>
      <c r="L827" s="498">
        <f>ROUND((I823+J823+K823)*2.14%,2)</f>
        <v>6.7</v>
      </c>
      <c r="M827" s="459">
        <f>L827</f>
        <v>6.7</v>
      </c>
      <c r="N827" s="655"/>
      <c r="O827" s="656"/>
      <c r="P827" s="657"/>
      <c r="Q827" s="671"/>
      <c r="R827" s="672"/>
      <c r="S827" s="673"/>
      <c r="T827" s="457">
        <f>H823*M827*N823*O823*P823</f>
        <v>0</v>
      </c>
      <c r="U827" s="458">
        <f>T827</f>
        <v>0</v>
      </c>
      <c r="V827" s="42"/>
      <c r="W827" s="41"/>
      <c r="X827" s="39"/>
      <c r="Y827" s="41"/>
      <c r="Z827" s="29"/>
      <c r="AA827" s="43">
        <f>T827</f>
        <v>0</v>
      </c>
      <c r="AB827" s="29"/>
      <c r="AC827" s="29"/>
      <c r="AD827" s="29"/>
    </row>
    <row r="828" spans="1:30" s="488" customFormat="1" ht="41.25" hidden="1" customHeight="1">
      <c r="A828" s="492"/>
      <c r="B828" s="643"/>
      <c r="C828" s="515"/>
      <c r="D828" s="514"/>
      <c r="E828" s="670" t="s">
        <v>376</v>
      </c>
      <c r="F828" s="670"/>
      <c r="G828" s="670"/>
      <c r="H828" s="670"/>
      <c r="I828" s="670"/>
      <c r="J828" s="670"/>
      <c r="K828" s="670"/>
      <c r="L828" s="498">
        <f>ROUND((I823+J823+K823+L826+L827+L831)*3%,2)</f>
        <v>11.28</v>
      </c>
      <c r="M828" s="459">
        <f>L828</f>
        <v>11.28</v>
      </c>
      <c r="N828" s="655"/>
      <c r="O828" s="656"/>
      <c r="P828" s="657"/>
      <c r="Q828" s="671"/>
      <c r="R828" s="672"/>
      <c r="S828" s="673"/>
      <c r="T828" s="457">
        <f>H823*M828*N823*O823*P823</f>
        <v>0</v>
      </c>
      <c r="U828" s="458">
        <f>T828</f>
        <v>0</v>
      </c>
      <c r="V828" s="42"/>
      <c r="W828" s="41"/>
      <c r="X828" s="41"/>
      <c r="Y828" s="39"/>
      <c r="Z828" s="29"/>
      <c r="AA828" s="29"/>
      <c r="AB828" s="43">
        <f>T828</f>
        <v>0</v>
      </c>
      <c r="AC828" s="29"/>
      <c r="AD828" s="29"/>
    </row>
    <row r="829" spans="1:30" s="488" customFormat="1" ht="54.75" hidden="1" customHeight="1">
      <c r="A829" s="492"/>
      <c r="B829" s="643"/>
      <c r="C829" s="515"/>
      <c r="D829" s="514"/>
      <c r="E829" s="670" t="s">
        <v>377</v>
      </c>
      <c r="F829" s="670"/>
      <c r="G829" s="670"/>
      <c r="H829" s="670"/>
      <c r="I829" s="670"/>
      <c r="J829" s="670"/>
      <c r="K829" s="670"/>
      <c r="L829" s="498">
        <f>75.75-K823-L826-L827-L831</f>
        <v>0</v>
      </c>
      <c r="M829" s="459">
        <f>L829</f>
        <v>0</v>
      </c>
      <c r="N829" s="655"/>
      <c r="O829" s="656"/>
      <c r="P829" s="657"/>
      <c r="Q829" s="671"/>
      <c r="R829" s="672"/>
      <c r="S829" s="673"/>
      <c r="T829" s="457">
        <f>H823*M829*N823*O823*P823</f>
        <v>0</v>
      </c>
      <c r="U829" s="458">
        <f>T829</f>
        <v>0</v>
      </c>
      <c r="V829" s="42"/>
      <c r="W829" s="41"/>
      <c r="X829" s="41"/>
      <c r="Y829" s="41"/>
      <c r="Z829" s="44"/>
      <c r="AA829" s="29"/>
      <c r="AB829" s="29"/>
      <c r="AC829" s="44">
        <f>T829</f>
        <v>0</v>
      </c>
      <c r="AD829" s="29"/>
    </row>
    <row r="830" spans="1:30" s="488" customFormat="1" ht="45" hidden="1" customHeight="1">
      <c r="A830" s="492"/>
      <c r="B830" s="643"/>
      <c r="C830" s="515"/>
      <c r="D830" s="514"/>
      <c r="E830" s="674"/>
      <c r="F830" s="675"/>
      <c r="G830" s="675"/>
      <c r="H830" s="675"/>
      <c r="I830" s="675"/>
      <c r="J830" s="675"/>
      <c r="K830" s="675"/>
      <c r="L830" s="675"/>
      <c r="M830" s="676"/>
      <c r="N830" s="655"/>
      <c r="O830" s="656"/>
      <c r="P830" s="657"/>
      <c r="Q830" s="677"/>
      <c r="R830" s="678"/>
      <c r="S830" s="678"/>
      <c r="T830" s="678"/>
      <c r="U830" s="679"/>
      <c r="V830" s="45"/>
      <c r="W830" s="41"/>
      <c r="X830" s="41"/>
      <c r="Y830" s="41"/>
      <c r="Z830" s="29"/>
      <c r="AA830" s="44"/>
      <c r="AB830" s="29"/>
      <c r="AC830" s="29"/>
      <c r="AD830" s="29"/>
    </row>
    <row r="831" spans="1:30" s="488" customFormat="1" ht="45" hidden="1" customHeight="1" thickBot="1">
      <c r="A831" s="492"/>
      <c r="B831" s="644"/>
      <c r="C831" s="516"/>
      <c r="D831" s="517"/>
      <c r="E831" s="680" t="s">
        <v>369</v>
      </c>
      <c r="F831" s="680" t="s">
        <v>306</v>
      </c>
      <c r="G831" s="680"/>
      <c r="H831" s="680"/>
      <c r="I831" s="680"/>
      <c r="J831" s="680"/>
      <c r="K831" s="680"/>
      <c r="L831" s="499">
        <f>ROUND((I823+J823+K823+L826)*3.93%,2)</f>
        <v>13.96</v>
      </c>
      <c r="M831" s="46">
        <f>L831</f>
        <v>13.96</v>
      </c>
      <c r="N831" s="658"/>
      <c r="O831" s="659"/>
      <c r="P831" s="660"/>
      <c r="Q831" s="681"/>
      <c r="R831" s="682"/>
      <c r="S831" s="683"/>
      <c r="T831" s="500">
        <f>H823*M831*N823*O823*P823</f>
        <v>0</v>
      </c>
      <c r="U831" s="47">
        <f>T831</f>
        <v>0</v>
      </c>
      <c r="V831" s="48"/>
      <c r="W831" s="41"/>
      <c r="X831" s="41"/>
      <c r="Y831" s="41"/>
      <c r="Z831" s="29"/>
      <c r="AA831" s="29"/>
      <c r="AB831" s="44"/>
      <c r="AC831" s="29"/>
      <c r="AD831" s="44">
        <f>T831</f>
        <v>0</v>
      </c>
    </row>
    <row r="832" spans="1:30" s="488" customFormat="1" ht="150" hidden="1" customHeight="1" thickBot="1">
      <c r="A832" s="492"/>
      <c r="B832" s="642">
        <v>1</v>
      </c>
      <c r="C832" s="511">
        <v>5</v>
      </c>
      <c r="D832" s="512"/>
      <c r="E832" s="493" t="s">
        <v>531</v>
      </c>
      <c r="F832" s="487" t="s">
        <v>532</v>
      </c>
      <c r="G832" s="645" t="s">
        <v>388</v>
      </c>
      <c r="H832" s="688">
        <v>0</v>
      </c>
      <c r="I832" s="494">
        <v>338.1</v>
      </c>
      <c r="J832" s="494">
        <v>46.26</v>
      </c>
      <c r="K832" s="494">
        <v>12.78</v>
      </c>
      <c r="L832" s="494">
        <f>SUM(L834:L840)</f>
        <v>101.33</v>
      </c>
      <c r="M832" s="33">
        <f>SUM(I832:L832)</f>
        <v>498.46999999999997</v>
      </c>
      <c r="N832" s="501">
        <v>1</v>
      </c>
      <c r="O832" s="502">
        <v>1</v>
      </c>
      <c r="P832" s="37">
        <v>1</v>
      </c>
      <c r="Q832" s="34">
        <f>H832*I832*N832*O832*P832</f>
        <v>0</v>
      </c>
      <c r="R832" s="35">
        <f>H832*J832*N832*O832*P832</f>
        <v>0</v>
      </c>
      <c r="S832" s="36">
        <f>H832*K832*N832*O832*P832</f>
        <v>0</v>
      </c>
      <c r="T832" s="36">
        <f>H832*L832*N832*O832*P832</f>
        <v>0</v>
      </c>
      <c r="U832" s="37">
        <f>SUM(Q832:T832)</f>
        <v>0</v>
      </c>
      <c r="V832" s="38">
        <f>(Q832+R832+S832+T836+T837+T838+T840)*'Прогнозная стоимость РСС ИП '!$M$11+T835*'Прогнозная стоимость РСС ИП '!$M$10</f>
        <v>0</v>
      </c>
      <c r="W832" s="39">
        <f>T832</f>
        <v>0</v>
      </c>
      <c r="X832" s="39">
        <f>U832</f>
        <v>0</v>
      </c>
      <c r="Y832" s="39">
        <f>V832</f>
        <v>0</v>
      </c>
      <c r="Z832" s="29"/>
      <c r="AA832" s="29"/>
      <c r="AB832" s="29"/>
      <c r="AC832" s="29"/>
      <c r="AD832" s="29"/>
    </row>
    <row r="833" spans="1:30" s="488" customFormat="1" ht="41.25" hidden="1" customHeight="1">
      <c r="A833" s="492"/>
      <c r="B833" s="643"/>
      <c r="C833" s="513"/>
      <c r="D833" s="514"/>
      <c r="E833" s="495"/>
      <c r="F833" s="496"/>
      <c r="G833" s="646"/>
      <c r="H833" s="688"/>
      <c r="I833" s="649"/>
      <c r="J833" s="650"/>
      <c r="K833" s="650"/>
      <c r="L833" s="650"/>
      <c r="M833" s="651"/>
      <c r="N833" s="652"/>
      <c r="O833" s="653"/>
      <c r="P833" s="654"/>
      <c r="Q833" s="661"/>
      <c r="R833" s="662"/>
      <c r="S833" s="662"/>
      <c r="T833" s="662"/>
      <c r="U833" s="663"/>
      <c r="V833" s="40"/>
      <c r="W833" s="41"/>
      <c r="X833" s="41"/>
      <c r="Y833" s="41"/>
      <c r="Z833" s="29"/>
      <c r="AA833" s="29"/>
      <c r="AB833" s="29"/>
      <c r="AC833" s="29"/>
      <c r="AD833" s="29"/>
    </row>
    <row r="834" spans="1:30" s="488" customFormat="1" ht="41.25" hidden="1" customHeight="1">
      <c r="A834" s="492"/>
      <c r="B834" s="643"/>
      <c r="C834" s="513"/>
      <c r="D834" s="514"/>
      <c r="E834" s="664" t="s">
        <v>29</v>
      </c>
      <c r="F834" s="665"/>
      <c r="G834" s="665"/>
      <c r="H834" s="665"/>
      <c r="I834" s="665"/>
      <c r="J834" s="665"/>
      <c r="K834" s="665"/>
      <c r="L834" s="665"/>
      <c r="M834" s="666"/>
      <c r="N834" s="655"/>
      <c r="O834" s="656"/>
      <c r="P834" s="657"/>
      <c r="Q834" s="667"/>
      <c r="R834" s="689"/>
      <c r="S834" s="689"/>
      <c r="T834" s="689"/>
      <c r="U834" s="690"/>
      <c r="V834" s="42"/>
      <c r="W834" s="41"/>
      <c r="X834" s="41"/>
      <c r="Y834" s="41"/>
      <c r="Z834" s="29"/>
      <c r="AA834" s="29"/>
      <c r="AB834" s="29"/>
      <c r="AC834" s="29"/>
      <c r="AD834" s="29"/>
    </row>
    <row r="835" spans="1:30" s="488" customFormat="1" ht="41.25" hidden="1" customHeight="1">
      <c r="A835" s="492"/>
      <c r="B835" s="643"/>
      <c r="C835" s="513">
        <v>55</v>
      </c>
      <c r="D835" s="514"/>
      <c r="E835" s="670" t="s">
        <v>30</v>
      </c>
      <c r="F835" s="670"/>
      <c r="G835" s="670"/>
      <c r="H835" s="670"/>
      <c r="I835" s="670"/>
      <c r="J835" s="670"/>
      <c r="K835" s="670"/>
      <c r="L835" s="498">
        <v>60.33</v>
      </c>
      <c r="M835" s="459">
        <f>L835</f>
        <v>60.33</v>
      </c>
      <c r="N835" s="655"/>
      <c r="O835" s="656"/>
      <c r="P835" s="657"/>
      <c r="Q835" s="671"/>
      <c r="R835" s="672"/>
      <c r="S835" s="673"/>
      <c r="T835" s="457">
        <f>H832*M835*N832*O832*P832</f>
        <v>0</v>
      </c>
      <c r="U835" s="458">
        <f>T835</f>
        <v>0</v>
      </c>
      <c r="V835" s="42"/>
      <c r="W835" s="39"/>
      <c r="X835" s="41"/>
      <c r="Y835" s="41"/>
      <c r="Z835" s="43">
        <f>T835</f>
        <v>0</v>
      </c>
      <c r="AA835" s="29"/>
      <c r="AB835" s="29"/>
      <c r="AC835" s="29"/>
      <c r="AD835" s="29"/>
    </row>
    <row r="836" spans="1:30" s="488" customFormat="1" ht="41.25" hidden="1" customHeight="1">
      <c r="A836" s="492"/>
      <c r="B836" s="643"/>
      <c r="C836" s="513"/>
      <c r="D836" s="514"/>
      <c r="E836" s="670" t="s">
        <v>31</v>
      </c>
      <c r="F836" s="670"/>
      <c r="G836" s="670"/>
      <c r="H836" s="670"/>
      <c r="I836" s="670"/>
      <c r="J836" s="670"/>
      <c r="K836" s="670"/>
      <c r="L836" s="498">
        <f>ROUND((I832+J832+K832)*2.14%,2)</f>
        <v>8.5</v>
      </c>
      <c r="M836" s="459">
        <f>L836</f>
        <v>8.5</v>
      </c>
      <c r="N836" s="655"/>
      <c r="O836" s="656"/>
      <c r="P836" s="657"/>
      <c r="Q836" s="671"/>
      <c r="R836" s="672"/>
      <c r="S836" s="673"/>
      <c r="T836" s="457">
        <f>H832*M836*N832*O832*P832</f>
        <v>0</v>
      </c>
      <c r="U836" s="458">
        <f>T836</f>
        <v>0</v>
      </c>
      <c r="V836" s="42"/>
      <c r="W836" s="41"/>
      <c r="X836" s="39"/>
      <c r="Y836" s="41"/>
      <c r="Z836" s="29"/>
      <c r="AA836" s="43">
        <f>T836</f>
        <v>0</v>
      </c>
      <c r="AB836" s="29"/>
      <c r="AC836" s="29"/>
      <c r="AD836" s="29"/>
    </row>
    <row r="837" spans="1:30" s="488" customFormat="1" ht="41.25" hidden="1" customHeight="1">
      <c r="A837" s="492"/>
      <c r="B837" s="643"/>
      <c r="C837" s="515"/>
      <c r="D837" s="514"/>
      <c r="E837" s="670" t="s">
        <v>376</v>
      </c>
      <c r="F837" s="670"/>
      <c r="G837" s="670"/>
      <c r="H837" s="670"/>
      <c r="I837" s="670"/>
      <c r="J837" s="670"/>
      <c r="K837" s="670"/>
      <c r="L837" s="498">
        <f>ROUND((I832+J832+K832+L835+L836+L840)*3%,2)</f>
        <v>14.52</v>
      </c>
      <c r="M837" s="459">
        <f>L837</f>
        <v>14.52</v>
      </c>
      <c r="N837" s="655"/>
      <c r="O837" s="656"/>
      <c r="P837" s="657"/>
      <c r="Q837" s="671"/>
      <c r="R837" s="672"/>
      <c r="S837" s="673"/>
      <c r="T837" s="457">
        <f>H832*M837*N832*O832*P832</f>
        <v>0</v>
      </c>
      <c r="U837" s="458">
        <f>T837</f>
        <v>0</v>
      </c>
      <c r="V837" s="42"/>
      <c r="W837" s="41"/>
      <c r="X837" s="41"/>
      <c r="Y837" s="39"/>
      <c r="Z837" s="29"/>
      <c r="AA837" s="29"/>
      <c r="AB837" s="43">
        <f>T837</f>
        <v>0</v>
      </c>
      <c r="AC837" s="29"/>
      <c r="AD837" s="29"/>
    </row>
    <row r="838" spans="1:30" s="488" customFormat="1" ht="54.75" hidden="1" customHeight="1">
      <c r="A838" s="492"/>
      <c r="B838" s="643"/>
      <c r="C838" s="515"/>
      <c r="D838" s="514"/>
      <c r="E838" s="670" t="s">
        <v>377</v>
      </c>
      <c r="F838" s="670"/>
      <c r="G838" s="670"/>
      <c r="H838" s="670"/>
      <c r="I838" s="670"/>
      <c r="J838" s="670"/>
      <c r="K838" s="670"/>
      <c r="L838" s="498">
        <f>99.59-K832-L835-L836-L840</f>
        <v>0</v>
      </c>
      <c r="M838" s="459">
        <f>L838</f>
        <v>0</v>
      </c>
      <c r="N838" s="655"/>
      <c r="O838" s="656"/>
      <c r="P838" s="657"/>
      <c r="Q838" s="671"/>
      <c r="R838" s="672"/>
      <c r="S838" s="673"/>
      <c r="T838" s="457">
        <f>H832*M838*N832*O832*P832</f>
        <v>0</v>
      </c>
      <c r="U838" s="458">
        <f>T838</f>
        <v>0</v>
      </c>
      <c r="V838" s="42"/>
      <c r="W838" s="41"/>
      <c r="X838" s="41"/>
      <c r="Y838" s="41"/>
      <c r="Z838" s="44"/>
      <c r="AA838" s="29"/>
      <c r="AB838" s="29"/>
      <c r="AC838" s="44">
        <f>T838</f>
        <v>0</v>
      </c>
      <c r="AD838" s="29"/>
    </row>
    <row r="839" spans="1:30" s="488" customFormat="1" ht="45" hidden="1" customHeight="1">
      <c r="A839" s="492"/>
      <c r="B839" s="643"/>
      <c r="C839" s="515"/>
      <c r="D839" s="514"/>
      <c r="E839" s="674"/>
      <c r="F839" s="675"/>
      <c r="G839" s="675"/>
      <c r="H839" s="675"/>
      <c r="I839" s="675"/>
      <c r="J839" s="675"/>
      <c r="K839" s="675"/>
      <c r="L839" s="675"/>
      <c r="M839" s="676"/>
      <c r="N839" s="655"/>
      <c r="O839" s="656"/>
      <c r="P839" s="657"/>
      <c r="Q839" s="677"/>
      <c r="R839" s="678"/>
      <c r="S839" s="678"/>
      <c r="T839" s="678"/>
      <c r="U839" s="679"/>
      <c r="V839" s="45"/>
      <c r="W839" s="41"/>
      <c r="X839" s="41"/>
      <c r="Y839" s="41"/>
      <c r="Z839" s="29"/>
      <c r="AA839" s="44"/>
      <c r="AB839" s="29"/>
      <c r="AC839" s="29"/>
      <c r="AD839" s="29"/>
    </row>
    <row r="840" spans="1:30" s="488" customFormat="1" ht="45" hidden="1" customHeight="1" thickBot="1">
      <c r="A840" s="492"/>
      <c r="B840" s="644"/>
      <c r="C840" s="516"/>
      <c r="D840" s="517"/>
      <c r="E840" s="680" t="s">
        <v>369</v>
      </c>
      <c r="F840" s="680" t="s">
        <v>306</v>
      </c>
      <c r="G840" s="680"/>
      <c r="H840" s="680"/>
      <c r="I840" s="680"/>
      <c r="J840" s="680"/>
      <c r="K840" s="680"/>
      <c r="L840" s="499">
        <f>ROUND((I832+J832+K832+L835)*3.93%,2)</f>
        <v>17.98</v>
      </c>
      <c r="M840" s="46">
        <f>L840</f>
        <v>17.98</v>
      </c>
      <c r="N840" s="658"/>
      <c r="O840" s="659"/>
      <c r="P840" s="660"/>
      <c r="Q840" s="681"/>
      <c r="R840" s="682"/>
      <c r="S840" s="683"/>
      <c r="T840" s="500">
        <f>H832*M840*N832*O832*P832</f>
        <v>0</v>
      </c>
      <c r="U840" s="47">
        <f>T840</f>
        <v>0</v>
      </c>
      <c r="V840" s="48"/>
      <c r="W840" s="41"/>
      <c r="X840" s="41"/>
      <c r="Y840" s="41"/>
      <c r="Z840" s="29"/>
      <c r="AA840" s="29"/>
      <c r="AB840" s="44"/>
      <c r="AC840" s="29"/>
      <c r="AD840" s="44">
        <f>T840</f>
        <v>0</v>
      </c>
    </row>
    <row r="841" spans="1:30" s="488" customFormat="1" ht="150" hidden="1" customHeight="1" thickBot="1">
      <c r="A841" s="492"/>
      <c r="B841" s="642">
        <v>1</v>
      </c>
      <c r="C841" s="511">
        <v>5</v>
      </c>
      <c r="D841" s="512"/>
      <c r="E841" s="493" t="s">
        <v>533</v>
      </c>
      <c r="F841" s="487" t="s">
        <v>534</v>
      </c>
      <c r="G841" s="645" t="s">
        <v>388</v>
      </c>
      <c r="H841" s="688">
        <v>0</v>
      </c>
      <c r="I841" s="494">
        <v>432</v>
      </c>
      <c r="J841" s="494">
        <v>79.39</v>
      </c>
      <c r="K841" s="494">
        <v>17.95</v>
      </c>
      <c r="L841" s="494">
        <f>SUM(L843:L849)</f>
        <v>113.84</v>
      </c>
      <c r="M841" s="33">
        <f>SUM(I841:L841)</f>
        <v>643.18000000000006</v>
      </c>
      <c r="N841" s="501">
        <v>1</v>
      </c>
      <c r="O841" s="502">
        <v>1</v>
      </c>
      <c r="P841" s="37">
        <v>1</v>
      </c>
      <c r="Q841" s="34">
        <f>H841*I841*N841*O841*P841</f>
        <v>0</v>
      </c>
      <c r="R841" s="35">
        <f>H841*J841*N841*O841*P841</f>
        <v>0</v>
      </c>
      <c r="S841" s="36">
        <f>H841*K841*N841*O841*P841</f>
        <v>0</v>
      </c>
      <c r="T841" s="36">
        <f>H841*L841*N841*O841*P841</f>
        <v>0</v>
      </c>
      <c r="U841" s="37">
        <f>SUM(Q841:T841)</f>
        <v>0</v>
      </c>
      <c r="V841" s="38">
        <f>(Q841+R841+S841+T845+T846+T847+T849)*'Прогнозная стоимость РСС ИП '!$M$11+T844*'Прогнозная стоимость РСС ИП '!$M$10</f>
        <v>0</v>
      </c>
      <c r="W841" s="39">
        <f>T841</f>
        <v>0</v>
      </c>
      <c r="X841" s="39">
        <f>U841</f>
        <v>0</v>
      </c>
      <c r="Y841" s="39">
        <f>V841</f>
        <v>0</v>
      </c>
      <c r="Z841" s="29"/>
      <c r="AA841" s="29"/>
      <c r="AB841" s="29"/>
      <c r="AC841" s="29"/>
      <c r="AD841" s="29"/>
    </row>
    <row r="842" spans="1:30" s="488" customFormat="1" ht="41.25" hidden="1" customHeight="1">
      <c r="A842" s="492"/>
      <c r="B842" s="643"/>
      <c r="C842" s="513"/>
      <c r="D842" s="514"/>
      <c r="E842" s="495"/>
      <c r="F842" s="496"/>
      <c r="G842" s="646"/>
      <c r="H842" s="688"/>
      <c r="I842" s="649"/>
      <c r="J842" s="650"/>
      <c r="K842" s="650"/>
      <c r="L842" s="650"/>
      <c r="M842" s="651"/>
      <c r="N842" s="652"/>
      <c r="O842" s="653"/>
      <c r="P842" s="654"/>
      <c r="Q842" s="661"/>
      <c r="R842" s="662"/>
      <c r="S842" s="662"/>
      <c r="T842" s="662"/>
      <c r="U842" s="663"/>
      <c r="V842" s="40"/>
      <c r="W842" s="41"/>
      <c r="X842" s="41"/>
      <c r="Y842" s="41"/>
      <c r="Z842" s="29"/>
      <c r="AA842" s="29"/>
      <c r="AB842" s="29"/>
      <c r="AC842" s="29"/>
      <c r="AD842" s="29"/>
    </row>
    <row r="843" spans="1:30" s="488" customFormat="1" ht="41.25" hidden="1" customHeight="1">
      <c r="A843" s="492"/>
      <c r="B843" s="643"/>
      <c r="C843" s="513"/>
      <c r="D843" s="514"/>
      <c r="E843" s="664" t="s">
        <v>29</v>
      </c>
      <c r="F843" s="665"/>
      <c r="G843" s="665"/>
      <c r="H843" s="665"/>
      <c r="I843" s="665"/>
      <c r="J843" s="665"/>
      <c r="K843" s="665"/>
      <c r="L843" s="665"/>
      <c r="M843" s="666"/>
      <c r="N843" s="655"/>
      <c r="O843" s="656"/>
      <c r="P843" s="657"/>
      <c r="Q843" s="667"/>
      <c r="R843" s="689"/>
      <c r="S843" s="689"/>
      <c r="T843" s="689"/>
      <c r="U843" s="690"/>
      <c r="V843" s="42"/>
      <c r="W843" s="41"/>
      <c r="X843" s="41"/>
      <c r="Y843" s="41"/>
      <c r="Z843" s="29"/>
      <c r="AA843" s="29"/>
      <c r="AB843" s="29"/>
      <c r="AC843" s="29"/>
      <c r="AD843" s="29"/>
    </row>
    <row r="844" spans="1:30" s="488" customFormat="1" ht="41.25" hidden="1" customHeight="1">
      <c r="A844" s="492"/>
      <c r="B844" s="643"/>
      <c r="C844" s="513">
        <v>55</v>
      </c>
      <c r="D844" s="514"/>
      <c r="E844" s="670" t="s">
        <v>30</v>
      </c>
      <c r="F844" s="670"/>
      <c r="G844" s="670"/>
      <c r="H844" s="670"/>
      <c r="I844" s="670"/>
      <c r="J844" s="670"/>
      <c r="K844" s="670"/>
      <c r="L844" s="498">
        <v>60.6</v>
      </c>
      <c r="M844" s="459">
        <f>L844</f>
        <v>60.6</v>
      </c>
      <c r="N844" s="655"/>
      <c r="O844" s="656"/>
      <c r="P844" s="657"/>
      <c r="Q844" s="671"/>
      <c r="R844" s="672"/>
      <c r="S844" s="673"/>
      <c r="T844" s="457">
        <f>H841*M844*N841*O841*P841</f>
        <v>0</v>
      </c>
      <c r="U844" s="458">
        <f>T844</f>
        <v>0</v>
      </c>
      <c r="V844" s="42"/>
      <c r="W844" s="39"/>
      <c r="X844" s="41"/>
      <c r="Y844" s="41"/>
      <c r="Z844" s="43">
        <f>T844</f>
        <v>0</v>
      </c>
      <c r="AA844" s="29"/>
      <c r="AB844" s="29"/>
      <c r="AC844" s="29"/>
      <c r="AD844" s="29"/>
    </row>
    <row r="845" spans="1:30" s="488" customFormat="1" ht="41.25" hidden="1" customHeight="1">
      <c r="A845" s="492"/>
      <c r="B845" s="643"/>
      <c r="C845" s="513"/>
      <c r="D845" s="514"/>
      <c r="E845" s="670" t="s">
        <v>31</v>
      </c>
      <c r="F845" s="670"/>
      <c r="G845" s="670"/>
      <c r="H845" s="670"/>
      <c r="I845" s="670"/>
      <c r="J845" s="670"/>
      <c r="K845" s="670"/>
      <c r="L845" s="498">
        <f>ROUND((I841+J841+K841)*2.14%,2)</f>
        <v>11.33</v>
      </c>
      <c r="M845" s="459">
        <f>L845</f>
        <v>11.33</v>
      </c>
      <c r="N845" s="655"/>
      <c r="O845" s="656"/>
      <c r="P845" s="657"/>
      <c r="Q845" s="671"/>
      <c r="R845" s="672"/>
      <c r="S845" s="673"/>
      <c r="T845" s="457">
        <f>H841*M845*N841*O841*P841</f>
        <v>0</v>
      </c>
      <c r="U845" s="458">
        <f>T845</f>
        <v>0</v>
      </c>
      <c r="V845" s="42"/>
      <c r="W845" s="41"/>
      <c r="X845" s="39"/>
      <c r="Y845" s="41"/>
      <c r="Z845" s="29"/>
      <c r="AA845" s="43">
        <f>T845</f>
        <v>0</v>
      </c>
      <c r="AB845" s="29"/>
      <c r="AC845" s="29"/>
      <c r="AD845" s="29"/>
    </row>
    <row r="846" spans="1:30" s="488" customFormat="1" ht="41.25" hidden="1" customHeight="1">
      <c r="A846" s="492"/>
      <c r="B846" s="643"/>
      <c r="C846" s="515"/>
      <c r="D846" s="514"/>
      <c r="E846" s="670" t="s">
        <v>376</v>
      </c>
      <c r="F846" s="670"/>
      <c r="G846" s="670"/>
      <c r="H846" s="670"/>
      <c r="I846" s="670"/>
      <c r="J846" s="670"/>
      <c r="K846" s="670"/>
      <c r="L846" s="498">
        <f>ROUND((I841+J841+K841+L844+L845+L849)*3%,2)</f>
        <v>18.73</v>
      </c>
      <c r="M846" s="459">
        <f>L846</f>
        <v>18.73</v>
      </c>
      <c r="N846" s="655"/>
      <c r="O846" s="656"/>
      <c r="P846" s="657"/>
      <c r="Q846" s="671"/>
      <c r="R846" s="672"/>
      <c r="S846" s="673"/>
      <c r="T846" s="457">
        <f>H841*M846*N841*O841*P841</f>
        <v>0</v>
      </c>
      <c r="U846" s="458">
        <f>T846</f>
        <v>0</v>
      </c>
      <c r="V846" s="42"/>
      <c r="W846" s="41"/>
      <c r="X846" s="41"/>
      <c r="Y846" s="39"/>
      <c r="Z846" s="29"/>
      <c r="AA846" s="29"/>
      <c r="AB846" s="43">
        <f>T846</f>
        <v>0</v>
      </c>
      <c r="AC846" s="29"/>
      <c r="AD846" s="29"/>
    </row>
    <row r="847" spans="1:30" s="488" customFormat="1" ht="54.75" hidden="1" customHeight="1">
      <c r="A847" s="492"/>
      <c r="B847" s="643"/>
      <c r="C847" s="515"/>
      <c r="D847" s="514"/>
      <c r="E847" s="670" t="s">
        <v>377</v>
      </c>
      <c r="F847" s="670"/>
      <c r="G847" s="670"/>
      <c r="H847" s="670"/>
      <c r="I847" s="670"/>
      <c r="J847" s="670"/>
      <c r="K847" s="670"/>
      <c r="L847" s="498">
        <f>113.06-K841-L844-L845-L849</f>
        <v>0</v>
      </c>
      <c r="M847" s="459">
        <f>L847</f>
        <v>0</v>
      </c>
      <c r="N847" s="655"/>
      <c r="O847" s="656"/>
      <c r="P847" s="657"/>
      <c r="Q847" s="671"/>
      <c r="R847" s="672"/>
      <c r="S847" s="673"/>
      <c r="T847" s="457">
        <f>H841*M847*N841*O841*P841</f>
        <v>0</v>
      </c>
      <c r="U847" s="458">
        <f>T847</f>
        <v>0</v>
      </c>
      <c r="V847" s="42"/>
      <c r="W847" s="41"/>
      <c r="X847" s="41"/>
      <c r="Y847" s="41"/>
      <c r="Z847" s="44"/>
      <c r="AA847" s="29"/>
      <c r="AB847" s="29"/>
      <c r="AC847" s="44">
        <f>T847</f>
        <v>0</v>
      </c>
      <c r="AD847" s="29"/>
    </row>
    <row r="848" spans="1:30" s="488" customFormat="1" ht="45" hidden="1" customHeight="1">
      <c r="A848" s="492"/>
      <c r="B848" s="643"/>
      <c r="C848" s="515"/>
      <c r="D848" s="514"/>
      <c r="E848" s="674"/>
      <c r="F848" s="675"/>
      <c r="G848" s="675"/>
      <c r="H848" s="675"/>
      <c r="I848" s="675"/>
      <c r="J848" s="675"/>
      <c r="K848" s="675"/>
      <c r="L848" s="675"/>
      <c r="M848" s="676"/>
      <c r="N848" s="655"/>
      <c r="O848" s="656"/>
      <c r="P848" s="657"/>
      <c r="Q848" s="677"/>
      <c r="R848" s="678"/>
      <c r="S848" s="678"/>
      <c r="T848" s="678"/>
      <c r="U848" s="679"/>
      <c r="V848" s="45"/>
      <c r="W848" s="41"/>
      <c r="X848" s="41"/>
      <c r="Y848" s="41"/>
      <c r="Z848" s="29"/>
      <c r="AA848" s="44"/>
      <c r="AB848" s="29"/>
      <c r="AC848" s="29"/>
      <c r="AD848" s="29"/>
    </row>
    <row r="849" spans="1:30" s="488" customFormat="1" ht="45" hidden="1" customHeight="1" thickBot="1">
      <c r="A849" s="492"/>
      <c r="B849" s="644"/>
      <c r="C849" s="516"/>
      <c r="D849" s="517"/>
      <c r="E849" s="680" t="s">
        <v>369</v>
      </c>
      <c r="F849" s="680" t="s">
        <v>306</v>
      </c>
      <c r="G849" s="680"/>
      <c r="H849" s="680"/>
      <c r="I849" s="680"/>
      <c r="J849" s="680"/>
      <c r="K849" s="680"/>
      <c r="L849" s="499">
        <f>ROUND((I841+J841+K841+L844)*3.93%,2)</f>
        <v>23.18</v>
      </c>
      <c r="M849" s="46">
        <f>L849</f>
        <v>23.18</v>
      </c>
      <c r="N849" s="658"/>
      <c r="O849" s="659"/>
      <c r="P849" s="660"/>
      <c r="Q849" s="681"/>
      <c r="R849" s="682"/>
      <c r="S849" s="683"/>
      <c r="T849" s="500">
        <f>H841*M849*N841*O841*P841</f>
        <v>0</v>
      </c>
      <c r="U849" s="47">
        <f>T849</f>
        <v>0</v>
      </c>
      <c r="V849" s="48"/>
      <c r="W849" s="41"/>
      <c r="X849" s="41"/>
      <c r="Y849" s="41"/>
      <c r="Z849" s="29"/>
      <c r="AA849" s="29"/>
      <c r="AB849" s="44"/>
      <c r="AC849" s="29"/>
      <c r="AD849" s="44">
        <f>T849</f>
        <v>0</v>
      </c>
    </row>
    <row r="850" spans="1:30" s="488" customFormat="1" ht="150" hidden="1" customHeight="1" thickBot="1">
      <c r="A850" s="492"/>
      <c r="B850" s="642">
        <v>1</v>
      </c>
      <c r="C850" s="511">
        <v>5</v>
      </c>
      <c r="D850" s="512"/>
      <c r="E850" s="493" t="s">
        <v>535</v>
      </c>
      <c r="F850" s="487" t="s">
        <v>536</v>
      </c>
      <c r="G850" s="645" t="s">
        <v>388</v>
      </c>
      <c r="H850" s="688">
        <v>0</v>
      </c>
      <c r="I850" s="494">
        <v>586.70000000000005</v>
      </c>
      <c r="J850" s="494">
        <v>79.39</v>
      </c>
      <c r="K850" s="494">
        <v>17.95</v>
      </c>
      <c r="L850" s="494">
        <f>SUM(L852:L858)</f>
        <v>128.49</v>
      </c>
      <c r="M850" s="33">
        <f>SUM(I850:L850)</f>
        <v>812.53000000000009</v>
      </c>
      <c r="N850" s="501">
        <v>1</v>
      </c>
      <c r="O850" s="502">
        <v>1</v>
      </c>
      <c r="P850" s="37">
        <v>1</v>
      </c>
      <c r="Q850" s="34">
        <f>H850*I850*N850*O850*P850</f>
        <v>0</v>
      </c>
      <c r="R850" s="35">
        <f>H850*J850*N850*O850*P850</f>
        <v>0</v>
      </c>
      <c r="S850" s="36">
        <f>H850*K850*N850*O850*P850</f>
        <v>0</v>
      </c>
      <c r="T850" s="36">
        <f>H850*L850*N850*O850*P850</f>
        <v>0</v>
      </c>
      <c r="U850" s="37">
        <f>SUM(Q850:T850)</f>
        <v>0</v>
      </c>
      <c r="V850" s="38">
        <f>(Q850+R850+S850+T854+T855+T856+T858)*'Прогнозная стоимость РСС ИП '!$M$11+T853*'Прогнозная стоимость РСС ИП '!$M$10</f>
        <v>0</v>
      </c>
      <c r="W850" s="39">
        <f>T850</f>
        <v>0</v>
      </c>
      <c r="X850" s="39">
        <f>U850</f>
        <v>0</v>
      </c>
      <c r="Y850" s="39">
        <f>V850</f>
        <v>0</v>
      </c>
      <c r="Z850" s="29"/>
      <c r="AA850" s="29"/>
      <c r="AB850" s="29"/>
      <c r="AC850" s="29"/>
      <c r="AD850" s="29"/>
    </row>
    <row r="851" spans="1:30" s="488" customFormat="1" ht="41.25" hidden="1" customHeight="1">
      <c r="A851" s="492"/>
      <c r="B851" s="643"/>
      <c r="C851" s="513"/>
      <c r="D851" s="514"/>
      <c r="E851" s="495"/>
      <c r="F851" s="496"/>
      <c r="G851" s="646"/>
      <c r="H851" s="688"/>
      <c r="I851" s="649"/>
      <c r="J851" s="650"/>
      <c r="K851" s="650"/>
      <c r="L851" s="650"/>
      <c r="M851" s="651"/>
      <c r="N851" s="652"/>
      <c r="O851" s="653"/>
      <c r="P851" s="654"/>
      <c r="Q851" s="661"/>
      <c r="R851" s="662"/>
      <c r="S851" s="662"/>
      <c r="T851" s="662"/>
      <c r="U851" s="663"/>
      <c r="V851" s="40"/>
      <c r="W851" s="41"/>
      <c r="X851" s="41"/>
      <c r="Y851" s="41"/>
      <c r="Z851" s="29"/>
      <c r="AA851" s="29"/>
      <c r="AB851" s="29"/>
      <c r="AC851" s="29"/>
      <c r="AD851" s="29"/>
    </row>
    <row r="852" spans="1:30" s="488" customFormat="1" ht="41.25" hidden="1" customHeight="1">
      <c r="A852" s="492"/>
      <c r="B852" s="643"/>
      <c r="C852" s="513"/>
      <c r="D852" s="514"/>
      <c r="E852" s="664" t="s">
        <v>29</v>
      </c>
      <c r="F852" s="665"/>
      <c r="G852" s="665"/>
      <c r="H852" s="665"/>
      <c r="I852" s="665"/>
      <c r="J852" s="665"/>
      <c r="K852" s="665"/>
      <c r="L852" s="665"/>
      <c r="M852" s="666"/>
      <c r="N852" s="655"/>
      <c r="O852" s="656"/>
      <c r="P852" s="657"/>
      <c r="Q852" s="667"/>
      <c r="R852" s="689"/>
      <c r="S852" s="689"/>
      <c r="T852" s="689"/>
      <c r="U852" s="690"/>
      <c r="V852" s="42"/>
      <c r="W852" s="41"/>
      <c r="X852" s="41"/>
      <c r="Y852" s="41"/>
      <c r="Z852" s="29"/>
      <c r="AA852" s="29"/>
      <c r="AB852" s="29"/>
      <c r="AC852" s="29"/>
      <c r="AD852" s="29"/>
    </row>
    <row r="853" spans="1:30" s="488" customFormat="1" ht="41.25" hidden="1" customHeight="1">
      <c r="A853" s="492"/>
      <c r="B853" s="643"/>
      <c r="C853" s="513">
        <v>55</v>
      </c>
      <c r="D853" s="514"/>
      <c r="E853" s="670" t="s">
        <v>30</v>
      </c>
      <c r="F853" s="670"/>
      <c r="G853" s="670"/>
      <c r="H853" s="670"/>
      <c r="I853" s="670"/>
      <c r="J853" s="670"/>
      <c r="K853" s="670"/>
      <c r="L853" s="498">
        <v>60.91</v>
      </c>
      <c r="M853" s="459">
        <f>L853</f>
        <v>60.91</v>
      </c>
      <c r="N853" s="655"/>
      <c r="O853" s="656"/>
      <c r="P853" s="657"/>
      <c r="Q853" s="671"/>
      <c r="R853" s="672"/>
      <c r="S853" s="673"/>
      <c r="T853" s="457">
        <f>H850*M853*N850*O850*P850</f>
        <v>0</v>
      </c>
      <c r="U853" s="458">
        <f>T853</f>
        <v>0</v>
      </c>
      <c r="V853" s="42"/>
      <c r="W853" s="39"/>
      <c r="X853" s="41"/>
      <c r="Y853" s="41"/>
      <c r="Z853" s="43">
        <f>T853</f>
        <v>0</v>
      </c>
      <c r="AA853" s="29"/>
      <c r="AB853" s="29"/>
      <c r="AC853" s="29"/>
      <c r="AD853" s="29"/>
    </row>
    <row r="854" spans="1:30" s="488" customFormat="1" ht="41.25" hidden="1" customHeight="1">
      <c r="A854" s="492"/>
      <c r="B854" s="643"/>
      <c r="C854" s="513"/>
      <c r="D854" s="514"/>
      <c r="E854" s="670" t="s">
        <v>31</v>
      </c>
      <c r="F854" s="670"/>
      <c r="G854" s="670"/>
      <c r="H854" s="670"/>
      <c r="I854" s="670"/>
      <c r="J854" s="670"/>
      <c r="K854" s="670"/>
      <c r="L854" s="498">
        <f>ROUND((I850+J850+K850)*2.14%,2)</f>
        <v>14.64</v>
      </c>
      <c r="M854" s="459">
        <f>L854</f>
        <v>14.64</v>
      </c>
      <c r="N854" s="655"/>
      <c r="O854" s="656"/>
      <c r="P854" s="657"/>
      <c r="Q854" s="671"/>
      <c r="R854" s="672"/>
      <c r="S854" s="673"/>
      <c r="T854" s="457">
        <f>H850*M854*N850*O850*P850</f>
        <v>0</v>
      </c>
      <c r="U854" s="458">
        <f>T854</f>
        <v>0</v>
      </c>
      <c r="V854" s="42"/>
      <c r="W854" s="41"/>
      <c r="X854" s="39"/>
      <c r="Y854" s="41"/>
      <c r="Z854" s="29"/>
      <c r="AA854" s="43">
        <f>T854</f>
        <v>0</v>
      </c>
      <c r="AB854" s="29"/>
      <c r="AC854" s="29"/>
      <c r="AD854" s="29"/>
    </row>
    <row r="855" spans="1:30" s="488" customFormat="1" ht="41.25" hidden="1" customHeight="1">
      <c r="A855" s="492"/>
      <c r="B855" s="643"/>
      <c r="C855" s="515"/>
      <c r="D855" s="514"/>
      <c r="E855" s="670" t="s">
        <v>376</v>
      </c>
      <c r="F855" s="670"/>
      <c r="G855" s="670"/>
      <c r="H855" s="670"/>
      <c r="I855" s="670"/>
      <c r="J855" s="670"/>
      <c r="K855" s="670"/>
      <c r="L855" s="498">
        <f>ROUND((I850+J850+K850+L853+L854+L858)*3%,2)-0.01</f>
        <v>23.66</v>
      </c>
      <c r="M855" s="459">
        <f>L855</f>
        <v>23.66</v>
      </c>
      <c r="N855" s="655"/>
      <c r="O855" s="656"/>
      <c r="P855" s="657"/>
      <c r="Q855" s="671"/>
      <c r="R855" s="672"/>
      <c r="S855" s="673"/>
      <c r="T855" s="457">
        <f>H850*M855*N850*O850*P850</f>
        <v>0</v>
      </c>
      <c r="U855" s="458">
        <f>T855</f>
        <v>0</v>
      </c>
      <c r="V855" s="42"/>
      <c r="W855" s="41"/>
      <c r="X855" s="41"/>
      <c r="Y855" s="39"/>
      <c r="Z855" s="29"/>
      <c r="AA855" s="29"/>
      <c r="AB855" s="43">
        <f>T855</f>
        <v>0</v>
      </c>
      <c r="AC855" s="29"/>
      <c r="AD855" s="29"/>
    </row>
    <row r="856" spans="1:30" s="488" customFormat="1" ht="54.75" hidden="1" customHeight="1">
      <c r="A856" s="492"/>
      <c r="B856" s="643"/>
      <c r="C856" s="515"/>
      <c r="D856" s="514"/>
      <c r="E856" s="670" t="s">
        <v>377</v>
      </c>
      <c r="F856" s="670"/>
      <c r="G856" s="670"/>
      <c r="H856" s="670"/>
      <c r="I856" s="670"/>
      <c r="J856" s="670"/>
      <c r="K856" s="670"/>
      <c r="L856" s="498">
        <f>122.78-K850-L853-L854-L858</f>
        <v>0</v>
      </c>
      <c r="M856" s="459">
        <f>L856</f>
        <v>0</v>
      </c>
      <c r="N856" s="655"/>
      <c r="O856" s="656"/>
      <c r="P856" s="657"/>
      <c r="Q856" s="671"/>
      <c r="R856" s="672"/>
      <c r="S856" s="673"/>
      <c r="T856" s="457">
        <f>H850*M856*N850*O850*P850</f>
        <v>0</v>
      </c>
      <c r="U856" s="458">
        <f>T856</f>
        <v>0</v>
      </c>
      <c r="V856" s="42"/>
      <c r="W856" s="41"/>
      <c r="X856" s="41"/>
      <c r="Y856" s="41"/>
      <c r="Z856" s="44"/>
      <c r="AA856" s="29"/>
      <c r="AB856" s="29"/>
      <c r="AC856" s="44">
        <f>T856</f>
        <v>0</v>
      </c>
      <c r="AD856" s="29"/>
    </row>
    <row r="857" spans="1:30" s="488" customFormat="1" ht="45" hidden="1" customHeight="1">
      <c r="A857" s="492"/>
      <c r="B857" s="643"/>
      <c r="C857" s="515"/>
      <c r="D857" s="514"/>
      <c r="E857" s="674"/>
      <c r="F857" s="675"/>
      <c r="G857" s="675"/>
      <c r="H857" s="675"/>
      <c r="I857" s="675"/>
      <c r="J857" s="675"/>
      <c r="K857" s="675"/>
      <c r="L857" s="675"/>
      <c r="M857" s="676"/>
      <c r="N857" s="655"/>
      <c r="O857" s="656"/>
      <c r="P857" s="657"/>
      <c r="Q857" s="677"/>
      <c r="R857" s="678"/>
      <c r="S857" s="678"/>
      <c r="T857" s="678"/>
      <c r="U857" s="679"/>
      <c r="V857" s="45"/>
      <c r="W857" s="41"/>
      <c r="X857" s="41"/>
      <c r="Y857" s="41"/>
      <c r="Z857" s="29"/>
      <c r="AA857" s="44"/>
      <c r="AB857" s="29"/>
      <c r="AC857" s="29"/>
      <c r="AD857" s="29"/>
    </row>
    <row r="858" spans="1:30" s="488" customFormat="1" ht="45" hidden="1" customHeight="1" thickBot="1">
      <c r="A858" s="492"/>
      <c r="B858" s="644"/>
      <c r="C858" s="516"/>
      <c r="D858" s="517"/>
      <c r="E858" s="680" t="s">
        <v>369</v>
      </c>
      <c r="F858" s="680" t="s">
        <v>306</v>
      </c>
      <c r="G858" s="680"/>
      <c r="H858" s="680"/>
      <c r="I858" s="680"/>
      <c r="J858" s="680"/>
      <c r="K858" s="680"/>
      <c r="L858" s="499">
        <f>ROUND((I850+J850+K850+L853)*3.93%,2)</f>
        <v>29.28</v>
      </c>
      <c r="M858" s="46">
        <f>L858</f>
        <v>29.28</v>
      </c>
      <c r="N858" s="658"/>
      <c r="O858" s="659"/>
      <c r="P858" s="660"/>
      <c r="Q858" s="681"/>
      <c r="R858" s="682"/>
      <c r="S858" s="683"/>
      <c r="T858" s="500">
        <f>H850*M858*N850*O850*P850</f>
        <v>0</v>
      </c>
      <c r="U858" s="47">
        <f>T858</f>
        <v>0</v>
      </c>
      <c r="V858" s="48"/>
      <c r="W858" s="41"/>
      <c r="X858" s="41"/>
      <c r="Y858" s="41"/>
      <c r="Z858" s="29"/>
      <c r="AA858" s="29"/>
      <c r="AB858" s="44"/>
      <c r="AC858" s="29"/>
      <c r="AD858" s="44">
        <f>T858</f>
        <v>0</v>
      </c>
    </row>
    <row r="859" spans="1:30" s="488" customFormat="1" ht="150" hidden="1" customHeight="1" thickBot="1">
      <c r="A859" s="492"/>
      <c r="B859" s="642">
        <v>1</v>
      </c>
      <c r="C859" s="511">
        <v>5</v>
      </c>
      <c r="D859" s="512"/>
      <c r="E859" s="493" t="s">
        <v>537</v>
      </c>
      <c r="F859" s="487" t="s">
        <v>538</v>
      </c>
      <c r="G859" s="645" t="s">
        <v>388</v>
      </c>
      <c r="H859" s="688">
        <v>0</v>
      </c>
      <c r="I859" s="494">
        <v>843</v>
      </c>
      <c r="J859" s="494">
        <v>79.39</v>
      </c>
      <c r="K859" s="494">
        <v>17.95</v>
      </c>
      <c r="L859" s="494">
        <f>SUM(L861:L867)</f>
        <v>225.23999999999998</v>
      </c>
      <c r="M859" s="33">
        <f>SUM(I859:L859)</f>
        <v>1165.58</v>
      </c>
      <c r="N859" s="501">
        <v>1</v>
      </c>
      <c r="O859" s="502">
        <v>1</v>
      </c>
      <c r="P859" s="37">
        <v>1</v>
      </c>
      <c r="Q859" s="34">
        <f>H859*I859*N859*O859*P859</f>
        <v>0</v>
      </c>
      <c r="R859" s="35">
        <f>H859*J859*N859*O859*P859</f>
        <v>0</v>
      </c>
      <c r="S859" s="36">
        <f>H859*K859*N859*O859*P859</f>
        <v>0</v>
      </c>
      <c r="T859" s="36">
        <f>H859*L859*N859*O859*P859</f>
        <v>0</v>
      </c>
      <c r="U859" s="37">
        <f>SUM(Q859:T859)</f>
        <v>0</v>
      </c>
      <c r="V859" s="38">
        <f>(Q859+R859+S859+T863+T864+T865+T867)*'Прогнозная стоимость РСС ИП '!$M$11+T862*'Прогнозная стоимость РСС ИП '!$M$10</f>
        <v>0</v>
      </c>
      <c r="W859" s="39">
        <f>T859</f>
        <v>0</v>
      </c>
      <c r="X859" s="39">
        <f>U859</f>
        <v>0</v>
      </c>
      <c r="Y859" s="39">
        <f>V859</f>
        <v>0</v>
      </c>
      <c r="Z859" s="29"/>
      <c r="AA859" s="29"/>
      <c r="AB859" s="29"/>
      <c r="AC859" s="29"/>
      <c r="AD859" s="29"/>
    </row>
    <row r="860" spans="1:30" s="488" customFormat="1" ht="41.25" hidden="1" customHeight="1">
      <c r="A860" s="492"/>
      <c r="B860" s="643"/>
      <c r="C860" s="513"/>
      <c r="D860" s="514"/>
      <c r="E860" s="495"/>
      <c r="F860" s="496"/>
      <c r="G860" s="646"/>
      <c r="H860" s="688"/>
      <c r="I860" s="649"/>
      <c r="J860" s="650"/>
      <c r="K860" s="650"/>
      <c r="L860" s="650"/>
      <c r="M860" s="651"/>
      <c r="N860" s="652"/>
      <c r="O860" s="653"/>
      <c r="P860" s="654"/>
      <c r="Q860" s="661"/>
      <c r="R860" s="662"/>
      <c r="S860" s="662"/>
      <c r="T860" s="662"/>
      <c r="U860" s="663"/>
      <c r="V860" s="40"/>
      <c r="W860" s="41"/>
      <c r="X860" s="41"/>
      <c r="Y860" s="41"/>
      <c r="Z860" s="29"/>
      <c r="AA860" s="29"/>
      <c r="AB860" s="29"/>
      <c r="AC860" s="29"/>
      <c r="AD860" s="29"/>
    </row>
    <row r="861" spans="1:30" s="488" customFormat="1" ht="41.25" hidden="1" customHeight="1">
      <c r="A861" s="492"/>
      <c r="B861" s="643"/>
      <c r="C861" s="513"/>
      <c r="D861" s="514"/>
      <c r="E861" s="664" t="s">
        <v>29</v>
      </c>
      <c r="F861" s="665"/>
      <c r="G861" s="665"/>
      <c r="H861" s="665"/>
      <c r="I861" s="665"/>
      <c r="J861" s="665"/>
      <c r="K861" s="665"/>
      <c r="L861" s="665"/>
      <c r="M861" s="666"/>
      <c r="N861" s="655"/>
      <c r="O861" s="656"/>
      <c r="P861" s="657"/>
      <c r="Q861" s="667"/>
      <c r="R861" s="689"/>
      <c r="S861" s="689"/>
      <c r="T861" s="689"/>
      <c r="U861" s="690"/>
      <c r="V861" s="42"/>
      <c r="W861" s="41"/>
      <c r="X861" s="41"/>
      <c r="Y861" s="41"/>
      <c r="Z861" s="29"/>
      <c r="AA861" s="29"/>
      <c r="AB861" s="29"/>
      <c r="AC861" s="29"/>
      <c r="AD861" s="29"/>
    </row>
    <row r="862" spans="1:30" s="488" customFormat="1" ht="41.25" hidden="1" customHeight="1">
      <c r="A862" s="492"/>
      <c r="B862" s="643"/>
      <c r="C862" s="513">
        <v>55</v>
      </c>
      <c r="D862" s="514"/>
      <c r="E862" s="670" t="s">
        <v>30</v>
      </c>
      <c r="F862" s="670"/>
      <c r="G862" s="670"/>
      <c r="H862" s="670"/>
      <c r="I862" s="670"/>
      <c r="J862" s="670"/>
      <c r="K862" s="670"/>
      <c r="L862" s="498">
        <v>129.13999999999999</v>
      </c>
      <c r="M862" s="459">
        <f>L862</f>
        <v>129.13999999999999</v>
      </c>
      <c r="N862" s="655"/>
      <c r="O862" s="656"/>
      <c r="P862" s="657"/>
      <c r="Q862" s="671"/>
      <c r="R862" s="672"/>
      <c r="S862" s="673"/>
      <c r="T862" s="457">
        <f>H859*M862*N859*O859*P859</f>
        <v>0</v>
      </c>
      <c r="U862" s="458">
        <f>T862</f>
        <v>0</v>
      </c>
      <c r="V862" s="42"/>
      <c r="W862" s="39"/>
      <c r="X862" s="41"/>
      <c r="Y862" s="41"/>
      <c r="Z862" s="43">
        <f>T862</f>
        <v>0</v>
      </c>
      <c r="AA862" s="29"/>
      <c r="AB862" s="29"/>
      <c r="AC862" s="29"/>
      <c r="AD862" s="29"/>
    </row>
    <row r="863" spans="1:30" s="488" customFormat="1" ht="41.25" hidden="1" customHeight="1">
      <c r="A863" s="492"/>
      <c r="B863" s="643"/>
      <c r="C863" s="513"/>
      <c r="D863" s="514"/>
      <c r="E863" s="670" t="s">
        <v>31</v>
      </c>
      <c r="F863" s="670"/>
      <c r="G863" s="670"/>
      <c r="H863" s="670"/>
      <c r="I863" s="670"/>
      <c r="J863" s="670"/>
      <c r="K863" s="670"/>
      <c r="L863" s="498">
        <f>ROUND((I859+J859+K859)*2.14%,2)</f>
        <v>20.12</v>
      </c>
      <c r="M863" s="459">
        <f>L863</f>
        <v>20.12</v>
      </c>
      <c r="N863" s="655"/>
      <c r="O863" s="656"/>
      <c r="P863" s="657"/>
      <c r="Q863" s="671"/>
      <c r="R863" s="672"/>
      <c r="S863" s="673"/>
      <c r="T863" s="457">
        <f>H859*M863*N859*O859*P859</f>
        <v>0</v>
      </c>
      <c r="U863" s="458">
        <f>T863</f>
        <v>0</v>
      </c>
      <c r="V863" s="42"/>
      <c r="W863" s="41"/>
      <c r="X863" s="39"/>
      <c r="Y863" s="41"/>
      <c r="Z863" s="29"/>
      <c r="AA863" s="43">
        <f>T863</f>
        <v>0</v>
      </c>
      <c r="AB863" s="29"/>
      <c r="AC863" s="29"/>
      <c r="AD863" s="29"/>
    </row>
    <row r="864" spans="1:30" s="488" customFormat="1" ht="41.25" hidden="1" customHeight="1">
      <c r="A864" s="492"/>
      <c r="B864" s="643"/>
      <c r="C864" s="515"/>
      <c r="D864" s="514"/>
      <c r="E864" s="670" t="s">
        <v>376</v>
      </c>
      <c r="F864" s="670"/>
      <c r="G864" s="670"/>
      <c r="H864" s="670"/>
      <c r="I864" s="670"/>
      <c r="J864" s="670"/>
      <c r="K864" s="670"/>
      <c r="L864" s="498">
        <f>ROUND((I859+J859+K859+L862+L863+L867)*3%,2)</f>
        <v>33.950000000000003</v>
      </c>
      <c r="M864" s="459">
        <f>L864</f>
        <v>33.950000000000003</v>
      </c>
      <c r="N864" s="655"/>
      <c r="O864" s="656"/>
      <c r="P864" s="657"/>
      <c r="Q864" s="671"/>
      <c r="R864" s="672"/>
      <c r="S864" s="673"/>
      <c r="T864" s="457">
        <f>H859*M864*N859*O859*P859</f>
        <v>0</v>
      </c>
      <c r="U864" s="458">
        <f>T864</f>
        <v>0</v>
      </c>
      <c r="V864" s="42"/>
      <c r="W864" s="41"/>
      <c r="X864" s="41"/>
      <c r="Y864" s="39"/>
      <c r="Z864" s="29"/>
      <c r="AA864" s="29"/>
      <c r="AB864" s="43">
        <f>T864</f>
        <v>0</v>
      </c>
      <c r="AC864" s="29"/>
      <c r="AD864" s="29"/>
    </row>
    <row r="865" spans="1:30" s="488" customFormat="1" ht="54.75" hidden="1" customHeight="1">
      <c r="A865" s="492"/>
      <c r="B865" s="643"/>
      <c r="C865" s="515"/>
      <c r="D865" s="514"/>
      <c r="E865" s="670" t="s">
        <v>377</v>
      </c>
      <c r="F865" s="670"/>
      <c r="G865" s="670"/>
      <c r="H865" s="670"/>
      <c r="I865" s="670"/>
      <c r="J865" s="670"/>
      <c r="K865" s="670"/>
      <c r="L865" s="498">
        <f>209.24-K859-L862-L863-L867</f>
        <v>0</v>
      </c>
      <c r="M865" s="459">
        <f>L865</f>
        <v>0</v>
      </c>
      <c r="N865" s="655"/>
      <c r="O865" s="656"/>
      <c r="P865" s="657"/>
      <c r="Q865" s="671"/>
      <c r="R865" s="672"/>
      <c r="S865" s="673"/>
      <c r="T865" s="457">
        <f>H859*M865*N859*O859*P859</f>
        <v>0</v>
      </c>
      <c r="U865" s="458">
        <f>T865</f>
        <v>0</v>
      </c>
      <c r="V865" s="42"/>
      <c r="W865" s="41"/>
      <c r="X865" s="41"/>
      <c r="Y865" s="41"/>
      <c r="Z865" s="44"/>
      <c r="AA865" s="29"/>
      <c r="AB865" s="29"/>
      <c r="AC865" s="44">
        <f>T865</f>
        <v>0</v>
      </c>
      <c r="AD865" s="29"/>
    </row>
    <row r="866" spans="1:30" s="488" customFormat="1" ht="45" hidden="1" customHeight="1">
      <c r="A866" s="492"/>
      <c r="B866" s="643"/>
      <c r="C866" s="515"/>
      <c r="D866" s="514"/>
      <c r="E866" s="674"/>
      <c r="F866" s="675"/>
      <c r="G866" s="675"/>
      <c r="H866" s="675"/>
      <c r="I866" s="675"/>
      <c r="J866" s="675"/>
      <c r="K866" s="675"/>
      <c r="L866" s="675"/>
      <c r="M866" s="676"/>
      <c r="N866" s="655"/>
      <c r="O866" s="656"/>
      <c r="P866" s="657"/>
      <c r="Q866" s="677"/>
      <c r="R866" s="678"/>
      <c r="S866" s="678"/>
      <c r="T866" s="678"/>
      <c r="U866" s="679"/>
      <c r="V866" s="45"/>
      <c r="W866" s="41"/>
      <c r="X866" s="41"/>
      <c r="Y866" s="41"/>
      <c r="Z866" s="29"/>
      <c r="AA866" s="44"/>
      <c r="AB866" s="29"/>
      <c r="AC866" s="29"/>
      <c r="AD866" s="29"/>
    </row>
    <row r="867" spans="1:30" s="488" customFormat="1" ht="45" hidden="1" customHeight="1" thickBot="1">
      <c r="A867" s="492"/>
      <c r="B867" s="644"/>
      <c r="C867" s="516"/>
      <c r="D867" s="517"/>
      <c r="E867" s="680" t="s">
        <v>369</v>
      </c>
      <c r="F867" s="680" t="s">
        <v>306</v>
      </c>
      <c r="G867" s="680"/>
      <c r="H867" s="680"/>
      <c r="I867" s="680"/>
      <c r="J867" s="680"/>
      <c r="K867" s="680"/>
      <c r="L867" s="499">
        <f>ROUND((I859+J859+K859+L862)*3.93%,2)</f>
        <v>42.03</v>
      </c>
      <c r="M867" s="46">
        <f>L867</f>
        <v>42.03</v>
      </c>
      <c r="N867" s="658"/>
      <c r="O867" s="659"/>
      <c r="P867" s="660"/>
      <c r="Q867" s="681"/>
      <c r="R867" s="682"/>
      <c r="S867" s="683"/>
      <c r="T867" s="500">
        <f>H859*M867*N859*O859*P859</f>
        <v>0</v>
      </c>
      <c r="U867" s="47">
        <f>T867</f>
        <v>0</v>
      </c>
      <c r="V867" s="48"/>
      <c r="W867" s="41"/>
      <c r="X867" s="41"/>
      <c r="Y867" s="41"/>
      <c r="Z867" s="29"/>
      <c r="AA867" s="29"/>
      <c r="AB867" s="44"/>
      <c r="AC867" s="29"/>
      <c r="AD867" s="44">
        <f>T867</f>
        <v>0</v>
      </c>
    </row>
    <row r="868" spans="1:30" s="488" customFormat="1" ht="150" hidden="1" customHeight="1" thickBot="1">
      <c r="A868" s="492"/>
      <c r="B868" s="642">
        <v>1</v>
      </c>
      <c r="C868" s="511">
        <v>5</v>
      </c>
      <c r="D868" s="512"/>
      <c r="E868" s="493" t="s">
        <v>539</v>
      </c>
      <c r="F868" s="487" t="s">
        <v>540</v>
      </c>
      <c r="G868" s="645" t="s">
        <v>388</v>
      </c>
      <c r="H868" s="688">
        <v>0</v>
      </c>
      <c r="I868" s="494">
        <v>1383.4</v>
      </c>
      <c r="J868" s="494">
        <v>79.39</v>
      </c>
      <c r="K868" s="494">
        <v>17.95</v>
      </c>
      <c r="L868" s="494">
        <f>SUM(L870:L876)</f>
        <v>276.39999999999998</v>
      </c>
      <c r="M868" s="33">
        <f>SUM(I868:L868)</f>
        <v>1757.1400000000003</v>
      </c>
      <c r="N868" s="501">
        <v>1</v>
      </c>
      <c r="O868" s="502">
        <v>1</v>
      </c>
      <c r="P868" s="37">
        <v>1</v>
      </c>
      <c r="Q868" s="34">
        <f>H868*I868*N868*O868*P868</f>
        <v>0</v>
      </c>
      <c r="R868" s="35">
        <f>H868*J868*N868*O868*P868</f>
        <v>0</v>
      </c>
      <c r="S868" s="36">
        <f>H868*K868*N868*O868*P868</f>
        <v>0</v>
      </c>
      <c r="T868" s="36">
        <f>H868*L868*N868*O868*P868</f>
        <v>0</v>
      </c>
      <c r="U868" s="37">
        <f>SUM(Q868:T868)</f>
        <v>0</v>
      </c>
      <c r="V868" s="38">
        <f>(Q868+R868+S868+T872+T873+T874+T876)*'Прогнозная стоимость РСС ИП '!$M$11+T871*'Прогнозная стоимость РСС ИП '!$M$10</f>
        <v>0</v>
      </c>
      <c r="W868" s="39">
        <f>T868</f>
        <v>0</v>
      </c>
      <c r="X868" s="39">
        <f>U868</f>
        <v>0</v>
      </c>
      <c r="Y868" s="39">
        <f>V868</f>
        <v>0</v>
      </c>
      <c r="Z868" s="29"/>
      <c r="AA868" s="29"/>
      <c r="AB868" s="29"/>
      <c r="AC868" s="29"/>
      <c r="AD868" s="29"/>
    </row>
    <row r="869" spans="1:30" s="488" customFormat="1" ht="41.25" hidden="1" customHeight="1">
      <c r="A869" s="492"/>
      <c r="B869" s="643"/>
      <c r="C869" s="513"/>
      <c r="D869" s="514"/>
      <c r="E869" s="495"/>
      <c r="F869" s="496"/>
      <c r="G869" s="646"/>
      <c r="H869" s="688"/>
      <c r="I869" s="649"/>
      <c r="J869" s="650"/>
      <c r="K869" s="650"/>
      <c r="L869" s="650"/>
      <c r="M869" s="651"/>
      <c r="N869" s="652"/>
      <c r="O869" s="653"/>
      <c r="P869" s="654"/>
      <c r="Q869" s="661"/>
      <c r="R869" s="662"/>
      <c r="S869" s="662"/>
      <c r="T869" s="662"/>
      <c r="U869" s="663"/>
      <c r="V869" s="40"/>
      <c r="W869" s="41"/>
      <c r="X869" s="41"/>
      <c r="Y869" s="41"/>
      <c r="Z869" s="29"/>
      <c r="AA869" s="29"/>
      <c r="AB869" s="29"/>
      <c r="AC869" s="29"/>
      <c r="AD869" s="29"/>
    </row>
    <row r="870" spans="1:30" s="488" customFormat="1" ht="41.25" hidden="1" customHeight="1">
      <c r="A870" s="492"/>
      <c r="B870" s="643"/>
      <c r="C870" s="513"/>
      <c r="D870" s="514"/>
      <c r="E870" s="664" t="s">
        <v>29</v>
      </c>
      <c r="F870" s="665"/>
      <c r="G870" s="665"/>
      <c r="H870" s="665"/>
      <c r="I870" s="665"/>
      <c r="J870" s="665"/>
      <c r="K870" s="665"/>
      <c r="L870" s="665"/>
      <c r="M870" s="666"/>
      <c r="N870" s="655"/>
      <c r="O870" s="656"/>
      <c r="P870" s="657"/>
      <c r="Q870" s="667"/>
      <c r="R870" s="689"/>
      <c r="S870" s="689"/>
      <c r="T870" s="689"/>
      <c r="U870" s="690"/>
      <c r="V870" s="42"/>
      <c r="W870" s="41"/>
      <c r="X870" s="41"/>
      <c r="Y870" s="41"/>
      <c r="Z870" s="29"/>
      <c r="AA870" s="29"/>
      <c r="AB870" s="29"/>
      <c r="AC870" s="29"/>
      <c r="AD870" s="29"/>
    </row>
    <row r="871" spans="1:30" s="488" customFormat="1" ht="41.25" hidden="1" customHeight="1">
      <c r="A871" s="492"/>
      <c r="B871" s="643"/>
      <c r="C871" s="513">
        <v>55</v>
      </c>
      <c r="D871" s="514"/>
      <c r="E871" s="670" t="s">
        <v>30</v>
      </c>
      <c r="F871" s="670"/>
      <c r="G871" s="670"/>
      <c r="H871" s="670"/>
      <c r="I871" s="670"/>
      <c r="J871" s="670"/>
      <c r="K871" s="670"/>
      <c r="L871" s="498">
        <v>130.22</v>
      </c>
      <c r="M871" s="459">
        <f>L871</f>
        <v>130.22</v>
      </c>
      <c r="N871" s="655"/>
      <c r="O871" s="656"/>
      <c r="P871" s="657"/>
      <c r="Q871" s="671"/>
      <c r="R871" s="672"/>
      <c r="S871" s="673"/>
      <c r="T871" s="457">
        <f>H868*M871*N868*O868*P868</f>
        <v>0</v>
      </c>
      <c r="U871" s="458">
        <f>T871</f>
        <v>0</v>
      </c>
      <c r="V871" s="42"/>
      <c r="W871" s="39"/>
      <c r="X871" s="41"/>
      <c r="Y871" s="41"/>
      <c r="Z871" s="43">
        <f>T871</f>
        <v>0</v>
      </c>
      <c r="AA871" s="29"/>
      <c r="AB871" s="29"/>
      <c r="AC871" s="29"/>
      <c r="AD871" s="29"/>
    </row>
    <row r="872" spans="1:30" s="488" customFormat="1" ht="41.25" hidden="1" customHeight="1">
      <c r="A872" s="492"/>
      <c r="B872" s="643"/>
      <c r="C872" s="513"/>
      <c r="D872" s="514"/>
      <c r="E872" s="670" t="s">
        <v>31</v>
      </c>
      <c r="F872" s="670"/>
      <c r="G872" s="670"/>
      <c r="H872" s="670"/>
      <c r="I872" s="670"/>
      <c r="J872" s="670"/>
      <c r="K872" s="670"/>
      <c r="L872" s="498">
        <f>ROUND((I868+J868+K868)*2.14%,2)</f>
        <v>31.69</v>
      </c>
      <c r="M872" s="459">
        <f>L872</f>
        <v>31.69</v>
      </c>
      <c r="N872" s="655"/>
      <c r="O872" s="656"/>
      <c r="P872" s="657"/>
      <c r="Q872" s="671"/>
      <c r="R872" s="672"/>
      <c r="S872" s="673"/>
      <c r="T872" s="457">
        <f>H868*M872*N868*O868*P868</f>
        <v>0</v>
      </c>
      <c r="U872" s="458">
        <f>T872</f>
        <v>0</v>
      </c>
      <c r="V872" s="42"/>
      <c r="W872" s="41"/>
      <c r="X872" s="39"/>
      <c r="Y872" s="41"/>
      <c r="Z872" s="29"/>
      <c r="AA872" s="43">
        <f>T872</f>
        <v>0</v>
      </c>
      <c r="AB872" s="29"/>
      <c r="AC872" s="29"/>
      <c r="AD872" s="29"/>
    </row>
    <row r="873" spans="1:30" s="488" customFormat="1" ht="41.25" hidden="1" customHeight="1">
      <c r="A873" s="492"/>
      <c r="B873" s="643"/>
      <c r="C873" s="515"/>
      <c r="D873" s="514"/>
      <c r="E873" s="670" t="s">
        <v>376</v>
      </c>
      <c r="F873" s="670"/>
      <c r="G873" s="670"/>
      <c r="H873" s="670"/>
      <c r="I873" s="670"/>
      <c r="J873" s="670"/>
      <c r="K873" s="670"/>
      <c r="L873" s="498">
        <f>ROUND((I868+J868+K868+L871+L872+L876)*3%,2)</f>
        <v>51.18</v>
      </c>
      <c r="M873" s="459">
        <f>L873</f>
        <v>51.18</v>
      </c>
      <c r="N873" s="655"/>
      <c r="O873" s="656"/>
      <c r="P873" s="657"/>
      <c r="Q873" s="671"/>
      <c r="R873" s="672"/>
      <c r="S873" s="673"/>
      <c r="T873" s="457">
        <f>H868*M873*N868*O868*P868</f>
        <v>0</v>
      </c>
      <c r="U873" s="458">
        <f>T873</f>
        <v>0</v>
      </c>
      <c r="V873" s="42"/>
      <c r="W873" s="41"/>
      <c r="X873" s="41"/>
      <c r="Y873" s="39"/>
      <c r="Z873" s="29"/>
      <c r="AA873" s="29"/>
      <c r="AB873" s="43">
        <f>T873</f>
        <v>0</v>
      </c>
      <c r="AC873" s="29"/>
      <c r="AD873" s="29"/>
    </row>
    <row r="874" spans="1:30" s="488" customFormat="1" ht="54.75" hidden="1" customHeight="1">
      <c r="A874" s="492"/>
      <c r="B874" s="643"/>
      <c r="C874" s="515"/>
      <c r="D874" s="514"/>
      <c r="E874" s="670" t="s">
        <v>377</v>
      </c>
      <c r="F874" s="670"/>
      <c r="G874" s="670"/>
      <c r="H874" s="670"/>
      <c r="I874" s="670"/>
      <c r="J874" s="670"/>
      <c r="K874" s="670"/>
      <c r="L874" s="498">
        <f>243.17-K868-L871-L872-L876</f>
        <v>0</v>
      </c>
      <c r="M874" s="459">
        <f>L874</f>
        <v>0</v>
      </c>
      <c r="N874" s="655"/>
      <c r="O874" s="656"/>
      <c r="P874" s="657"/>
      <c r="Q874" s="671"/>
      <c r="R874" s="672"/>
      <c r="S874" s="673"/>
      <c r="T874" s="457">
        <f>H868*M874*N868*O868*P868</f>
        <v>0</v>
      </c>
      <c r="U874" s="458">
        <f>T874</f>
        <v>0</v>
      </c>
      <c r="V874" s="42"/>
      <c r="W874" s="41"/>
      <c r="X874" s="41"/>
      <c r="Y874" s="41"/>
      <c r="Z874" s="44"/>
      <c r="AA874" s="29"/>
      <c r="AB874" s="29"/>
      <c r="AC874" s="44">
        <f>T874</f>
        <v>0</v>
      </c>
      <c r="AD874" s="29"/>
    </row>
    <row r="875" spans="1:30" s="488" customFormat="1" ht="45" hidden="1" customHeight="1">
      <c r="A875" s="492"/>
      <c r="B875" s="643"/>
      <c r="C875" s="515"/>
      <c r="D875" s="514"/>
      <c r="E875" s="674"/>
      <c r="F875" s="675"/>
      <c r="G875" s="675"/>
      <c r="H875" s="675"/>
      <c r="I875" s="675"/>
      <c r="J875" s="675"/>
      <c r="K875" s="675"/>
      <c r="L875" s="675"/>
      <c r="M875" s="676"/>
      <c r="N875" s="655"/>
      <c r="O875" s="656"/>
      <c r="P875" s="657"/>
      <c r="Q875" s="677"/>
      <c r="R875" s="678"/>
      <c r="S875" s="678"/>
      <c r="T875" s="678"/>
      <c r="U875" s="679"/>
      <c r="V875" s="45"/>
      <c r="W875" s="41"/>
      <c r="X875" s="41"/>
      <c r="Y875" s="41"/>
      <c r="Z875" s="29"/>
      <c r="AA875" s="44"/>
      <c r="AB875" s="29"/>
      <c r="AC875" s="29"/>
      <c r="AD875" s="29"/>
    </row>
    <row r="876" spans="1:30" s="488" customFormat="1" ht="45" hidden="1" customHeight="1" thickBot="1">
      <c r="A876" s="492"/>
      <c r="B876" s="644"/>
      <c r="C876" s="516"/>
      <c r="D876" s="517"/>
      <c r="E876" s="680" t="s">
        <v>369</v>
      </c>
      <c r="F876" s="680" t="s">
        <v>306</v>
      </c>
      <c r="G876" s="680"/>
      <c r="H876" s="680"/>
      <c r="I876" s="680"/>
      <c r="J876" s="680"/>
      <c r="K876" s="680"/>
      <c r="L876" s="499">
        <f>ROUND((I868+J868+K868+L871)*3.93%,2)</f>
        <v>63.31</v>
      </c>
      <c r="M876" s="46">
        <f>L876</f>
        <v>63.31</v>
      </c>
      <c r="N876" s="658"/>
      <c r="O876" s="659"/>
      <c r="P876" s="660"/>
      <c r="Q876" s="681"/>
      <c r="R876" s="682"/>
      <c r="S876" s="683"/>
      <c r="T876" s="500">
        <f>H868*M876*N868*O868*P868</f>
        <v>0</v>
      </c>
      <c r="U876" s="47">
        <f>T876</f>
        <v>0</v>
      </c>
      <c r="V876" s="48"/>
      <c r="W876" s="41"/>
      <c r="X876" s="41"/>
      <c r="Y876" s="41"/>
      <c r="Z876" s="29"/>
      <c r="AA876" s="29"/>
      <c r="AB876" s="44"/>
      <c r="AC876" s="29"/>
      <c r="AD876" s="44">
        <f>T876</f>
        <v>0</v>
      </c>
    </row>
    <row r="877" spans="1:30" s="488" customFormat="1" ht="150" hidden="1" customHeight="1" thickBot="1">
      <c r="A877" s="492"/>
      <c r="B877" s="642">
        <v>1</v>
      </c>
      <c r="C877" s="511">
        <v>5</v>
      </c>
      <c r="D877" s="512"/>
      <c r="E877" s="493" t="s">
        <v>541</v>
      </c>
      <c r="F877" s="487" t="s">
        <v>542</v>
      </c>
      <c r="G877" s="645" t="s">
        <v>388</v>
      </c>
      <c r="H877" s="688">
        <v>0</v>
      </c>
      <c r="I877" s="494">
        <v>1735.3</v>
      </c>
      <c r="J877" s="494">
        <v>79.39</v>
      </c>
      <c r="K877" s="494">
        <v>17.95</v>
      </c>
      <c r="L877" s="494">
        <f>SUM(L879:L885)</f>
        <v>309.72000000000003</v>
      </c>
      <c r="M877" s="33">
        <f>SUM(I877:L877)</f>
        <v>2142.36</v>
      </c>
      <c r="N877" s="501">
        <v>1</v>
      </c>
      <c r="O877" s="502">
        <v>1</v>
      </c>
      <c r="P877" s="37">
        <v>1</v>
      </c>
      <c r="Q877" s="34">
        <f>H877*I877*N877*O877*P877</f>
        <v>0</v>
      </c>
      <c r="R877" s="35">
        <f>H877*J877*N877*O877*P877</f>
        <v>0</v>
      </c>
      <c r="S877" s="36">
        <f>H877*K877*N877*O877*P877</f>
        <v>0</v>
      </c>
      <c r="T877" s="36">
        <f>H877*L877*N877*O877*P877</f>
        <v>0</v>
      </c>
      <c r="U877" s="37">
        <f>SUM(Q877:T877)</f>
        <v>0</v>
      </c>
      <c r="V877" s="38">
        <f>(Q877+R877+S877+T881+T882+T883+T885)*'Прогнозная стоимость РСС ИП '!$M$11+T880*'Прогнозная стоимость РСС ИП '!$M$10</f>
        <v>0</v>
      </c>
      <c r="W877" s="39">
        <f>T877</f>
        <v>0</v>
      </c>
      <c r="X877" s="39">
        <f>U877</f>
        <v>0</v>
      </c>
      <c r="Y877" s="39">
        <f>V877</f>
        <v>0</v>
      </c>
      <c r="Z877" s="29"/>
      <c r="AA877" s="29"/>
      <c r="AB877" s="29"/>
      <c r="AC877" s="29"/>
      <c r="AD877" s="29"/>
    </row>
    <row r="878" spans="1:30" s="488" customFormat="1" ht="41.25" hidden="1" customHeight="1">
      <c r="A878" s="492"/>
      <c r="B878" s="643"/>
      <c r="C878" s="513"/>
      <c r="D878" s="514"/>
      <c r="E878" s="495"/>
      <c r="F878" s="496"/>
      <c r="G878" s="646"/>
      <c r="H878" s="688"/>
      <c r="I878" s="649"/>
      <c r="J878" s="650"/>
      <c r="K878" s="650"/>
      <c r="L878" s="650"/>
      <c r="M878" s="651"/>
      <c r="N878" s="652"/>
      <c r="O878" s="653"/>
      <c r="P878" s="654"/>
      <c r="Q878" s="661"/>
      <c r="R878" s="662"/>
      <c r="S878" s="662"/>
      <c r="T878" s="662"/>
      <c r="U878" s="663"/>
      <c r="V878" s="40"/>
      <c r="W878" s="41"/>
      <c r="X878" s="41"/>
      <c r="Y878" s="41"/>
      <c r="Z878" s="29"/>
      <c r="AA878" s="29"/>
      <c r="AB878" s="29"/>
      <c r="AC878" s="29"/>
      <c r="AD878" s="29"/>
    </row>
    <row r="879" spans="1:30" s="488" customFormat="1" ht="41.25" hidden="1" customHeight="1">
      <c r="A879" s="492"/>
      <c r="B879" s="643"/>
      <c r="C879" s="513"/>
      <c r="D879" s="514"/>
      <c r="E879" s="664" t="s">
        <v>29</v>
      </c>
      <c r="F879" s="665"/>
      <c r="G879" s="665"/>
      <c r="H879" s="665"/>
      <c r="I879" s="665"/>
      <c r="J879" s="665"/>
      <c r="K879" s="665"/>
      <c r="L879" s="665"/>
      <c r="M879" s="666"/>
      <c r="N879" s="655"/>
      <c r="O879" s="656"/>
      <c r="P879" s="657"/>
      <c r="Q879" s="667"/>
      <c r="R879" s="689"/>
      <c r="S879" s="689"/>
      <c r="T879" s="689"/>
      <c r="U879" s="690"/>
      <c r="V879" s="42"/>
      <c r="W879" s="41"/>
      <c r="X879" s="41"/>
      <c r="Y879" s="41"/>
      <c r="Z879" s="29"/>
      <c r="AA879" s="29"/>
      <c r="AB879" s="29"/>
      <c r="AC879" s="29"/>
      <c r="AD879" s="29"/>
    </row>
    <row r="880" spans="1:30" s="488" customFormat="1" ht="41.25" hidden="1" customHeight="1">
      <c r="A880" s="492"/>
      <c r="B880" s="643"/>
      <c r="C880" s="513">
        <v>55</v>
      </c>
      <c r="D880" s="514"/>
      <c r="E880" s="670" t="s">
        <v>30</v>
      </c>
      <c r="F880" s="670"/>
      <c r="G880" s="670"/>
      <c r="H880" s="670"/>
      <c r="I880" s="670"/>
      <c r="J880" s="670"/>
      <c r="K880" s="670"/>
      <c r="L880" s="498">
        <v>130.93</v>
      </c>
      <c r="M880" s="459">
        <f>L880</f>
        <v>130.93</v>
      </c>
      <c r="N880" s="655"/>
      <c r="O880" s="656"/>
      <c r="P880" s="657"/>
      <c r="Q880" s="671"/>
      <c r="R880" s="672"/>
      <c r="S880" s="673"/>
      <c r="T880" s="457">
        <f>H877*M880*N877*O877*P877</f>
        <v>0</v>
      </c>
      <c r="U880" s="458">
        <f>T880</f>
        <v>0</v>
      </c>
      <c r="V880" s="42"/>
      <c r="W880" s="39"/>
      <c r="X880" s="41"/>
      <c r="Y880" s="41"/>
      <c r="Z880" s="43">
        <f>T880</f>
        <v>0</v>
      </c>
      <c r="AA880" s="29"/>
      <c r="AB880" s="29"/>
      <c r="AC880" s="29"/>
      <c r="AD880" s="29"/>
    </row>
    <row r="881" spans="1:30" s="488" customFormat="1" ht="41.25" hidden="1" customHeight="1">
      <c r="A881" s="492"/>
      <c r="B881" s="643"/>
      <c r="C881" s="513"/>
      <c r="D881" s="514"/>
      <c r="E881" s="670" t="s">
        <v>31</v>
      </c>
      <c r="F881" s="670"/>
      <c r="G881" s="670"/>
      <c r="H881" s="670"/>
      <c r="I881" s="670"/>
      <c r="J881" s="670"/>
      <c r="K881" s="670"/>
      <c r="L881" s="498">
        <f>ROUND((I877+J877+K877)*2.14%,2)</f>
        <v>39.22</v>
      </c>
      <c r="M881" s="459">
        <f>L881</f>
        <v>39.22</v>
      </c>
      <c r="N881" s="655"/>
      <c r="O881" s="656"/>
      <c r="P881" s="657"/>
      <c r="Q881" s="671"/>
      <c r="R881" s="672"/>
      <c r="S881" s="673"/>
      <c r="T881" s="457">
        <f>H877*M881*N877*O877*P877</f>
        <v>0</v>
      </c>
      <c r="U881" s="458">
        <f>T881</f>
        <v>0</v>
      </c>
      <c r="V881" s="42"/>
      <c r="W881" s="41"/>
      <c r="X881" s="39"/>
      <c r="Y881" s="41"/>
      <c r="Z881" s="29"/>
      <c r="AA881" s="43">
        <f>T881</f>
        <v>0</v>
      </c>
      <c r="AB881" s="29"/>
      <c r="AC881" s="29"/>
      <c r="AD881" s="29"/>
    </row>
    <row r="882" spans="1:30" s="488" customFormat="1" ht="41.25" hidden="1" customHeight="1">
      <c r="A882" s="492"/>
      <c r="B882" s="643"/>
      <c r="C882" s="515"/>
      <c r="D882" s="514"/>
      <c r="E882" s="670" t="s">
        <v>376</v>
      </c>
      <c r="F882" s="670"/>
      <c r="G882" s="670"/>
      <c r="H882" s="670"/>
      <c r="I882" s="670"/>
      <c r="J882" s="670"/>
      <c r="K882" s="670"/>
      <c r="L882" s="498">
        <f>ROUND((I877+J877+K877+L880+L881+L885)*3%,2)</f>
        <v>62.4</v>
      </c>
      <c r="M882" s="459">
        <f>L882</f>
        <v>62.4</v>
      </c>
      <c r="N882" s="655"/>
      <c r="O882" s="656"/>
      <c r="P882" s="657"/>
      <c r="Q882" s="671"/>
      <c r="R882" s="672"/>
      <c r="S882" s="673"/>
      <c r="T882" s="457">
        <f>H877*M882*N877*O877*P877</f>
        <v>0</v>
      </c>
      <c r="U882" s="458">
        <f>T882</f>
        <v>0</v>
      </c>
      <c r="V882" s="42"/>
      <c r="W882" s="41"/>
      <c r="X882" s="41"/>
      <c r="Y882" s="39"/>
      <c r="Z882" s="29"/>
      <c r="AA882" s="29"/>
      <c r="AB882" s="43">
        <f>T882</f>
        <v>0</v>
      </c>
      <c r="AC882" s="29"/>
      <c r="AD882" s="29"/>
    </row>
    <row r="883" spans="1:30" s="488" customFormat="1" ht="54.75" hidden="1" customHeight="1">
      <c r="A883" s="492"/>
      <c r="B883" s="643"/>
      <c r="C883" s="515"/>
      <c r="D883" s="514"/>
      <c r="E883" s="670" t="s">
        <v>377</v>
      </c>
      <c r="F883" s="670"/>
      <c r="G883" s="670"/>
      <c r="H883" s="670"/>
      <c r="I883" s="670"/>
      <c r="J883" s="670"/>
      <c r="K883" s="670"/>
      <c r="L883" s="498">
        <f>265.27-K877-L880-L881-L885</f>
        <v>0</v>
      </c>
      <c r="M883" s="459">
        <f>L883</f>
        <v>0</v>
      </c>
      <c r="N883" s="655"/>
      <c r="O883" s="656"/>
      <c r="P883" s="657"/>
      <c r="Q883" s="671"/>
      <c r="R883" s="672"/>
      <c r="S883" s="673"/>
      <c r="T883" s="457">
        <f>H877*M883*N877*O877*P877</f>
        <v>0</v>
      </c>
      <c r="U883" s="458">
        <f>T883</f>
        <v>0</v>
      </c>
      <c r="V883" s="42"/>
      <c r="W883" s="41"/>
      <c r="X883" s="41"/>
      <c r="Y883" s="41"/>
      <c r="Z883" s="44"/>
      <c r="AA883" s="29"/>
      <c r="AB883" s="29"/>
      <c r="AC883" s="44">
        <f>T883</f>
        <v>0</v>
      </c>
      <c r="AD883" s="29"/>
    </row>
    <row r="884" spans="1:30" s="488" customFormat="1" ht="45" hidden="1" customHeight="1">
      <c r="A884" s="492"/>
      <c r="B884" s="643"/>
      <c r="C884" s="515"/>
      <c r="D884" s="514"/>
      <c r="E884" s="674"/>
      <c r="F884" s="675"/>
      <c r="G884" s="675"/>
      <c r="H884" s="675"/>
      <c r="I884" s="675"/>
      <c r="J884" s="675"/>
      <c r="K884" s="675"/>
      <c r="L884" s="675"/>
      <c r="M884" s="676"/>
      <c r="N884" s="655"/>
      <c r="O884" s="656"/>
      <c r="P884" s="657"/>
      <c r="Q884" s="677"/>
      <c r="R884" s="678"/>
      <c r="S884" s="678"/>
      <c r="T884" s="678"/>
      <c r="U884" s="679"/>
      <c r="V884" s="45"/>
      <c r="W884" s="41"/>
      <c r="X884" s="41"/>
      <c r="Y884" s="41"/>
      <c r="Z884" s="29"/>
      <c r="AA884" s="44"/>
      <c r="AB884" s="29"/>
      <c r="AC884" s="29"/>
      <c r="AD884" s="29"/>
    </row>
    <row r="885" spans="1:30" s="488" customFormat="1" ht="45" hidden="1" customHeight="1" thickBot="1">
      <c r="A885" s="492"/>
      <c r="B885" s="644"/>
      <c r="C885" s="516"/>
      <c r="D885" s="517"/>
      <c r="E885" s="680" t="s">
        <v>369</v>
      </c>
      <c r="F885" s="680" t="s">
        <v>306</v>
      </c>
      <c r="G885" s="680"/>
      <c r="H885" s="680"/>
      <c r="I885" s="680"/>
      <c r="J885" s="680"/>
      <c r="K885" s="680"/>
      <c r="L885" s="499">
        <f>ROUND((I877+J877+K877+L880)*3.93%,2)</f>
        <v>77.17</v>
      </c>
      <c r="M885" s="46">
        <f>L885</f>
        <v>77.17</v>
      </c>
      <c r="N885" s="658"/>
      <c r="O885" s="659"/>
      <c r="P885" s="660"/>
      <c r="Q885" s="681"/>
      <c r="R885" s="682"/>
      <c r="S885" s="683"/>
      <c r="T885" s="500">
        <f>H877*M885*N877*O877*P877</f>
        <v>0</v>
      </c>
      <c r="U885" s="47">
        <f>T885</f>
        <v>0</v>
      </c>
      <c r="V885" s="48"/>
      <c r="W885" s="41"/>
      <c r="X885" s="41"/>
      <c r="Y885" s="41"/>
      <c r="Z885" s="29"/>
      <c r="AA885" s="29"/>
      <c r="AB885" s="44"/>
      <c r="AC885" s="29"/>
      <c r="AD885" s="44">
        <f>T885</f>
        <v>0</v>
      </c>
    </row>
    <row r="886" spans="1:30" s="488" customFormat="1" ht="150" hidden="1" customHeight="1" thickBot="1">
      <c r="A886" s="492"/>
      <c r="B886" s="642">
        <v>1</v>
      </c>
      <c r="C886" s="511">
        <v>5</v>
      </c>
      <c r="D886" s="512"/>
      <c r="E886" s="493" t="s">
        <v>543</v>
      </c>
      <c r="F886" s="487" t="s">
        <v>544</v>
      </c>
      <c r="G886" s="645" t="s">
        <v>388</v>
      </c>
      <c r="H886" s="688">
        <v>0</v>
      </c>
      <c r="I886" s="494">
        <v>1914.6</v>
      </c>
      <c r="J886" s="494">
        <v>79.39</v>
      </c>
      <c r="K886" s="494">
        <v>29.31</v>
      </c>
      <c r="L886" s="494">
        <f>SUM(L888:L894)</f>
        <v>327.77000000000004</v>
      </c>
      <c r="M886" s="33">
        <f>SUM(I886:L886)</f>
        <v>2351.0700000000002</v>
      </c>
      <c r="N886" s="501">
        <v>1</v>
      </c>
      <c r="O886" s="502">
        <v>1</v>
      </c>
      <c r="P886" s="37">
        <v>1</v>
      </c>
      <c r="Q886" s="34">
        <f>H886*I886*N886*O886*P886</f>
        <v>0</v>
      </c>
      <c r="R886" s="35">
        <f>H886*J886*N886*O886*P886</f>
        <v>0</v>
      </c>
      <c r="S886" s="36">
        <f>H886*K886*N886*O886*P886</f>
        <v>0</v>
      </c>
      <c r="T886" s="36">
        <f>H886*L886*N886*O886*P886</f>
        <v>0</v>
      </c>
      <c r="U886" s="37">
        <f>SUM(Q886:T886)</f>
        <v>0</v>
      </c>
      <c r="V886" s="38">
        <f>(Q886+R886+S886+T890+T891+T892+T894)*'Прогнозная стоимость РСС ИП '!$M$11+T889*'Прогнозная стоимость РСС ИП '!$M$10</f>
        <v>0</v>
      </c>
      <c r="W886" s="39">
        <f>T886</f>
        <v>0</v>
      </c>
      <c r="X886" s="39">
        <f>U886</f>
        <v>0</v>
      </c>
      <c r="Y886" s="39">
        <f>V886</f>
        <v>0</v>
      </c>
      <c r="Z886" s="29"/>
      <c r="AA886" s="29"/>
      <c r="AB886" s="29"/>
      <c r="AC886" s="29"/>
      <c r="AD886" s="29"/>
    </row>
    <row r="887" spans="1:30" s="488" customFormat="1" ht="41.25" hidden="1" customHeight="1">
      <c r="A887" s="492"/>
      <c r="B887" s="643"/>
      <c r="C887" s="513"/>
      <c r="D887" s="514"/>
      <c r="E887" s="495"/>
      <c r="F887" s="496"/>
      <c r="G887" s="646"/>
      <c r="H887" s="688"/>
      <c r="I887" s="649"/>
      <c r="J887" s="650"/>
      <c r="K887" s="650"/>
      <c r="L887" s="650"/>
      <c r="M887" s="651"/>
      <c r="N887" s="652"/>
      <c r="O887" s="653"/>
      <c r="P887" s="654"/>
      <c r="Q887" s="661"/>
      <c r="R887" s="662"/>
      <c r="S887" s="662"/>
      <c r="T887" s="662"/>
      <c r="U887" s="663"/>
      <c r="V887" s="40"/>
      <c r="W887" s="41"/>
      <c r="X887" s="41"/>
      <c r="Y887" s="41"/>
      <c r="Z887" s="29"/>
      <c r="AA887" s="29"/>
      <c r="AB887" s="29"/>
      <c r="AC887" s="29"/>
      <c r="AD887" s="29"/>
    </row>
    <row r="888" spans="1:30" s="488" customFormat="1" ht="41.25" hidden="1" customHeight="1">
      <c r="A888" s="492"/>
      <c r="B888" s="643"/>
      <c r="C888" s="513"/>
      <c r="D888" s="514"/>
      <c r="E888" s="664" t="s">
        <v>29</v>
      </c>
      <c r="F888" s="665"/>
      <c r="G888" s="665"/>
      <c r="H888" s="665"/>
      <c r="I888" s="665"/>
      <c r="J888" s="665"/>
      <c r="K888" s="665"/>
      <c r="L888" s="665"/>
      <c r="M888" s="666"/>
      <c r="N888" s="655"/>
      <c r="O888" s="656"/>
      <c r="P888" s="657"/>
      <c r="Q888" s="667"/>
      <c r="R888" s="689"/>
      <c r="S888" s="689"/>
      <c r="T888" s="689"/>
      <c r="U888" s="690"/>
      <c r="V888" s="42"/>
      <c r="W888" s="41"/>
      <c r="X888" s="41"/>
      <c r="Y888" s="41"/>
      <c r="Z888" s="29"/>
      <c r="AA888" s="29"/>
      <c r="AB888" s="29"/>
      <c r="AC888" s="29"/>
      <c r="AD888" s="29"/>
    </row>
    <row r="889" spans="1:30" s="488" customFormat="1" ht="41.25" hidden="1" customHeight="1">
      <c r="A889" s="492"/>
      <c r="B889" s="643"/>
      <c r="C889" s="513">
        <v>55</v>
      </c>
      <c r="D889" s="514"/>
      <c r="E889" s="670" t="s">
        <v>30</v>
      </c>
      <c r="F889" s="670"/>
      <c r="G889" s="670"/>
      <c r="H889" s="670"/>
      <c r="I889" s="670"/>
      <c r="J889" s="670"/>
      <c r="K889" s="670"/>
      <c r="L889" s="498">
        <v>131.31</v>
      </c>
      <c r="M889" s="459">
        <f>L889</f>
        <v>131.31</v>
      </c>
      <c r="N889" s="655"/>
      <c r="O889" s="656"/>
      <c r="P889" s="657"/>
      <c r="Q889" s="671"/>
      <c r="R889" s="672"/>
      <c r="S889" s="673"/>
      <c r="T889" s="457">
        <f>H886*M889*N886*O886*P886</f>
        <v>0</v>
      </c>
      <c r="U889" s="458">
        <f>T889</f>
        <v>0</v>
      </c>
      <c r="V889" s="42"/>
      <c r="W889" s="39"/>
      <c r="X889" s="41"/>
      <c r="Y889" s="41"/>
      <c r="Z889" s="43">
        <f>T889</f>
        <v>0</v>
      </c>
      <c r="AA889" s="29"/>
      <c r="AB889" s="29"/>
      <c r="AC889" s="29"/>
      <c r="AD889" s="29"/>
    </row>
    <row r="890" spans="1:30" s="488" customFormat="1" ht="41.25" hidden="1" customHeight="1">
      <c r="A890" s="492"/>
      <c r="B890" s="643"/>
      <c r="C890" s="513"/>
      <c r="D890" s="514"/>
      <c r="E890" s="670" t="s">
        <v>31</v>
      </c>
      <c r="F890" s="670"/>
      <c r="G890" s="670"/>
      <c r="H890" s="670"/>
      <c r="I890" s="670"/>
      <c r="J890" s="670"/>
      <c r="K890" s="670"/>
      <c r="L890" s="498">
        <f>ROUND((I886+J886+K886)*2.14%,2)</f>
        <v>43.3</v>
      </c>
      <c r="M890" s="459">
        <f>L890</f>
        <v>43.3</v>
      </c>
      <c r="N890" s="655"/>
      <c r="O890" s="656"/>
      <c r="P890" s="657"/>
      <c r="Q890" s="671"/>
      <c r="R890" s="672"/>
      <c r="S890" s="673"/>
      <c r="T890" s="457">
        <f>H886*M890*N886*O886*P886</f>
        <v>0</v>
      </c>
      <c r="U890" s="458">
        <f>T890</f>
        <v>0</v>
      </c>
      <c r="V890" s="42"/>
      <c r="W890" s="41"/>
      <c r="X890" s="39"/>
      <c r="Y890" s="41"/>
      <c r="Z890" s="29"/>
      <c r="AA890" s="43">
        <f>T890</f>
        <v>0</v>
      </c>
      <c r="AB890" s="29"/>
      <c r="AC890" s="29"/>
      <c r="AD890" s="29"/>
    </row>
    <row r="891" spans="1:30" s="488" customFormat="1" ht="41.25" hidden="1" customHeight="1">
      <c r="A891" s="492"/>
      <c r="B891" s="643"/>
      <c r="C891" s="515"/>
      <c r="D891" s="514"/>
      <c r="E891" s="670" t="s">
        <v>376</v>
      </c>
      <c r="F891" s="670"/>
      <c r="G891" s="670"/>
      <c r="H891" s="670"/>
      <c r="I891" s="670"/>
      <c r="J891" s="670"/>
      <c r="K891" s="670"/>
      <c r="L891" s="498">
        <f>ROUND((I886+J886+K886+L889+L890+L894)*3%,2)</f>
        <v>68.48</v>
      </c>
      <c r="M891" s="459">
        <f>L891</f>
        <v>68.48</v>
      </c>
      <c r="N891" s="655"/>
      <c r="O891" s="656"/>
      <c r="P891" s="657"/>
      <c r="Q891" s="671"/>
      <c r="R891" s="672"/>
      <c r="S891" s="673"/>
      <c r="T891" s="457">
        <f>H886*M891*N886*O886*P886</f>
        <v>0</v>
      </c>
      <c r="U891" s="458">
        <f>T891</f>
        <v>0</v>
      </c>
      <c r="V891" s="42"/>
      <c r="W891" s="41"/>
      <c r="X891" s="41"/>
      <c r="Y891" s="39"/>
      <c r="Z891" s="29"/>
      <c r="AA891" s="29"/>
      <c r="AB891" s="43">
        <f>T891</f>
        <v>0</v>
      </c>
      <c r="AC891" s="29"/>
      <c r="AD891" s="29"/>
    </row>
    <row r="892" spans="1:30" s="488" customFormat="1" ht="54.75" hidden="1" customHeight="1">
      <c r="A892" s="492"/>
      <c r="B892" s="643"/>
      <c r="C892" s="515"/>
      <c r="D892" s="514"/>
      <c r="E892" s="670" t="s">
        <v>377</v>
      </c>
      <c r="F892" s="670"/>
      <c r="G892" s="670"/>
      <c r="H892" s="670"/>
      <c r="I892" s="670"/>
      <c r="J892" s="670"/>
      <c r="K892" s="670"/>
      <c r="L892" s="498">
        <f>288.6-K886-L889-L890-L894</f>
        <v>0</v>
      </c>
      <c r="M892" s="459">
        <f>L892</f>
        <v>0</v>
      </c>
      <c r="N892" s="655"/>
      <c r="O892" s="656"/>
      <c r="P892" s="657"/>
      <c r="Q892" s="671"/>
      <c r="R892" s="672"/>
      <c r="S892" s="673"/>
      <c r="T892" s="457">
        <f>H886*M892*N886*O886*P886</f>
        <v>0</v>
      </c>
      <c r="U892" s="458">
        <f>T892</f>
        <v>0</v>
      </c>
      <c r="V892" s="42"/>
      <c r="W892" s="41"/>
      <c r="X892" s="41"/>
      <c r="Y892" s="41"/>
      <c r="Z892" s="44"/>
      <c r="AA892" s="29"/>
      <c r="AB892" s="29"/>
      <c r="AC892" s="44">
        <f>T892</f>
        <v>0</v>
      </c>
      <c r="AD892" s="29"/>
    </row>
    <row r="893" spans="1:30" s="488" customFormat="1" ht="45" hidden="1" customHeight="1">
      <c r="A893" s="492"/>
      <c r="B893" s="643"/>
      <c r="C893" s="515"/>
      <c r="D893" s="514"/>
      <c r="E893" s="674"/>
      <c r="F893" s="675"/>
      <c r="G893" s="675"/>
      <c r="H893" s="675"/>
      <c r="I893" s="675"/>
      <c r="J893" s="675"/>
      <c r="K893" s="675"/>
      <c r="L893" s="675"/>
      <c r="M893" s="676"/>
      <c r="N893" s="655"/>
      <c r="O893" s="656"/>
      <c r="P893" s="657"/>
      <c r="Q893" s="677"/>
      <c r="R893" s="678"/>
      <c r="S893" s="678"/>
      <c r="T893" s="678"/>
      <c r="U893" s="679"/>
      <c r="V893" s="45"/>
      <c r="W893" s="41"/>
      <c r="X893" s="41"/>
      <c r="Y893" s="41"/>
      <c r="Z893" s="29"/>
      <c r="AA893" s="44"/>
      <c r="AB893" s="29"/>
      <c r="AC893" s="29"/>
      <c r="AD893" s="29"/>
    </row>
    <row r="894" spans="1:30" s="488" customFormat="1" ht="45" hidden="1" customHeight="1" thickBot="1">
      <c r="A894" s="492"/>
      <c r="B894" s="644"/>
      <c r="C894" s="516"/>
      <c r="D894" s="517"/>
      <c r="E894" s="680" t="s">
        <v>369</v>
      </c>
      <c r="F894" s="680" t="s">
        <v>306</v>
      </c>
      <c r="G894" s="680"/>
      <c r="H894" s="680"/>
      <c r="I894" s="680"/>
      <c r="J894" s="680"/>
      <c r="K894" s="680"/>
      <c r="L894" s="499">
        <f>ROUND((I886+J886+K886+L889)*3.93%,2)</f>
        <v>84.68</v>
      </c>
      <c r="M894" s="46">
        <f>L894</f>
        <v>84.68</v>
      </c>
      <c r="N894" s="658"/>
      <c r="O894" s="659"/>
      <c r="P894" s="660"/>
      <c r="Q894" s="681"/>
      <c r="R894" s="682"/>
      <c r="S894" s="683"/>
      <c r="T894" s="500">
        <f>H886*M894*N886*O886*P886</f>
        <v>0</v>
      </c>
      <c r="U894" s="47">
        <f>T894</f>
        <v>0</v>
      </c>
      <c r="V894" s="48"/>
      <c r="W894" s="41"/>
      <c r="X894" s="41"/>
      <c r="Y894" s="41"/>
      <c r="Z894" s="29"/>
      <c r="AA894" s="29"/>
      <c r="AB894" s="44"/>
      <c r="AC894" s="29"/>
      <c r="AD894" s="44">
        <f>T894</f>
        <v>0</v>
      </c>
    </row>
    <row r="895" spans="1:30" s="488" customFormat="1" ht="150" hidden="1" customHeight="1" thickBot="1">
      <c r="A895" s="492"/>
      <c r="B895" s="642">
        <v>1</v>
      </c>
      <c r="C895" s="511">
        <v>5</v>
      </c>
      <c r="D895" s="512"/>
      <c r="E895" s="493" t="s">
        <v>545</v>
      </c>
      <c r="F895" s="487" t="s">
        <v>546</v>
      </c>
      <c r="G895" s="645" t="s">
        <v>388</v>
      </c>
      <c r="H895" s="688">
        <v>0</v>
      </c>
      <c r="I895" s="494">
        <v>2602.6</v>
      </c>
      <c r="J895" s="494">
        <v>79.39</v>
      </c>
      <c r="K895" s="494">
        <v>29.31</v>
      </c>
      <c r="L895" s="494">
        <f>SUM(L897:L903)</f>
        <v>392.88</v>
      </c>
      <c r="M895" s="33">
        <f>SUM(I895:L895)</f>
        <v>3104.18</v>
      </c>
      <c r="N895" s="501">
        <v>1</v>
      </c>
      <c r="O895" s="502">
        <v>1</v>
      </c>
      <c r="P895" s="37">
        <v>1</v>
      </c>
      <c r="Q895" s="34">
        <f>H895*I895*N895*O895*P895</f>
        <v>0</v>
      </c>
      <c r="R895" s="35">
        <f>H895*J895*N895*O895*P895</f>
        <v>0</v>
      </c>
      <c r="S895" s="36">
        <f>H895*K895*N895*O895*P895</f>
        <v>0</v>
      </c>
      <c r="T895" s="36">
        <f>H895*L895*N895*O895*P895</f>
        <v>0</v>
      </c>
      <c r="U895" s="37">
        <f>SUM(Q895:T895)</f>
        <v>0</v>
      </c>
      <c r="V895" s="38">
        <f>(Q895+R895+S895+T899+T900+T901+T903)*'Прогнозная стоимость РСС ИП '!$M$11+T898*'Прогнозная стоимость РСС ИП '!$M$10</f>
        <v>0</v>
      </c>
      <c r="W895" s="39">
        <f>T895</f>
        <v>0</v>
      </c>
      <c r="X895" s="39">
        <f>U895</f>
        <v>0</v>
      </c>
      <c r="Y895" s="39">
        <f>V895</f>
        <v>0</v>
      </c>
      <c r="Z895" s="29"/>
      <c r="AA895" s="29"/>
      <c r="AB895" s="29"/>
      <c r="AC895" s="29"/>
      <c r="AD895" s="29"/>
    </row>
    <row r="896" spans="1:30" s="488" customFormat="1" ht="41.25" hidden="1" customHeight="1">
      <c r="A896" s="492"/>
      <c r="B896" s="643"/>
      <c r="C896" s="513"/>
      <c r="D896" s="514"/>
      <c r="E896" s="495"/>
      <c r="F896" s="496"/>
      <c r="G896" s="646"/>
      <c r="H896" s="688"/>
      <c r="I896" s="649"/>
      <c r="J896" s="650"/>
      <c r="K896" s="650"/>
      <c r="L896" s="650"/>
      <c r="M896" s="651"/>
      <c r="N896" s="652"/>
      <c r="O896" s="653"/>
      <c r="P896" s="654"/>
      <c r="Q896" s="661"/>
      <c r="R896" s="662"/>
      <c r="S896" s="662"/>
      <c r="T896" s="662"/>
      <c r="U896" s="663"/>
      <c r="V896" s="40"/>
      <c r="W896" s="41"/>
      <c r="X896" s="41"/>
      <c r="Y896" s="41"/>
      <c r="Z896" s="29"/>
      <c r="AA896" s="29"/>
      <c r="AB896" s="29"/>
      <c r="AC896" s="29"/>
      <c r="AD896" s="29"/>
    </row>
    <row r="897" spans="1:30" s="488" customFormat="1" ht="41.25" hidden="1" customHeight="1">
      <c r="A897" s="492"/>
      <c r="B897" s="643"/>
      <c r="C897" s="513"/>
      <c r="D897" s="514"/>
      <c r="E897" s="664" t="s">
        <v>29</v>
      </c>
      <c r="F897" s="665"/>
      <c r="G897" s="665"/>
      <c r="H897" s="665"/>
      <c r="I897" s="665"/>
      <c r="J897" s="665"/>
      <c r="K897" s="665"/>
      <c r="L897" s="665"/>
      <c r="M897" s="666"/>
      <c r="N897" s="655"/>
      <c r="O897" s="656"/>
      <c r="P897" s="657"/>
      <c r="Q897" s="667"/>
      <c r="R897" s="689"/>
      <c r="S897" s="689"/>
      <c r="T897" s="689"/>
      <c r="U897" s="690"/>
      <c r="V897" s="42"/>
      <c r="W897" s="41"/>
      <c r="X897" s="41"/>
      <c r="Y897" s="41"/>
      <c r="Z897" s="29"/>
      <c r="AA897" s="29"/>
      <c r="AB897" s="29"/>
      <c r="AC897" s="29"/>
      <c r="AD897" s="29"/>
    </row>
    <row r="898" spans="1:30" s="488" customFormat="1" ht="41.25" hidden="1" customHeight="1">
      <c r="A898" s="492"/>
      <c r="B898" s="643"/>
      <c r="C898" s="513">
        <v>55</v>
      </c>
      <c r="D898" s="514"/>
      <c r="E898" s="670" t="s">
        <v>30</v>
      </c>
      <c r="F898" s="670"/>
      <c r="G898" s="670"/>
      <c r="H898" s="670"/>
      <c r="I898" s="670"/>
      <c r="J898" s="670"/>
      <c r="K898" s="670"/>
      <c r="L898" s="498">
        <v>132.68</v>
      </c>
      <c r="M898" s="459">
        <f>L898</f>
        <v>132.68</v>
      </c>
      <c r="N898" s="655"/>
      <c r="O898" s="656"/>
      <c r="P898" s="657"/>
      <c r="Q898" s="671"/>
      <c r="R898" s="672"/>
      <c r="S898" s="673"/>
      <c r="T898" s="457">
        <f>H895*M898*N895*O895*P895</f>
        <v>0</v>
      </c>
      <c r="U898" s="458">
        <f>T898</f>
        <v>0</v>
      </c>
      <c r="V898" s="42"/>
      <c r="W898" s="39"/>
      <c r="X898" s="41"/>
      <c r="Y898" s="41"/>
      <c r="Z898" s="43">
        <f>T898</f>
        <v>0</v>
      </c>
      <c r="AA898" s="29"/>
      <c r="AB898" s="29"/>
      <c r="AC898" s="29"/>
      <c r="AD898" s="29"/>
    </row>
    <row r="899" spans="1:30" s="488" customFormat="1" ht="41.25" hidden="1" customHeight="1">
      <c r="A899" s="492"/>
      <c r="B899" s="643"/>
      <c r="C899" s="513"/>
      <c r="D899" s="514"/>
      <c r="E899" s="670" t="s">
        <v>31</v>
      </c>
      <c r="F899" s="670"/>
      <c r="G899" s="670"/>
      <c r="H899" s="670"/>
      <c r="I899" s="670"/>
      <c r="J899" s="670"/>
      <c r="K899" s="670"/>
      <c r="L899" s="498">
        <f>ROUND((I895+J895+K895)*2.14%,2)</f>
        <v>58.02</v>
      </c>
      <c r="M899" s="459">
        <f>L899</f>
        <v>58.02</v>
      </c>
      <c r="N899" s="655"/>
      <c r="O899" s="656"/>
      <c r="P899" s="657"/>
      <c r="Q899" s="671"/>
      <c r="R899" s="672"/>
      <c r="S899" s="673"/>
      <c r="T899" s="457">
        <f>H895*M899*N895*O895*P895</f>
        <v>0</v>
      </c>
      <c r="U899" s="458">
        <f>T899</f>
        <v>0</v>
      </c>
      <c r="V899" s="42"/>
      <c r="W899" s="41"/>
      <c r="X899" s="39"/>
      <c r="Y899" s="41"/>
      <c r="Z899" s="29"/>
      <c r="AA899" s="43">
        <f>T899</f>
        <v>0</v>
      </c>
      <c r="AB899" s="29"/>
      <c r="AC899" s="29"/>
      <c r="AD899" s="29"/>
    </row>
    <row r="900" spans="1:30" s="488" customFormat="1" ht="41.25" hidden="1" customHeight="1">
      <c r="A900" s="492"/>
      <c r="B900" s="643"/>
      <c r="C900" s="515"/>
      <c r="D900" s="514"/>
      <c r="E900" s="670" t="s">
        <v>376</v>
      </c>
      <c r="F900" s="670"/>
      <c r="G900" s="670"/>
      <c r="H900" s="670"/>
      <c r="I900" s="670"/>
      <c r="J900" s="670"/>
      <c r="K900" s="670"/>
      <c r="L900" s="498">
        <f>ROUND((I895+J895+K895+L898+L899+L903)*3%,2)</f>
        <v>90.41</v>
      </c>
      <c r="M900" s="459">
        <f>L900</f>
        <v>90.41</v>
      </c>
      <c r="N900" s="655"/>
      <c r="O900" s="656"/>
      <c r="P900" s="657"/>
      <c r="Q900" s="671"/>
      <c r="R900" s="672"/>
      <c r="S900" s="673"/>
      <c r="T900" s="457">
        <f>H895*M900*N895*O895*P895</f>
        <v>0</v>
      </c>
      <c r="U900" s="458">
        <f>T900</f>
        <v>0</v>
      </c>
      <c r="V900" s="42"/>
      <c r="W900" s="41"/>
      <c r="X900" s="41"/>
      <c r="Y900" s="39"/>
      <c r="Z900" s="29"/>
      <c r="AA900" s="29"/>
      <c r="AB900" s="43">
        <f>T900</f>
        <v>0</v>
      </c>
      <c r="AC900" s="29"/>
      <c r="AD900" s="29"/>
    </row>
    <row r="901" spans="1:30" s="488" customFormat="1" ht="54.75" hidden="1" customHeight="1">
      <c r="A901" s="492"/>
      <c r="B901" s="643"/>
      <c r="C901" s="515"/>
      <c r="D901" s="514"/>
      <c r="E901" s="670" t="s">
        <v>377</v>
      </c>
      <c r="F901" s="670"/>
      <c r="G901" s="670"/>
      <c r="H901" s="670"/>
      <c r="I901" s="670"/>
      <c r="J901" s="670"/>
      <c r="K901" s="670"/>
      <c r="L901" s="498">
        <f>331.78-K895-L898-L899-L903</f>
        <v>0</v>
      </c>
      <c r="M901" s="459">
        <f>L901</f>
        <v>0</v>
      </c>
      <c r="N901" s="655"/>
      <c r="O901" s="656"/>
      <c r="P901" s="657"/>
      <c r="Q901" s="671"/>
      <c r="R901" s="672"/>
      <c r="S901" s="673"/>
      <c r="T901" s="457">
        <f>H895*M901*N895*O895*P895</f>
        <v>0</v>
      </c>
      <c r="U901" s="458">
        <f>T901</f>
        <v>0</v>
      </c>
      <c r="V901" s="42"/>
      <c r="W901" s="41"/>
      <c r="X901" s="41"/>
      <c r="Y901" s="41"/>
      <c r="Z901" s="44"/>
      <c r="AA901" s="29"/>
      <c r="AB901" s="29"/>
      <c r="AC901" s="44">
        <f>T901</f>
        <v>0</v>
      </c>
      <c r="AD901" s="29"/>
    </row>
    <row r="902" spans="1:30" s="488" customFormat="1" ht="45" hidden="1" customHeight="1">
      <c r="A902" s="492"/>
      <c r="B902" s="643"/>
      <c r="C902" s="515"/>
      <c r="D902" s="514"/>
      <c r="E902" s="674"/>
      <c r="F902" s="675"/>
      <c r="G902" s="675"/>
      <c r="H902" s="675"/>
      <c r="I902" s="675"/>
      <c r="J902" s="675"/>
      <c r="K902" s="675"/>
      <c r="L902" s="675"/>
      <c r="M902" s="676"/>
      <c r="N902" s="655"/>
      <c r="O902" s="656"/>
      <c r="P902" s="657"/>
      <c r="Q902" s="677"/>
      <c r="R902" s="678"/>
      <c r="S902" s="678"/>
      <c r="T902" s="678"/>
      <c r="U902" s="679"/>
      <c r="V902" s="45"/>
      <c r="W902" s="41"/>
      <c r="X902" s="41"/>
      <c r="Y902" s="41"/>
      <c r="Z902" s="29"/>
      <c r="AA902" s="44"/>
      <c r="AB902" s="29"/>
      <c r="AC902" s="29"/>
      <c r="AD902" s="29"/>
    </row>
    <row r="903" spans="1:30" s="488" customFormat="1" ht="45" hidden="1" customHeight="1" thickBot="1">
      <c r="A903" s="492"/>
      <c r="B903" s="644"/>
      <c r="C903" s="516"/>
      <c r="D903" s="517"/>
      <c r="E903" s="680" t="s">
        <v>369</v>
      </c>
      <c r="F903" s="680" t="s">
        <v>306</v>
      </c>
      <c r="G903" s="680"/>
      <c r="H903" s="680"/>
      <c r="I903" s="680"/>
      <c r="J903" s="680"/>
      <c r="K903" s="680"/>
      <c r="L903" s="499">
        <f>ROUND((I895+J895+K895+L898)*3.93%,2)</f>
        <v>111.77</v>
      </c>
      <c r="M903" s="46">
        <f>L903</f>
        <v>111.77</v>
      </c>
      <c r="N903" s="658"/>
      <c r="O903" s="659"/>
      <c r="P903" s="660"/>
      <c r="Q903" s="681"/>
      <c r="R903" s="682"/>
      <c r="S903" s="683"/>
      <c r="T903" s="500">
        <f>H895*M903*N895*O895*P895</f>
        <v>0</v>
      </c>
      <c r="U903" s="47">
        <f>T903</f>
        <v>0</v>
      </c>
      <c r="V903" s="48"/>
      <c r="W903" s="41"/>
      <c r="X903" s="41"/>
      <c r="Y903" s="41"/>
      <c r="Z903" s="29"/>
      <c r="AA903" s="29"/>
      <c r="AB903" s="44"/>
      <c r="AC903" s="29"/>
      <c r="AD903" s="44">
        <f>T903</f>
        <v>0</v>
      </c>
    </row>
    <row r="904" spans="1:30" s="488" customFormat="1" ht="150" hidden="1" customHeight="1" thickBot="1">
      <c r="A904" s="492"/>
      <c r="B904" s="642">
        <v>1</v>
      </c>
      <c r="C904" s="511">
        <v>5</v>
      </c>
      <c r="D904" s="512"/>
      <c r="E904" s="493" t="s">
        <v>547</v>
      </c>
      <c r="F904" s="487" t="s">
        <v>548</v>
      </c>
      <c r="G904" s="645" t="s">
        <v>388</v>
      </c>
      <c r="H904" s="688">
        <v>0</v>
      </c>
      <c r="I904" s="494">
        <v>5843.96</v>
      </c>
      <c r="J904" s="494">
        <v>79.39</v>
      </c>
      <c r="K904" s="494">
        <v>29.31</v>
      </c>
      <c r="L904" s="494">
        <f>SUM(L906:L912)</f>
        <v>699.73</v>
      </c>
      <c r="M904" s="33">
        <f>SUM(I904:L904)</f>
        <v>6652.3900000000012</v>
      </c>
      <c r="N904" s="501">
        <v>1</v>
      </c>
      <c r="O904" s="502">
        <v>1</v>
      </c>
      <c r="P904" s="37">
        <v>1</v>
      </c>
      <c r="Q904" s="34">
        <f>H904*I904*N904*O904*P904</f>
        <v>0</v>
      </c>
      <c r="R904" s="35">
        <f>H904*J904*N904*O904*P904</f>
        <v>0</v>
      </c>
      <c r="S904" s="36">
        <f>H904*K904*N904*O904*P904</f>
        <v>0</v>
      </c>
      <c r="T904" s="36">
        <f>H904*L904*N904*O904*P904</f>
        <v>0</v>
      </c>
      <c r="U904" s="37">
        <f>SUM(Q904:T904)</f>
        <v>0</v>
      </c>
      <c r="V904" s="38">
        <f>(Q904+R904+S904+T908+T909+T910+T912)*'Прогнозная стоимость РСС ИП '!$M$11+T907*'Прогнозная стоимость РСС ИП '!$M$10</f>
        <v>0</v>
      </c>
      <c r="W904" s="39">
        <f>T904</f>
        <v>0</v>
      </c>
      <c r="X904" s="39">
        <f>U904</f>
        <v>0</v>
      </c>
      <c r="Y904" s="39">
        <f>V904</f>
        <v>0</v>
      </c>
      <c r="Z904" s="29"/>
      <c r="AA904" s="29"/>
      <c r="AB904" s="29"/>
      <c r="AC904" s="29"/>
      <c r="AD904" s="29"/>
    </row>
    <row r="905" spans="1:30" s="488" customFormat="1" ht="41.25" hidden="1" customHeight="1">
      <c r="A905" s="492"/>
      <c r="B905" s="643"/>
      <c r="C905" s="513"/>
      <c r="D905" s="514"/>
      <c r="E905" s="495"/>
      <c r="F905" s="496"/>
      <c r="G905" s="646"/>
      <c r="H905" s="688"/>
      <c r="I905" s="649"/>
      <c r="J905" s="650"/>
      <c r="K905" s="650"/>
      <c r="L905" s="650"/>
      <c r="M905" s="651"/>
      <c r="N905" s="652"/>
      <c r="O905" s="653"/>
      <c r="P905" s="654"/>
      <c r="Q905" s="661"/>
      <c r="R905" s="662"/>
      <c r="S905" s="662"/>
      <c r="T905" s="662"/>
      <c r="U905" s="663"/>
      <c r="V905" s="40"/>
      <c r="W905" s="41"/>
      <c r="X905" s="41"/>
      <c r="Y905" s="41"/>
      <c r="Z905" s="29"/>
      <c r="AA905" s="29"/>
      <c r="AB905" s="29"/>
      <c r="AC905" s="29"/>
      <c r="AD905" s="29"/>
    </row>
    <row r="906" spans="1:30" s="488" customFormat="1" ht="41.25" hidden="1" customHeight="1">
      <c r="A906" s="492"/>
      <c r="B906" s="643"/>
      <c r="C906" s="513"/>
      <c r="D906" s="514"/>
      <c r="E906" s="664" t="s">
        <v>29</v>
      </c>
      <c r="F906" s="665"/>
      <c r="G906" s="665"/>
      <c r="H906" s="665"/>
      <c r="I906" s="665"/>
      <c r="J906" s="665"/>
      <c r="K906" s="665"/>
      <c r="L906" s="665"/>
      <c r="M906" s="666"/>
      <c r="N906" s="655"/>
      <c r="O906" s="656"/>
      <c r="P906" s="657"/>
      <c r="Q906" s="667"/>
      <c r="R906" s="689"/>
      <c r="S906" s="689"/>
      <c r="T906" s="689"/>
      <c r="U906" s="690"/>
      <c r="V906" s="42"/>
      <c r="W906" s="41"/>
      <c r="X906" s="41"/>
      <c r="Y906" s="41"/>
      <c r="Z906" s="29"/>
      <c r="AA906" s="29"/>
      <c r="AB906" s="29"/>
      <c r="AC906" s="29"/>
      <c r="AD906" s="29"/>
    </row>
    <row r="907" spans="1:30" s="488" customFormat="1" ht="41.25" hidden="1" customHeight="1">
      <c r="A907" s="492"/>
      <c r="B907" s="643"/>
      <c r="C907" s="513">
        <v>55</v>
      </c>
      <c r="D907" s="514"/>
      <c r="E907" s="670" t="s">
        <v>30</v>
      </c>
      <c r="F907" s="670"/>
      <c r="G907" s="670"/>
      <c r="H907" s="670"/>
      <c r="I907" s="670"/>
      <c r="J907" s="670"/>
      <c r="K907" s="670"/>
      <c r="L907" s="498">
        <v>139.16999999999999</v>
      </c>
      <c r="M907" s="459">
        <f>L907</f>
        <v>139.16999999999999</v>
      </c>
      <c r="N907" s="655"/>
      <c r="O907" s="656"/>
      <c r="P907" s="657"/>
      <c r="Q907" s="671"/>
      <c r="R907" s="672"/>
      <c r="S907" s="673"/>
      <c r="T907" s="457">
        <f>H904*M907*N904*O904*P904</f>
        <v>0</v>
      </c>
      <c r="U907" s="458">
        <f>T907</f>
        <v>0</v>
      </c>
      <c r="V907" s="42"/>
      <c r="W907" s="39"/>
      <c r="X907" s="41"/>
      <c r="Y907" s="41"/>
      <c r="Z907" s="43">
        <f>T907</f>
        <v>0</v>
      </c>
      <c r="AA907" s="29"/>
      <c r="AB907" s="29"/>
      <c r="AC907" s="29"/>
      <c r="AD907" s="29"/>
    </row>
    <row r="908" spans="1:30" s="488" customFormat="1" ht="41.25" hidden="1" customHeight="1">
      <c r="A908" s="492"/>
      <c r="B908" s="643"/>
      <c r="C908" s="513"/>
      <c r="D908" s="514"/>
      <c r="E908" s="670" t="s">
        <v>31</v>
      </c>
      <c r="F908" s="670"/>
      <c r="G908" s="670"/>
      <c r="H908" s="670"/>
      <c r="I908" s="670"/>
      <c r="J908" s="670"/>
      <c r="K908" s="670"/>
      <c r="L908" s="498">
        <f>ROUND((I904+J904+K904)*2.14%,2)</f>
        <v>127.39</v>
      </c>
      <c r="M908" s="459">
        <f>L908</f>
        <v>127.39</v>
      </c>
      <c r="N908" s="655"/>
      <c r="O908" s="656"/>
      <c r="P908" s="657"/>
      <c r="Q908" s="671"/>
      <c r="R908" s="672"/>
      <c r="S908" s="673"/>
      <c r="T908" s="457">
        <f>H904*M908*N904*O904*P904</f>
        <v>0</v>
      </c>
      <c r="U908" s="458">
        <f>T908</f>
        <v>0</v>
      </c>
      <c r="V908" s="42"/>
      <c r="W908" s="41"/>
      <c r="X908" s="39"/>
      <c r="Y908" s="41"/>
      <c r="Z908" s="29"/>
      <c r="AA908" s="43">
        <f>T908</f>
        <v>0</v>
      </c>
      <c r="AB908" s="29"/>
      <c r="AC908" s="29"/>
      <c r="AD908" s="29"/>
    </row>
    <row r="909" spans="1:30" s="488" customFormat="1" ht="41.25" hidden="1" customHeight="1">
      <c r="A909" s="492"/>
      <c r="B909" s="643"/>
      <c r="C909" s="515"/>
      <c r="D909" s="514"/>
      <c r="E909" s="670" t="s">
        <v>376</v>
      </c>
      <c r="F909" s="670"/>
      <c r="G909" s="670"/>
      <c r="H909" s="670"/>
      <c r="I909" s="670"/>
      <c r="J909" s="670"/>
      <c r="K909" s="670"/>
      <c r="L909" s="498">
        <f>ROUND((I904+J904+K904+L907+L908+L912)*3%,2)</f>
        <v>193.76</v>
      </c>
      <c r="M909" s="459">
        <f>L909</f>
        <v>193.76</v>
      </c>
      <c r="N909" s="655"/>
      <c r="O909" s="656"/>
      <c r="P909" s="657"/>
      <c r="Q909" s="671"/>
      <c r="R909" s="672"/>
      <c r="S909" s="673"/>
      <c r="T909" s="457">
        <f>H904*M909*N904*O904*P904</f>
        <v>0</v>
      </c>
      <c r="U909" s="458">
        <f>T909</f>
        <v>0</v>
      </c>
      <c r="V909" s="42"/>
      <c r="W909" s="41"/>
      <c r="X909" s="41"/>
      <c r="Y909" s="39"/>
      <c r="Z909" s="29"/>
      <c r="AA909" s="29"/>
      <c r="AB909" s="43">
        <f>T909</f>
        <v>0</v>
      </c>
      <c r="AC909" s="29"/>
      <c r="AD909" s="29"/>
    </row>
    <row r="910" spans="1:30" s="488" customFormat="1" ht="54.75" hidden="1" customHeight="1">
      <c r="A910" s="492"/>
      <c r="B910" s="643"/>
      <c r="C910" s="515"/>
      <c r="D910" s="514"/>
      <c r="E910" s="670" t="s">
        <v>377</v>
      </c>
      <c r="F910" s="670"/>
      <c r="G910" s="670"/>
      <c r="H910" s="670"/>
      <c r="I910" s="670"/>
      <c r="J910" s="670"/>
      <c r="K910" s="670"/>
      <c r="L910" s="498">
        <f>535.28-K904-L907-L908-L912</f>
        <v>0</v>
      </c>
      <c r="M910" s="459">
        <f>L910</f>
        <v>0</v>
      </c>
      <c r="N910" s="655"/>
      <c r="O910" s="656"/>
      <c r="P910" s="657"/>
      <c r="Q910" s="671"/>
      <c r="R910" s="672"/>
      <c r="S910" s="673"/>
      <c r="T910" s="457">
        <f>H904*M910*N904*O904*P904</f>
        <v>0</v>
      </c>
      <c r="U910" s="458">
        <f>T910</f>
        <v>0</v>
      </c>
      <c r="V910" s="42"/>
      <c r="W910" s="41"/>
      <c r="X910" s="41"/>
      <c r="Y910" s="41"/>
      <c r="Z910" s="44"/>
      <c r="AA910" s="29"/>
      <c r="AB910" s="29"/>
      <c r="AC910" s="44">
        <f>T910</f>
        <v>0</v>
      </c>
      <c r="AD910" s="29"/>
    </row>
    <row r="911" spans="1:30" s="488" customFormat="1" ht="45" hidden="1" customHeight="1">
      <c r="A911" s="492"/>
      <c r="B911" s="643"/>
      <c r="C911" s="515"/>
      <c r="D911" s="514"/>
      <c r="E911" s="674"/>
      <c r="F911" s="675"/>
      <c r="G911" s="675"/>
      <c r="H911" s="675"/>
      <c r="I911" s="675"/>
      <c r="J911" s="675"/>
      <c r="K911" s="675"/>
      <c r="L911" s="675"/>
      <c r="M911" s="676"/>
      <c r="N911" s="655"/>
      <c r="O911" s="656"/>
      <c r="P911" s="657"/>
      <c r="Q911" s="677"/>
      <c r="R911" s="678"/>
      <c r="S911" s="678"/>
      <c r="T911" s="678"/>
      <c r="U911" s="679"/>
      <c r="V911" s="45"/>
      <c r="W911" s="41"/>
      <c r="X911" s="41"/>
      <c r="Y911" s="41"/>
      <c r="Z911" s="29"/>
      <c r="AA911" s="44"/>
      <c r="AB911" s="29"/>
      <c r="AC911" s="29"/>
      <c r="AD911" s="29"/>
    </row>
    <row r="912" spans="1:30" s="488" customFormat="1" ht="45" hidden="1" customHeight="1" thickBot="1">
      <c r="A912" s="492"/>
      <c r="B912" s="644"/>
      <c r="C912" s="516"/>
      <c r="D912" s="517"/>
      <c r="E912" s="680" t="s">
        <v>369</v>
      </c>
      <c r="F912" s="680" t="s">
        <v>306</v>
      </c>
      <c r="G912" s="680"/>
      <c r="H912" s="680"/>
      <c r="I912" s="680"/>
      <c r="J912" s="680"/>
      <c r="K912" s="680"/>
      <c r="L912" s="499">
        <f>ROUND((I904+J904+K904+L907)*3.93%,2)</f>
        <v>239.41</v>
      </c>
      <c r="M912" s="46">
        <f>L912</f>
        <v>239.41</v>
      </c>
      <c r="N912" s="658"/>
      <c r="O912" s="659"/>
      <c r="P912" s="660"/>
      <c r="Q912" s="681"/>
      <c r="R912" s="682"/>
      <c r="S912" s="683"/>
      <c r="T912" s="500">
        <f>H904*M912*N904*O904*P904</f>
        <v>0</v>
      </c>
      <c r="U912" s="47">
        <f>T912</f>
        <v>0</v>
      </c>
      <c r="V912" s="48"/>
      <c r="W912" s="41"/>
      <c r="X912" s="41"/>
      <c r="Y912" s="41"/>
      <c r="Z912" s="29"/>
      <c r="AA912" s="29"/>
      <c r="AB912" s="44"/>
      <c r="AC912" s="29"/>
      <c r="AD912" s="44">
        <f>T912</f>
        <v>0</v>
      </c>
    </row>
    <row r="913" spans="1:30" s="488" customFormat="1" ht="150" hidden="1" customHeight="1">
      <c r="A913" s="492"/>
      <c r="B913" s="642">
        <v>2</v>
      </c>
      <c r="C913" s="511">
        <v>1</v>
      </c>
      <c r="D913" s="512"/>
      <c r="E913" s="493" t="s">
        <v>549</v>
      </c>
      <c r="F913" s="487" t="s">
        <v>550</v>
      </c>
      <c r="G913" s="645" t="s">
        <v>357</v>
      </c>
      <c r="H913" s="712">
        <v>0</v>
      </c>
      <c r="I913" s="494">
        <v>0</v>
      </c>
      <c r="J913" s="494">
        <v>3518.68</v>
      </c>
      <c r="K913" s="494">
        <v>2.78</v>
      </c>
      <c r="L913" s="494">
        <f>SUM(L915:L921)</f>
        <v>642.79000000000008</v>
      </c>
      <c r="M913" s="33">
        <f>SUM(I913:L913)</f>
        <v>4164.25</v>
      </c>
      <c r="N913" s="501">
        <v>1</v>
      </c>
      <c r="O913" s="502">
        <v>1</v>
      </c>
      <c r="P913" s="37">
        <v>1</v>
      </c>
      <c r="Q913" s="34">
        <f>H913*I913*N913*O913*P913</f>
        <v>0</v>
      </c>
      <c r="R913" s="35">
        <f>H913*J913*N913*O913*P913</f>
        <v>0</v>
      </c>
      <c r="S913" s="36">
        <f>H913*K913*N913*O913*P913</f>
        <v>0</v>
      </c>
      <c r="T913" s="36">
        <f>H913*L913*N913*O913*P913</f>
        <v>0</v>
      </c>
      <c r="U913" s="37">
        <f>SUM(Q913:T913)</f>
        <v>0</v>
      </c>
      <c r="V913" s="38">
        <f>(Q913+R913+S913+T917+T918+T919+T921)*'Прогнозная стоимость РСС ИП '!$M$11+T916*'Прогнозная стоимость РСС ИП '!$M$10</f>
        <v>0</v>
      </c>
      <c r="W913" s="39">
        <f>T913</f>
        <v>0</v>
      </c>
      <c r="X913" s="39">
        <f>U913</f>
        <v>0</v>
      </c>
      <c r="Y913" s="39">
        <f>V913</f>
        <v>0</v>
      </c>
      <c r="Z913" s="29"/>
      <c r="AA913" s="29"/>
      <c r="AB913" s="29"/>
      <c r="AC913" s="29"/>
      <c r="AD913" s="29"/>
    </row>
    <row r="914" spans="1:30" s="488" customFormat="1" ht="41.25" hidden="1" customHeight="1">
      <c r="A914" s="492"/>
      <c r="B914" s="643"/>
      <c r="C914" s="513"/>
      <c r="D914" s="514"/>
      <c r="E914" s="495"/>
      <c r="F914" s="496"/>
      <c r="G914" s="646"/>
      <c r="H914" s="713"/>
      <c r="I914" s="649"/>
      <c r="J914" s="650"/>
      <c r="K914" s="650"/>
      <c r="L914" s="650"/>
      <c r="M914" s="651"/>
      <c r="N914" s="652"/>
      <c r="O914" s="653"/>
      <c r="P914" s="654"/>
      <c r="Q914" s="661"/>
      <c r="R914" s="662"/>
      <c r="S914" s="662"/>
      <c r="T914" s="662"/>
      <c r="U914" s="663"/>
      <c r="V914" s="40"/>
      <c r="W914" s="41"/>
      <c r="X914" s="41"/>
      <c r="Y914" s="41"/>
      <c r="Z914" s="29"/>
      <c r="AA914" s="29"/>
      <c r="AB914" s="29"/>
      <c r="AC914" s="29"/>
      <c r="AD914" s="29"/>
    </row>
    <row r="915" spans="1:30" s="488" customFormat="1" ht="41.25" hidden="1" customHeight="1">
      <c r="A915" s="492"/>
      <c r="B915" s="643"/>
      <c r="C915" s="513"/>
      <c r="D915" s="514"/>
      <c r="E915" s="664" t="s">
        <v>29</v>
      </c>
      <c r="F915" s="665"/>
      <c r="G915" s="665"/>
      <c r="H915" s="665"/>
      <c r="I915" s="665"/>
      <c r="J915" s="665"/>
      <c r="K915" s="665"/>
      <c r="L915" s="665"/>
      <c r="M915" s="666"/>
      <c r="N915" s="655"/>
      <c r="O915" s="656"/>
      <c r="P915" s="657"/>
      <c r="Q915" s="667"/>
      <c r="R915" s="689"/>
      <c r="S915" s="689"/>
      <c r="T915" s="689"/>
      <c r="U915" s="690"/>
      <c r="V915" s="42"/>
      <c r="W915" s="41"/>
      <c r="X915" s="41"/>
      <c r="Y915" s="41"/>
      <c r="Z915" s="29"/>
      <c r="AA915" s="29"/>
      <c r="AB915" s="29"/>
      <c r="AC915" s="29"/>
      <c r="AD915" s="29"/>
    </row>
    <row r="916" spans="1:30" s="488" customFormat="1" ht="41.25" hidden="1" customHeight="1">
      <c r="A916" s="492"/>
      <c r="B916" s="643"/>
      <c r="C916" s="513">
        <v>11</v>
      </c>
      <c r="D916" s="514"/>
      <c r="E916" s="670" t="s">
        <v>30</v>
      </c>
      <c r="F916" s="670"/>
      <c r="G916" s="670"/>
      <c r="H916" s="670"/>
      <c r="I916" s="670"/>
      <c r="J916" s="670"/>
      <c r="K916" s="670"/>
      <c r="L916" s="498">
        <v>296.11</v>
      </c>
      <c r="M916" s="459">
        <f>L916</f>
        <v>296.11</v>
      </c>
      <c r="N916" s="655"/>
      <c r="O916" s="656"/>
      <c r="P916" s="657"/>
      <c r="Q916" s="671"/>
      <c r="R916" s="672"/>
      <c r="S916" s="673"/>
      <c r="T916" s="457">
        <f>H913*M916*N913*O913*P913</f>
        <v>0</v>
      </c>
      <c r="U916" s="458">
        <f>T916</f>
        <v>0</v>
      </c>
      <c r="V916" s="42"/>
      <c r="W916" s="39"/>
      <c r="X916" s="41"/>
      <c r="Y916" s="41"/>
      <c r="Z916" s="43">
        <f>T916</f>
        <v>0</v>
      </c>
      <c r="AA916" s="29"/>
      <c r="AB916" s="29"/>
      <c r="AC916" s="29"/>
      <c r="AD916" s="29"/>
    </row>
    <row r="917" spans="1:30" s="488" customFormat="1" ht="41.25" hidden="1" customHeight="1">
      <c r="A917" s="492"/>
      <c r="B917" s="643"/>
      <c r="C917" s="513"/>
      <c r="D917" s="514"/>
      <c r="E917" s="670" t="s">
        <v>31</v>
      </c>
      <c r="F917" s="670"/>
      <c r="G917" s="670"/>
      <c r="H917" s="670"/>
      <c r="I917" s="670"/>
      <c r="J917" s="670"/>
      <c r="K917" s="670"/>
      <c r="L917" s="498">
        <f>ROUND((I913+J913+K913)*2.14%,2)</f>
        <v>75.36</v>
      </c>
      <c r="M917" s="459">
        <f>L917</f>
        <v>75.36</v>
      </c>
      <c r="N917" s="655"/>
      <c r="O917" s="656"/>
      <c r="P917" s="657"/>
      <c r="Q917" s="671"/>
      <c r="R917" s="672"/>
      <c r="S917" s="673"/>
      <c r="T917" s="457">
        <f>H913*M917*N913*O913*P913</f>
        <v>0</v>
      </c>
      <c r="U917" s="458">
        <f>T917</f>
        <v>0</v>
      </c>
      <c r="V917" s="42"/>
      <c r="W917" s="41"/>
      <c r="X917" s="39"/>
      <c r="Y917" s="41"/>
      <c r="Z917" s="29"/>
      <c r="AA917" s="43">
        <f>T917</f>
        <v>0</v>
      </c>
      <c r="AB917" s="29"/>
      <c r="AC917" s="29"/>
      <c r="AD917" s="29"/>
    </row>
    <row r="918" spans="1:30" s="488" customFormat="1" ht="41.25" hidden="1" customHeight="1">
      <c r="A918" s="492"/>
      <c r="B918" s="643"/>
      <c r="C918" s="515"/>
      <c r="D918" s="514"/>
      <c r="E918" s="670" t="s">
        <v>376</v>
      </c>
      <c r="F918" s="670"/>
      <c r="G918" s="670"/>
      <c r="H918" s="670"/>
      <c r="I918" s="670"/>
      <c r="J918" s="670"/>
      <c r="K918" s="670"/>
      <c r="L918" s="498">
        <f>ROUND((I913+J913+K913+L916+L917+L921)*3%,2)</f>
        <v>121.29</v>
      </c>
      <c r="M918" s="459">
        <f>L918</f>
        <v>121.29</v>
      </c>
      <c r="N918" s="655"/>
      <c r="O918" s="656"/>
      <c r="P918" s="657"/>
      <c r="Q918" s="671"/>
      <c r="R918" s="672"/>
      <c r="S918" s="673"/>
      <c r="T918" s="457">
        <f>H913*M918*N913*O913*P913</f>
        <v>0</v>
      </c>
      <c r="U918" s="458">
        <f>T918</f>
        <v>0</v>
      </c>
      <c r="V918" s="42"/>
      <c r="W918" s="41"/>
      <c r="X918" s="41"/>
      <c r="Y918" s="39"/>
      <c r="Z918" s="29"/>
      <c r="AA918" s="29"/>
      <c r="AB918" s="43">
        <f>T918</f>
        <v>0</v>
      </c>
      <c r="AC918" s="29"/>
      <c r="AD918" s="29"/>
    </row>
    <row r="919" spans="1:30" s="488" customFormat="1" ht="54.75" hidden="1" customHeight="1">
      <c r="A919" s="492"/>
      <c r="B919" s="643"/>
      <c r="C919" s="515"/>
      <c r="D919" s="514"/>
      <c r="E919" s="670" t="s">
        <v>377</v>
      </c>
      <c r="F919" s="670"/>
      <c r="G919" s="670"/>
      <c r="H919" s="670"/>
      <c r="I919" s="670"/>
      <c r="J919" s="670"/>
      <c r="K919" s="670"/>
      <c r="L919" s="498">
        <f>524.28-K913-L916-L917-L921</f>
        <v>0</v>
      </c>
      <c r="M919" s="459">
        <f>L919</f>
        <v>0</v>
      </c>
      <c r="N919" s="655"/>
      <c r="O919" s="656"/>
      <c r="P919" s="657"/>
      <c r="Q919" s="671"/>
      <c r="R919" s="672"/>
      <c r="S919" s="673"/>
      <c r="T919" s="457">
        <f>H913*M919*N913*O913*P913</f>
        <v>0</v>
      </c>
      <c r="U919" s="458">
        <f>T919</f>
        <v>0</v>
      </c>
      <c r="V919" s="42"/>
      <c r="W919" s="41"/>
      <c r="X919" s="41"/>
      <c r="Y919" s="41"/>
      <c r="Z919" s="44"/>
      <c r="AA919" s="29"/>
      <c r="AB919" s="29"/>
      <c r="AC919" s="44">
        <f>T919</f>
        <v>0</v>
      </c>
      <c r="AD919" s="29"/>
    </row>
    <row r="920" spans="1:30" s="488" customFormat="1" ht="45" hidden="1" customHeight="1">
      <c r="A920" s="492"/>
      <c r="B920" s="643"/>
      <c r="C920" s="515"/>
      <c r="D920" s="514"/>
      <c r="E920" s="674"/>
      <c r="F920" s="675"/>
      <c r="G920" s="675"/>
      <c r="H920" s="675"/>
      <c r="I920" s="675"/>
      <c r="J920" s="675"/>
      <c r="K920" s="675"/>
      <c r="L920" s="675"/>
      <c r="M920" s="676"/>
      <c r="N920" s="655"/>
      <c r="O920" s="656"/>
      <c r="P920" s="657"/>
      <c r="Q920" s="677"/>
      <c r="R920" s="678"/>
      <c r="S920" s="678"/>
      <c r="T920" s="678"/>
      <c r="U920" s="679"/>
      <c r="V920" s="45"/>
      <c r="W920" s="41"/>
      <c r="X920" s="41"/>
      <c r="Y920" s="41"/>
      <c r="Z920" s="29"/>
      <c r="AA920" s="44"/>
      <c r="AB920" s="29"/>
      <c r="AC920" s="29"/>
      <c r="AD920" s="29"/>
    </row>
    <row r="921" spans="1:30" s="488" customFormat="1" ht="45" hidden="1" customHeight="1" thickBot="1">
      <c r="A921" s="492"/>
      <c r="B921" s="644"/>
      <c r="C921" s="516"/>
      <c r="D921" s="517"/>
      <c r="E921" s="680" t="s">
        <v>369</v>
      </c>
      <c r="F921" s="680" t="s">
        <v>306</v>
      </c>
      <c r="G921" s="680"/>
      <c r="H921" s="680"/>
      <c r="I921" s="680"/>
      <c r="J921" s="680"/>
      <c r="K921" s="680"/>
      <c r="L921" s="499">
        <f>ROUND((I913+J913+K913+L916)*3.93%,2)</f>
        <v>150.03</v>
      </c>
      <c r="M921" s="46">
        <f>L921</f>
        <v>150.03</v>
      </c>
      <c r="N921" s="658"/>
      <c r="O921" s="659"/>
      <c r="P921" s="660"/>
      <c r="Q921" s="681"/>
      <c r="R921" s="682"/>
      <c r="S921" s="683"/>
      <c r="T921" s="500">
        <f>H913*M921*N913*O913*P913</f>
        <v>0</v>
      </c>
      <c r="U921" s="47">
        <f>T921</f>
        <v>0</v>
      </c>
      <c r="V921" s="48"/>
      <c r="W921" s="41"/>
      <c r="X921" s="41"/>
      <c r="Y921" s="41"/>
      <c r="Z921" s="29"/>
      <c r="AA921" s="29"/>
      <c r="AB921" s="44"/>
      <c r="AC921" s="29"/>
      <c r="AD921" s="44">
        <f>T921</f>
        <v>0</v>
      </c>
    </row>
    <row r="922" spans="1:30" s="488" customFormat="1" ht="150" hidden="1" customHeight="1">
      <c r="A922" s="492"/>
      <c r="B922" s="642">
        <v>2</v>
      </c>
      <c r="C922" s="511">
        <v>1</v>
      </c>
      <c r="D922" s="512"/>
      <c r="E922" s="493" t="s">
        <v>551</v>
      </c>
      <c r="F922" s="487" t="s">
        <v>552</v>
      </c>
      <c r="G922" s="645" t="s">
        <v>357</v>
      </c>
      <c r="H922" s="712">
        <v>0</v>
      </c>
      <c r="I922" s="494">
        <v>0</v>
      </c>
      <c r="J922" s="494">
        <v>3709.76</v>
      </c>
      <c r="K922" s="494">
        <v>2.78</v>
      </c>
      <c r="L922" s="494">
        <f>SUM(L924:L930)</f>
        <v>660.89</v>
      </c>
      <c r="M922" s="33">
        <f>SUM(I922:L922)</f>
        <v>4373.43</v>
      </c>
      <c r="N922" s="501">
        <v>1</v>
      </c>
      <c r="O922" s="502">
        <v>1</v>
      </c>
      <c r="P922" s="37">
        <v>1</v>
      </c>
      <c r="Q922" s="34">
        <f>H922*I922*N922*O922*P922</f>
        <v>0</v>
      </c>
      <c r="R922" s="35">
        <f>H922*J922*N922*O922*P922</f>
        <v>0</v>
      </c>
      <c r="S922" s="36">
        <f>H922*K922*N922*O922*P922</f>
        <v>0</v>
      </c>
      <c r="T922" s="36">
        <f>H922*L922*N922*O922*P922</f>
        <v>0</v>
      </c>
      <c r="U922" s="37">
        <f>SUM(Q922:T922)</f>
        <v>0</v>
      </c>
      <c r="V922" s="38">
        <f>(Q922+R922+S922+T926+T927+T928+T930)*'Прогнозная стоимость РСС ИП '!$M$11+T925*'Прогнозная стоимость РСС ИП '!$M$10</f>
        <v>0</v>
      </c>
      <c r="W922" s="39">
        <f>T922</f>
        <v>0</v>
      </c>
      <c r="X922" s="39">
        <f>U922</f>
        <v>0</v>
      </c>
      <c r="Y922" s="39">
        <f>V922</f>
        <v>0</v>
      </c>
      <c r="Z922" s="29"/>
      <c r="AA922" s="29"/>
      <c r="AB922" s="29"/>
      <c r="AC922" s="29"/>
      <c r="AD922" s="29"/>
    </row>
    <row r="923" spans="1:30" s="488" customFormat="1" ht="41.25" hidden="1" customHeight="1">
      <c r="A923" s="492"/>
      <c r="B923" s="643"/>
      <c r="C923" s="513"/>
      <c r="D923" s="514"/>
      <c r="E923" s="495"/>
      <c r="F923" s="496"/>
      <c r="G923" s="646"/>
      <c r="H923" s="713"/>
      <c r="I923" s="649"/>
      <c r="J923" s="650"/>
      <c r="K923" s="650"/>
      <c r="L923" s="650"/>
      <c r="M923" s="651"/>
      <c r="N923" s="652"/>
      <c r="O923" s="653"/>
      <c r="P923" s="654"/>
      <c r="Q923" s="661"/>
      <c r="R923" s="662"/>
      <c r="S923" s="662"/>
      <c r="T923" s="662"/>
      <c r="U923" s="663"/>
      <c r="V923" s="40"/>
      <c r="W923" s="41"/>
      <c r="X923" s="41"/>
      <c r="Y923" s="41"/>
      <c r="Z923" s="29"/>
      <c r="AA923" s="29"/>
      <c r="AB923" s="29"/>
      <c r="AC923" s="29"/>
      <c r="AD923" s="29"/>
    </row>
    <row r="924" spans="1:30" s="488" customFormat="1" ht="41.25" hidden="1" customHeight="1">
      <c r="A924" s="492"/>
      <c r="B924" s="643"/>
      <c r="C924" s="513"/>
      <c r="D924" s="514"/>
      <c r="E924" s="664" t="s">
        <v>29</v>
      </c>
      <c r="F924" s="665"/>
      <c r="G924" s="665"/>
      <c r="H924" s="665"/>
      <c r="I924" s="665"/>
      <c r="J924" s="665"/>
      <c r="K924" s="665"/>
      <c r="L924" s="665"/>
      <c r="M924" s="666"/>
      <c r="N924" s="655"/>
      <c r="O924" s="656"/>
      <c r="P924" s="657"/>
      <c r="Q924" s="667"/>
      <c r="R924" s="689"/>
      <c r="S924" s="689"/>
      <c r="T924" s="689"/>
      <c r="U924" s="690"/>
      <c r="V924" s="42"/>
      <c r="W924" s="41"/>
      <c r="X924" s="41"/>
      <c r="Y924" s="41"/>
      <c r="Z924" s="29"/>
      <c r="AA924" s="29"/>
      <c r="AB924" s="29"/>
      <c r="AC924" s="29"/>
      <c r="AD924" s="29"/>
    </row>
    <row r="925" spans="1:30" s="488" customFormat="1" ht="41.25" hidden="1" customHeight="1">
      <c r="A925" s="492"/>
      <c r="B925" s="643"/>
      <c r="C925" s="513">
        <v>11</v>
      </c>
      <c r="D925" s="514"/>
      <c r="E925" s="670" t="s">
        <v>30</v>
      </c>
      <c r="F925" s="670"/>
      <c r="G925" s="670"/>
      <c r="H925" s="670"/>
      <c r="I925" s="670"/>
      <c r="J925" s="670"/>
      <c r="K925" s="670"/>
      <c r="L925" s="498">
        <v>296.5</v>
      </c>
      <c r="M925" s="459">
        <f>L925</f>
        <v>296.5</v>
      </c>
      <c r="N925" s="655"/>
      <c r="O925" s="656"/>
      <c r="P925" s="657"/>
      <c r="Q925" s="671"/>
      <c r="R925" s="672"/>
      <c r="S925" s="673"/>
      <c r="T925" s="457">
        <f>H922*M925*N922*O922*P922</f>
        <v>0</v>
      </c>
      <c r="U925" s="458">
        <f>T925</f>
        <v>0</v>
      </c>
      <c r="V925" s="42"/>
      <c r="W925" s="39"/>
      <c r="X925" s="41"/>
      <c r="Y925" s="41"/>
      <c r="Z925" s="43">
        <f>T925</f>
        <v>0</v>
      </c>
      <c r="AA925" s="29"/>
      <c r="AB925" s="29"/>
      <c r="AC925" s="29"/>
      <c r="AD925" s="29"/>
    </row>
    <row r="926" spans="1:30" s="488" customFormat="1" ht="41.25" hidden="1" customHeight="1">
      <c r="A926" s="492"/>
      <c r="B926" s="643"/>
      <c r="C926" s="513"/>
      <c r="D926" s="514"/>
      <c r="E926" s="670" t="s">
        <v>31</v>
      </c>
      <c r="F926" s="670"/>
      <c r="G926" s="670"/>
      <c r="H926" s="670"/>
      <c r="I926" s="670"/>
      <c r="J926" s="670"/>
      <c r="K926" s="670"/>
      <c r="L926" s="498">
        <f>ROUND((I922+J922+K922)*2.14%,2)</f>
        <v>79.45</v>
      </c>
      <c r="M926" s="459">
        <f>L926</f>
        <v>79.45</v>
      </c>
      <c r="N926" s="655"/>
      <c r="O926" s="656"/>
      <c r="P926" s="657"/>
      <c r="Q926" s="671"/>
      <c r="R926" s="672"/>
      <c r="S926" s="673"/>
      <c r="T926" s="457">
        <f>H922*M926*N922*O922*P922</f>
        <v>0</v>
      </c>
      <c r="U926" s="458">
        <f>T926</f>
        <v>0</v>
      </c>
      <c r="V926" s="42"/>
      <c r="W926" s="41"/>
      <c r="X926" s="39"/>
      <c r="Y926" s="41"/>
      <c r="Z926" s="29"/>
      <c r="AA926" s="43">
        <f>T926</f>
        <v>0</v>
      </c>
      <c r="AB926" s="29"/>
      <c r="AC926" s="29"/>
      <c r="AD926" s="29"/>
    </row>
    <row r="927" spans="1:30" s="488" customFormat="1" ht="41.25" hidden="1" customHeight="1">
      <c r="A927" s="492"/>
      <c r="B927" s="643"/>
      <c r="C927" s="515"/>
      <c r="D927" s="514"/>
      <c r="E927" s="670" t="s">
        <v>376</v>
      </c>
      <c r="F927" s="670"/>
      <c r="G927" s="670"/>
      <c r="H927" s="670"/>
      <c r="I927" s="670"/>
      <c r="J927" s="670"/>
      <c r="K927" s="670"/>
      <c r="L927" s="498">
        <f>ROUND((I922+J922+K922+L925+L926+L930)*3%,2)</f>
        <v>127.38</v>
      </c>
      <c r="M927" s="459">
        <f>L927</f>
        <v>127.38</v>
      </c>
      <c r="N927" s="655"/>
      <c r="O927" s="656"/>
      <c r="P927" s="657"/>
      <c r="Q927" s="671"/>
      <c r="R927" s="672"/>
      <c r="S927" s="673"/>
      <c r="T927" s="457">
        <f>H922*M927*N922*O922*P922</f>
        <v>0</v>
      </c>
      <c r="U927" s="458">
        <f>T927</f>
        <v>0</v>
      </c>
      <c r="V927" s="42"/>
      <c r="W927" s="41"/>
      <c r="X927" s="41"/>
      <c r="Y927" s="39"/>
      <c r="Z927" s="29"/>
      <c r="AA927" s="29"/>
      <c r="AB927" s="43">
        <f>T927</f>
        <v>0</v>
      </c>
      <c r="AC927" s="29"/>
      <c r="AD927" s="29"/>
    </row>
    <row r="928" spans="1:30" s="488" customFormat="1" ht="54.75" hidden="1" customHeight="1">
      <c r="A928" s="492"/>
      <c r="B928" s="643"/>
      <c r="C928" s="515"/>
      <c r="D928" s="514"/>
      <c r="E928" s="670" t="s">
        <v>377</v>
      </c>
      <c r="F928" s="670"/>
      <c r="G928" s="670"/>
      <c r="H928" s="670"/>
      <c r="I928" s="670"/>
      <c r="J928" s="670"/>
      <c r="K928" s="670"/>
      <c r="L928" s="498">
        <f>536.29-K922-L925-L926-L930</f>
        <v>0</v>
      </c>
      <c r="M928" s="459">
        <f>L928</f>
        <v>0</v>
      </c>
      <c r="N928" s="655"/>
      <c r="O928" s="656"/>
      <c r="P928" s="657"/>
      <c r="Q928" s="671"/>
      <c r="R928" s="672"/>
      <c r="S928" s="673"/>
      <c r="T928" s="457">
        <f>H922*M928*N922*O922*P922</f>
        <v>0</v>
      </c>
      <c r="U928" s="458">
        <f>T928</f>
        <v>0</v>
      </c>
      <c r="V928" s="42"/>
      <c r="W928" s="41"/>
      <c r="X928" s="41"/>
      <c r="Y928" s="41"/>
      <c r="Z928" s="44"/>
      <c r="AA928" s="29"/>
      <c r="AB928" s="29"/>
      <c r="AC928" s="44">
        <f>T928</f>
        <v>0</v>
      </c>
      <c r="AD928" s="29"/>
    </row>
    <row r="929" spans="1:30" s="488" customFormat="1" ht="45" hidden="1" customHeight="1">
      <c r="A929" s="492"/>
      <c r="B929" s="643"/>
      <c r="C929" s="515"/>
      <c r="D929" s="514"/>
      <c r="E929" s="674"/>
      <c r="F929" s="675"/>
      <c r="G929" s="675"/>
      <c r="H929" s="675"/>
      <c r="I929" s="675"/>
      <c r="J929" s="675"/>
      <c r="K929" s="675"/>
      <c r="L929" s="675"/>
      <c r="M929" s="676"/>
      <c r="N929" s="655"/>
      <c r="O929" s="656"/>
      <c r="P929" s="657"/>
      <c r="Q929" s="677"/>
      <c r="R929" s="678"/>
      <c r="S929" s="678"/>
      <c r="T929" s="678"/>
      <c r="U929" s="679"/>
      <c r="V929" s="45"/>
      <c r="W929" s="41"/>
      <c r="X929" s="41"/>
      <c r="Y929" s="41"/>
      <c r="Z929" s="29"/>
      <c r="AA929" s="44"/>
      <c r="AB929" s="29"/>
      <c r="AC929" s="29"/>
      <c r="AD929" s="29"/>
    </row>
    <row r="930" spans="1:30" s="488" customFormat="1" ht="45" hidden="1" customHeight="1" thickBot="1">
      <c r="A930" s="492"/>
      <c r="B930" s="644"/>
      <c r="C930" s="516"/>
      <c r="D930" s="517"/>
      <c r="E930" s="680" t="s">
        <v>369</v>
      </c>
      <c r="F930" s="680" t="s">
        <v>306</v>
      </c>
      <c r="G930" s="680"/>
      <c r="H930" s="680"/>
      <c r="I930" s="680"/>
      <c r="J930" s="680"/>
      <c r="K930" s="680"/>
      <c r="L930" s="499">
        <f>ROUND((I922+J922+K922+L925)*3.93%,2)</f>
        <v>157.56</v>
      </c>
      <c r="M930" s="46">
        <f>L930</f>
        <v>157.56</v>
      </c>
      <c r="N930" s="658"/>
      <c r="O930" s="659"/>
      <c r="P930" s="660"/>
      <c r="Q930" s="681"/>
      <c r="R930" s="682"/>
      <c r="S930" s="683"/>
      <c r="T930" s="500">
        <f>H922*M930*N922*O922*P922</f>
        <v>0</v>
      </c>
      <c r="U930" s="47">
        <f>T930</f>
        <v>0</v>
      </c>
      <c r="V930" s="48"/>
      <c r="W930" s="41"/>
      <c r="X930" s="41"/>
      <c r="Y930" s="41"/>
      <c r="Z930" s="29"/>
      <c r="AA930" s="29"/>
      <c r="AB930" s="44"/>
      <c r="AC930" s="29"/>
      <c r="AD930" s="44">
        <f>T930</f>
        <v>0</v>
      </c>
    </row>
    <row r="931" spans="1:30" s="488" customFormat="1" ht="150" hidden="1" customHeight="1">
      <c r="A931" s="492"/>
      <c r="B931" s="642">
        <v>2</v>
      </c>
      <c r="C931" s="511">
        <v>1</v>
      </c>
      <c r="D931" s="512"/>
      <c r="E931" s="493" t="s">
        <v>553</v>
      </c>
      <c r="F931" s="487" t="s">
        <v>554</v>
      </c>
      <c r="G931" s="645" t="s">
        <v>357</v>
      </c>
      <c r="H931" s="712">
        <v>0</v>
      </c>
      <c r="I931" s="494">
        <v>0</v>
      </c>
      <c r="J931" s="494">
        <v>3897.64</v>
      </c>
      <c r="K931" s="494">
        <v>2.78</v>
      </c>
      <c r="L931" s="494">
        <f>SUM(L933:L939)</f>
        <v>678.66000000000008</v>
      </c>
      <c r="M931" s="33">
        <f>SUM(I931:L931)</f>
        <v>4579.08</v>
      </c>
      <c r="N931" s="501">
        <v>1</v>
      </c>
      <c r="O931" s="502">
        <v>1</v>
      </c>
      <c r="P931" s="37">
        <v>1</v>
      </c>
      <c r="Q931" s="34">
        <f>H931*I931*N931*O931*P931</f>
        <v>0</v>
      </c>
      <c r="R931" s="35">
        <f>H931*J931*N931*O931*P931</f>
        <v>0</v>
      </c>
      <c r="S931" s="36">
        <f>H931*K931*N931*O931*P931</f>
        <v>0</v>
      </c>
      <c r="T931" s="36">
        <f>H931*L931*N931*O931*P931</f>
        <v>0</v>
      </c>
      <c r="U931" s="37">
        <f>SUM(Q931:T931)</f>
        <v>0</v>
      </c>
      <c r="V931" s="38">
        <f>(Q931+R931+S931+T935+T936+T937+T939)*'Прогнозная стоимость РСС ИП '!$M$11+T934*'Прогнозная стоимость РСС ИП '!$M$10</f>
        <v>0</v>
      </c>
      <c r="W931" s="39">
        <f>T931</f>
        <v>0</v>
      </c>
      <c r="X931" s="39">
        <f>U931</f>
        <v>0</v>
      </c>
      <c r="Y931" s="39">
        <f>V931</f>
        <v>0</v>
      </c>
      <c r="Z931" s="29"/>
      <c r="AA931" s="29"/>
      <c r="AB931" s="29"/>
      <c r="AC931" s="29"/>
      <c r="AD931" s="29"/>
    </row>
    <row r="932" spans="1:30" s="488" customFormat="1" ht="41.25" hidden="1" customHeight="1">
      <c r="A932" s="492"/>
      <c r="B932" s="643"/>
      <c r="C932" s="513"/>
      <c r="D932" s="514"/>
      <c r="E932" s="495"/>
      <c r="F932" s="496"/>
      <c r="G932" s="646"/>
      <c r="H932" s="713"/>
      <c r="I932" s="649"/>
      <c r="J932" s="650"/>
      <c r="K932" s="650"/>
      <c r="L932" s="650"/>
      <c r="M932" s="651"/>
      <c r="N932" s="652"/>
      <c r="O932" s="653"/>
      <c r="P932" s="654"/>
      <c r="Q932" s="661"/>
      <c r="R932" s="662"/>
      <c r="S932" s="662"/>
      <c r="T932" s="662"/>
      <c r="U932" s="663"/>
      <c r="V932" s="40"/>
      <c r="W932" s="41"/>
      <c r="X932" s="41"/>
      <c r="Y932" s="41"/>
      <c r="Z932" s="29"/>
      <c r="AA932" s="29"/>
      <c r="AB932" s="29"/>
      <c r="AC932" s="29"/>
      <c r="AD932" s="29"/>
    </row>
    <row r="933" spans="1:30" s="488" customFormat="1" ht="41.25" hidden="1" customHeight="1">
      <c r="A933" s="492"/>
      <c r="B933" s="643"/>
      <c r="C933" s="513"/>
      <c r="D933" s="514"/>
      <c r="E933" s="664" t="s">
        <v>29</v>
      </c>
      <c r="F933" s="665"/>
      <c r="G933" s="665"/>
      <c r="H933" s="665"/>
      <c r="I933" s="665"/>
      <c r="J933" s="665"/>
      <c r="K933" s="665"/>
      <c r="L933" s="665"/>
      <c r="M933" s="666"/>
      <c r="N933" s="655"/>
      <c r="O933" s="656"/>
      <c r="P933" s="657"/>
      <c r="Q933" s="667"/>
      <c r="R933" s="689"/>
      <c r="S933" s="689"/>
      <c r="T933" s="689"/>
      <c r="U933" s="690"/>
      <c r="V933" s="42"/>
      <c r="W933" s="41"/>
      <c r="X933" s="41"/>
      <c r="Y933" s="41"/>
      <c r="Z933" s="29"/>
      <c r="AA933" s="29"/>
      <c r="AB933" s="29"/>
      <c r="AC933" s="29"/>
      <c r="AD933" s="29"/>
    </row>
    <row r="934" spans="1:30" s="488" customFormat="1" ht="41.25" hidden="1" customHeight="1">
      <c r="A934" s="492"/>
      <c r="B934" s="643"/>
      <c r="C934" s="513">
        <v>11</v>
      </c>
      <c r="D934" s="514"/>
      <c r="E934" s="670" t="s">
        <v>30</v>
      </c>
      <c r="F934" s="670"/>
      <c r="G934" s="670"/>
      <c r="H934" s="670"/>
      <c r="I934" s="670"/>
      <c r="J934" s="670"/>
      <c r="K934" s="670"/>
      <c r="L934" s="498">
        <v>296.87</v>
      </c>
      <c r="M934" s="459">
        <f>L934</f>
        <v>296.87</v>
      </c>
      <c r="N934" s="655"/>
      <c r="O934" s="656"/>
      <c r="P934" s="657"/>
      <c r="Q934" s="671"/>
      <c r="R934" s="672"/>
      <c r="S934" s="673"/>
      <c r="T934" s="457">
        <f>H931*M934*N931*O931*P931</f>
        <v>0</v>
      </c>
      <c r="U934" s="458">
        <f>T934</f>
        <v>0</v>
      </c>
      <c r="V934" s="42"/>
      <c r="W934" s="39"/>
      <c r="X934" s="41"/>
      <c r="Y934" s="41"/>
      <c r="Z934" s="43">
        <f>T934</f>
        <v>0</v>
      </c>
      <c r="AA934" s="29"/>
      <c r="AB934" s="29"/>
      <c r="AC934" s="29"/>
      <c r="AD934" s="29"/>
    </row>
    <row r="935" spans="1:30" s="488" customFormat="1" ht="41.25" hidden="1" customHeight="1">
      <c r="A935" s="492"/>
      <c r="B935" s="643"/>
      <c r="C935" s="513"/>
      <c r="D935" s="514"/>
      <c r="E935" s="670" t="s">
        <v>31</v>
      </c>
      <c r="F935" s="670"/>
      <c r="G935" s="670"/>
      <c r="H935" s="670"/>
      <c r="I935" s="670"/>
      <c r="J935" s="670"/>
      <c r="K935" s="670"/>
      <c r="L935" s="498">
        <f>ROUND((I931+J931+K931)*2.14%,2)</f>
        <v>83.47</v>
      </c>
      <c r="M935" s="459">
        <f>L935</f>
        <v>83.47</v>
      </c>
      <c r="N935" s="655"/>
      <c r="O935" s="656"/>
      <c r="P935" s="657"/>
      <c r="Q935" s="671"/>
      <c r="R935" s="672"/>
      <c r="S935" s="673"/>
      <c r="T935" s="457">
        <f>H931*M935*N931*O931*P931</f>
        <v>0</v>
      </c>
      <c r="U935" s="458">
        <f>T935</f>
        <v>0</v>
      </c>
      <c r="V935" s="42"/>
      <c r="W935" s="41"/>
      <c r="X935" s="39"/>
      <c r="Y935" s="41"/>
      <c r="Z935" s="29"/>
      <c r="AA935" s="43">
        <f>T935</f>
        <v>0</v>
      </c>
      <c r="AB935" s="29"/>
      <c r="AC935" s="29"/>
      <c r="AD935" s="29"/>
    </row>
    <row r="936" spans="1:30" s="488" customFormat="1" ht="41.25" hidden="1" customHeight="1">
      <c r="A936" s="492"/>
      <c r="B936" s="643"/>
      <c r="C936" s="515"/>
      <c r="D936" s="514"/>
      <c r="E936" s="670" t="s">
        <v>376</v>
      </c>
      <c r="F936" s="670"/>
      <c r="G936" s="670"/>
      <c r="H936" s="670"/>
      <c r="I936" s="670"/>
      <c r="J936" s="670"/>
      <c r="K936" s="670"/>
      <c r="L936" s="498">
        <f>ROUND((I931+J931+K931+L934+L935+L939)*3%,2)</f>
        <v>133.37</v>
      </c>
      <c r="M936" s="459">
        <f>L936</f>
        <v>133.37</v>
      </c>
      <c r="N936" s="655"/>
      <c r="O936" s="656"/>
      <c r="P936" s="657"/>
      <c r="Q936" s="671"/>
      <c r="R936" s="672"/>
      <c r="S936" s="673"/>
      <c r="T936" s="457">
        <f>H931*M936*N931*O931*P931</f>
        <v>0</v>
      </c>
      <c r="U936" s="458">
        <f>T936</f>
        <v>0</v>
      </c>
      <c r="V936" s="42"/>
      <c r="W936" s="41"/>
      <c r="X936" s="41"/>
      <c r="Y936" s="39"/>
      <c r="Z936" s="29"/>
      <c r="AA936" s="29"/>
      <c r="AB936" s="43">
        <f>T936</f>
        <v>0</v>
      </c>
      <c r="AC936" s="29"/>
      <c r="AD936" s="29"/>
    </row>
    <row r="937" spans="1:30" s="488" customFormat="1" ht="54.75" hidden="1" customHeight="1">
      <c r="A937" s="492"/>
      <c r="B937" s="643"/>
      <c r="C937" s="515"/>
      <c r="D937" s="514"/>
      <c r="E937" s="670" t="s">
        <v>377</v>
      </c>
      <c r="F937" s="670"/>
      <c r="G937" s="670"/>
      <c r="H937" s="670"/>
      <c r="I937" s="670"/>
      <c r="J937" s="670"/>
      <c r="K937" s="670"/>
      <c r="L937" s="498">
        <f>548.07-K931-L934-L935-L939</f>
        <v>0</v>
      </c>
      <c r="M937" s="459">
        <f>L937</f>
        <v>0</v>
      </c>
      <c r="N937" s="655"/>
      <c r="O937" s="656"/>
      <c r="P937" s="657"/>
      <c r="Q937" s="671"/>
      <c r="R937" s="672"/>
      <c r="S937" s="673"/>
      <c r="T937" s="457">
        <f>H931*M937*N931*O931*P931</f>
        <v>0</v>
      </c>
      <c r="U937" s="458">
        <f>T937</f>
        <v>0</v>
      </c>
      <c r="V937" s="42"/>
      <c r="W937" s="41"/>
      <c r="X937" s="41"/>
      <c r="Y937" s="41"/>
      <c r="Z937" s="44"/>
      <c r="AA937" s="29"/>
      <c r="AB937" s="29"/>
      <c r="AC937" s="44">
        <f>T937</f>
        <v>0</v>
      </c>
      <c r="AD937" s="29"/>
    </row>
    <row r="938" spans="1:30" s="488" customFormat="1" ht="45" hidden="1" customHeight="1">
      <c r="A938" s="492"/>
      <c r="B938" s="643"/>
      <c r="C938" s="515"/>
      <c r="D938" s="514"/>
      <c r="E938" s="674"/>
      <c r="F938" s="675"/>
      <c r="G938" s="675"/>
      <c r="H938" s="675"/>
      <c r="I938" s="675"/>
      <c r="J938" s="675"/>
      <c r="K938" s="675"/>
      <c r="L938" s="675"/>
      <c r="M938" s="676"/>
      <c r="N938" s="655"/>
      <c r="O938" s="656"/>
      <c r="P938" s="657"/>
      <c r="Q938" s="677"/>
      <c r="R938" s="678"/>
      <c r="S938" s="678"/>
      <c r="T938" s="678"/>
      <c r="U938" s="679"/>
      <c r="V938" s="45"/>
      <c r="W938" s="41"/>
      <c r="X938" s="41"/>
      <c r="Y938" s="41"/>
      <c r="Z938" s="29"/>
      <c r="AA938" s="44"/>
      <c r="AB938" s="29"/>
      <c r="AC938" s="29"/>
      <c r="AD938" s="29"/>
    </row>
    <row r="939" spans="1:30" s="488" customFormat="1" ht="45" hidden="1" customHeight="1" thickBot="1">
      <c r="A939" s="492"/>
      <c r="B939" s="644"/>
      <c r="C939" s="516"/>
      <c r="D939" s="517"/>
      <c r="E939" s="680" t="s">
        <v>369</v>
      </c>
      <c r="F939" s="680" t="s">
        <v>306</v>
      </c>
      <c r="G939" s="680"/>
      <c r="H939" s="680"/>
      <c r="I939" s="680"/>
      <c r="J939" s="680"/>
      <c r="K939" s="680"/>
      <c r="L939" s="499">
        <f>ROUND((I931+J931+K931+L934)*3.93%,2)</f>
        <v>164.95</v>
      </c>
      <c r="M939" s="46">
        <f>L939</f>
        <v>164.95</v>
      </c>
      <c r="N939" s="658"/>
      <c r="O939" s="659"/>
      <c r="P939" s="660"/>
      <c r="Q939" s="681"/>
      <c r="R939" s="682"/>
      <c r="S939" s="683"/>
      <c r="T939" s="500">
        <f>H931*M939*N931*O931*P931</f>
        <v>0</v>
      </c>
      <c r="U939" s="47">
        <f>T939</f>
        <v>0</v>
      </c>
      <c r="V939" s="48"/>
      <c r="W939" s="41"/>
      <c r="X939" s="41"/>
      <c r="Y939" s="41"/>
      <c r="Z939" s="29"/>
      <c r="AA939" s="29"/>
      <c r="AB939" s="44"/>
      <c r="AC939" s="29"/>
      <c r="AD939" s="44">
        <f>T939</f>
        <v>0</v>
      </c>
    </row>
    <row r="940" spans="1:30" s="488" customFormat="1" ht="150" hidden="1" customHeight="1">
      <c r="A940" s="492"/>
      <c r="B940" s="642">
        <v>2</v>
      </c>
      <c r="C940" s="511">
        <v>1</v>
      </c>
      <c r="D940" s="512"/>
      <c r="E940" s="493" t="s">
        <v>555</v>
      </c>
      <c r="F940" s="487" t="s">
        <v>556</v>
      </c>
      <c r="G940" s="645" t="s">
        <v>357</v>
      </c>
      <c r="H940" s="712">
        <v>0</v>
      </c>
      <c r="I940" s="494">
        <v>0</v>
      </c>
      <c r="J940" s="494">
        <v>4126.25</v>
      </c>
      <c r="K940" s="494">
        <v>2.78</v>
      </c>
      <c r="L940" s="494">
        <f>SUM(L942:L948)</f>
        <v>700.31000000000006</v>
      </c>
      <c r="M940" s="33">
        <f>SUM(I940:L940)</f>
        <v>4829.34</v>
      </c>
      <c r="N940" s="501">
        <v>1</v>
      </c>
      <c r="O940" s="502">
        <v>1</v>
      </c>
      <c r="P940" s="37">
        <v>1</v>
      </c>
      <c r="Q940" s="34">
        <f>H940*I940*N940*O940*P940</f>
        <v>0</v>
      </c>
      <c r="R940" s="35">
        <f>H940*J940*N940*O940*P940</f>
        <v>0</v>
      </c>
      <c r="S940" s="36">
        <f>H940*K940*N940*O940*P940</f>
        <v>0</v>
      </c>
      <c r="T940" s="36">
        <f>H940*L940*N940*O940*P940</f>
        <v>0</v>
      </c>
      <c r="U940" s="37">
        <f>SUM(Q940:T940)</f>
        <v>0</v>
      </c>
      <c r="V940" s="38">
        <f>(Q940+R940+S940+T944+T945+T946+T948)*'Прогнозная стоимость РСС ИП '!$M$11+T943*'Прогнозная стоимость РСС ИП '!$M$10</f>
        <v>0</v>
      </c>
      <c r="W940" s="39">
        <f>T940</f>
        <v>0</v>
      </c>
      <c r="X940" s="39">
        <f>U940</f>
        <v>0</v>
      </c>
      <c r="Y940" s="39">
        <f>V940</f>
        <v>0</v>
      </c>
      <c r="Z940" s="29"/>
      <c r="AA940" s="29"/>
      <c r="AB940" s="29"/>
      <c r="AC940" s="29"/>
      <c r="AD940" s="29"/>
    </row>
    <row r="941" spans="1:30" s="488" customFormat="1" ht="41.25" hidden="1" customHeight="1">
      <c r="A941" s="492"/>
      <c r="B941" s="643"/>
      <c r="C941" s="513"/>
      <c r="D941" s="514"/>
      <c r="E941" s="495"/>
      <c r="F941" s="496"/>
      <c r="G941" s="646"/>
      <c r="H941" s="713"/>
      <c r="I941" s="649"/>
      <c r="J941" s="650"/>
      <c r="K941" s="650"/>
      <c r="L941" s="650"/>
      <c r="M941" s="651"/>
      <c r="N941" s="652"/>
      <c r="O941" s="653"/>
      <c r="P941" s="654"/>
      <c r="Q941" s="661"/>
      <c r="R941" s="662"/>
      <c r="S941" s="662"/>
      <c r="T941" s="662"/>
      <c r="U941" s="663"/>
      <c r="V941" s="40"/>
      <c r="W941" s="41"/>
      <c r="X941" s="41"/>
      <c r="Y941" s="41"/>
      <c r="Z941" s="29"/>
      <c r="AA941" s="29"/>
      <c r="AB941" s="29"/>
      <c r="AC941" s="29"/>
      <c r="AD941" s="29"/>
    </row>
    <row r="942" spans="1:30" s="488" customFormat="1" ht="41.25" hidden="1" customHeight="1">
      <c r="A942" s="492"/>
      <c r="B942" s="643"/>
      <c r="C942" s="513"/>
      <c r="D942" s="514"/>
      <c r="E942" s="664" t="s">
        <v>29</v>
      </c>
      <c r="F942" s="665"/>
      <c r="G942" s="665"/>
      <c r="H942" s="665"/>
      <c r="I942" s="665"/>
      <c r="J942" s="665"/>
      <c r="K942" s="665"/>
      <c r="L942" s="665"/>
      <c r="M942" s="666"/>
      <c r="N942" s="655"/>
      <c r="O942" s="656"/>
      <c r="P942" s="657"/>
      <c r="Q942" s="667"/>
      <c r="R942" s="689"/>
      <c r="S942" s="689"/>
      <c r="T942" s="689"/>
      <c r="U942" s="690"/>
      <c r="V942" s="42"/>
      <c r="W942" s="41"/>
      <c r="X942" s="41"/>
      <c r="Y942" s="41"/>
      <c r="Z942" s="29"/>
      <c r="AA942" s="29"/>
      <c r="AB942" s="29"/>
      <c r="AC942" s="29"/>
      <c r="AD942" s="29"/>
    </row>
    <row r="943" spans="1:30" s="488" customFormat="1" ht="41.25" hidden="1" customHeight="1">
      <c r="A943" s="492"/>
      <c r="B943" s="643"/>
      <c r="C943" s="513">
        <v>11</v>
      </c>
      <c r="D943" s="514"/>
      <c r="E943" s="670" t="s">
        <v>30</v>
      </c>
      <c r="F943" s="670"/>
      <c r="G943" s="670"/>
      <c r="H943" s="670"/>
      <c r="I943" s="670"/>
      <c r="J943" s="670"/>
      <c r="K943" s="670"/>
      <c r="L943" s="498">
        <v>297.33</v>
      </c>
      <c r="M943" s="459">
        <f>L943</f>
        <v>297.33</v>
      </c>
      <c r="N943" s="655"/>
      <c r="O943" s="656"/>
      <c r="P943" s="657"/>
      <c r="Q943" s="671"/>
      <c r="R943" s="672"/>
      <c r="S943" s="673"/>
      <c r="T943" s="457">
        <f>H940*M943*N940*O940*P940</f>
        <v>0</v>
      </c>
      <c r="U943" s="458">
        <f>T943</f>
        <v>0</v>
      </c>
      <c r="V943" s="42"/>
      <c r="W943" s="39"/>
      <c r="X943" s="41"/>
      <c r="Y943" s="41"/>
      <c r="Z943" s="43">
        <f>T943</f>
        <v>0</v>
      </c>
      <c r="AA943" s="29"/>
      <c r="AB943" s="29"/>
      <c r="AC943" s="29"/>
      <c r="AD943" s="29"/>
    </row>
    <row r="944" spans="1:30" s="488" customFormat="1" ht="41.25" hidden="1" customHeight="1">
      <c r="A944" s="492"/>
      <c r="B944" s="643"/>
      <c r="C944" s="513"/>
      <c r="D944" s="514"/>
      <c r="E944" s="670" t="s">
        <v>31</v>
      </c>
      <c r="F944" s="670"/>
      <c r="G944" s="670"/>
      <c r="H944" s="670"/>
      <c r="I944" s="670"/>
      <c r="J944" s="670"/>
      <c r="K944" s="670"/>
      <c r="L944" s="498">
        <f>ROUND((I940+J940+K940)*2.14%,2)</f>
        <v>88.36</v>
      </c>
      <c r="M944" s="459">
        <f>L944</f>
        <v>88.36</v>
      </c>
      <c r="N944" s="655"/>
      <c r="O944" s="656"/>
      <c r="P944" s="657"/>
      <c r="Q944" s="671"/>
      <c r="R944" s="672"/>
      <c r="S944" s="673"/>
      <c r="T944" s="457">
        <f>H940*M944*N940*O940*P940</f>
        <v>0</v>
      </c>
      <c r="U944" s="458">
        <f>T944</f>
        <v>0</v>
      </c>
      <c r="V944" s="42"/>
      <c r="W944" s="41"/>
      <c r="X944" s="39"/>
      <c r="Y944" s="41"/>
      <c r="Z944" s="29"/>
      <c r="AA944" s="43">
        <f>T944</f>
        <v>0</v>
      </c>
      <c r="AB944" s="29"/>
      <c r="AC944" s="29"/>
      <c r="AD944" s="29"/>
    </row>
    <row r="945" spans="1:30" s="488" customFormat="1" ht="41.25" hidden="1" customHeight="1">
      <c r="A945" s="492"/>
      <c r="B945" s="643"/>
      <c r="C945" s="515"/>
      <c r="D945" s="514"/>
      <c r="E945" s="670" t="s">
        <v>376</v>
      </c>
      <c r="F945" s="670"/>
      <c r="G945" s="670"/>
      <c r="H945" s="670"/>
      <c r="I945" s="670"/>
      <c r="J945" s="670"/>
      <c r="K945" s="670"/>
      <c r="L945" s="498">
        <f>ROUND((I940+J940+K940+L943+L944+L948)*3%,2)</f>
        <v>140.66</v>
      </c>
      <c r="M945" s="459">
        <f>L945</f>
        <v>140.66</v>
      </c>
      <c r="N945" s="655"/>
      <c r="O945" s="656"/>
      <c r="P945" s="657"/>
      <c r="Q945" s="671"/>
      <c r="R945" s="672"/>
      <c r="S945" s="673"/>
      <c r="T945" s="457">
        <f>H940*M945*N940*O940*P940</f>
        <v>0</v>
      </c>
      <c r="U945" s="458">
        <f>T945</f>
        <v>0</v>
      </c>
      <c r="V945" s="42"/>
      <c r="W945" s="41"/>
      <c r="X945" s="41"/>
      <c r="Y945" s="39"/>
      <c r="Z945" s="29"/>
      <c r="AA945" s="29"/>
      <c r="AB945" s="43">
        <f>T945</f>
        <v>0</v>
      </c>
      <c r="AC945" s="29"/>
      <c r="AD945" s="29"/>
    </row>
    <row r="946" spans="1:30" s="488" customFormat="1" ht="54.75" hidden="1" customHeight="1">
      <c r="A946" s="492"/>
      <c r="B946" s="643"/>
      <c r="C946" s="515"/>
      <c r="D946" s="514"/>
      <c r="E946" s="670" t="s">
        <v>377</v>
      </c>
      <c r="F946" s="670"/>
      <c r="G946" s="670"/>
      <c r="H946" s="670"/>
      <c r="I946" s="670"/>
      <c r="J946" s="670"/>
      <c r="K946" s="670"/>
      <c r="L946" s="498">
        <f>562.43-K940-L943-L944-L948</f>
        <v>0</v>
      </c>
      <c r="M946" s="459">
        <f>L946</f>
        <v>0</v>
      </c>
      <c r="N946" s="655"/>
      <c r="O946" s="656"/>
      <c r="P946" s="657"/>
      <c r="Q946" s="671"/>
      <c r="R946" s="672"/>
      <c r="S946" s="673"/>
      <c r="T946" s="457">
        <f>H940*M946*N940*O940*P940</f>
        <v>0</v>
      </c>
      <c r="U946" s="458">
        <f>T946</f>
        <v>0</v>
      </c>
      <c r="V946" s="42"/>
      <c r="W946" s="41"/>
      <c r="X946" s="41"/>
      <c r="Y946" s="41"/>
      <c r="Z946" s="44"/>
      <c r="AA946" s="29"/>
      <c r="AB946" s="29"/>
      <c r="AC946" s="44">
        <f>T946</f>
        <v>0</v>
      </c>
      <c r="AD946" s="29"/>
    </row>
    <row r="947" spans="1:30" s="488" customFormat="1" ht="45" hidden="1" customHeight="1">
      <c r="A947" s="492"/>
      <c r="B947" s="643"/>
      <c r="C947" s="515"/>
      <c r="D947" s="514"/>
      <c r="E947" s="674"/>
      <c r="F947" s="675"/>
      <c r="G947" s="675"/>
      <c r="H947" s="675"/>
      <c r="I947" s="675"/>
      <c r="J947" s="675"/>
      <c r="K947" s="675"/>
      <c r="L947" s="675"/>
      <c r="M947" s="676"/>
      <c r="N947" s="655"/>
      <c r="O947" s="656"/>
      <c r="P947" s="657"/>
      <c r="Q947" s="677"/>
      <c r="R947" s="678"/>
      <c r="S947" s="678"/>
      <c r="T947" s="678"/>
      <c r="U947" s="679"/>
      <c r="V947" s="45"/>
      <c r="W947" s="41"/>
      <c r="X947" s="41"/>
      <c r="Y947" s="41"/>
      <c r="Z947" s="29"/>
      <c r="AA947" s="44"/>
      <c r="AB947" s="29"/>
      <c r="AC947" s="29"/>
      <c r="AD947" s="29"/>
    </row>
    <row r="948" spans="1:30" s="488" customFormat="1" ht="45" hidden="1" customHeight="1" thickBot="1">
      <c r="A948" s="492"/>
      <c r="B948" s="644"/>
      <c r="C948" s="516"/>
      <c r="D948" s="517"/>
      <c r="E948" s="680" t="s">
        <v>369</v>
      </c>
      <c r="F948" s="680" t="s">
        <v>306</v>
      </c>
      <c r="G948" s="680"/>
      <c r="H948" s="680"/>
      <c r="I948" s="680"/>
      <c r="J948" s="680"/>
      <c r="K948" s="680"/>
      <c r="L948" s="499">
        <f>ROUND((I940+J940+K940+L943)*3.93%,2)</f>
        <v>173.96</v>
      </c>
      <c r="M948" s="46">
        <f>L948</f>
        <v>173.96</v>
      </c>
      <c r="N948" s="658"/>
      <c r="O948" s="659"/>
      <c r="P948" s="660"/>
      <c r="Q948" s="681"/>
      <c r="R948" s="682"/>
      <c r="S948" s="683"/>
      <c r="T948" s="500">
        <f>H940*M948*N940*O940*P940</f>
        <v>0</v>
      </c>
      <c r="U948" s="47">
        <f>T948</f>
        <v>0</v>
      </c>
      <c r="V948" s="48"/>
      <c r="W948" s="41"/>
      <c r="X948" s="41"/>
      <c r="Y948" s="41"/>
      <c r="Z948" s="29"/>
      <c r="AA948" s="29"/>
      <c r="AB948" s="44"/>
      <c r="AC948" s="29"/>
      <c r="AD948" s="44">
        <f>T948</f>
        <v>0</v>
      </c>
    </row>
    <row r="949" spans="1:30" s="488" customFormat="1" ht="150" hidden="1" customHeight="1">
      <c r="A949" s="492"/>
      <c r="B949" s="642">
        <v>2</v>
      </c>
      <c r="C949" s="511">
        <v>1</v>
      </c>
      <c r="D949" s="512"/>
      <c r="E949" s="493" t="s">
        <v>557</v>
      </c>
      <c r="F949" s="487" t="s">
        <v>558</v>
      </c>
      <c r="G949" s="645" t="s">
        <v>357</v>
      </c>
      <c r="H949" s="712">
        <v>0</v>
      </c>
      <c r="I949" s="494">
        <v>0</v>
      </c>
      <c r="J949" s="494">
        <v>4489.07</v>
      </c>
      <c r="K949" s="494">
        <v>2.78</v>
      </c>
      <c r="L949" s="494">
        <f>SUM(L951:L957)</f>
        <v>734.66</v>
      </c>
      <c r="M949" s="33">
        <f>SUM(I949:L949)</f>
        <v>5226.5099999999993</v>
      </c>
      <c r="N949" s="501">
        <v>1</v>
      </c>
      <c r="O949" s="502">
        <v>1</v>
      </c>
      <c r="P949" s="37">
        <v>1</v>
      </c>
      <c r="Q949" s="34">
        <f>H949*I949*N949*O949*P949</f>
        <v>0</v>
      </c>
      <c r="R949" s="35">
        <f>H949*J949*N949*O949*P949</f>
        <v>0</v>
      </c>
      <c r="S949" s="36">
        <f>H949*K949*N949*O949*P949</f>
        <v>0</v>
      </c>
      <c r="T949" s="36">
        <f>H949*L949*N949*O949*P949</f>
        <v>0</v>
      </c>
      <c r="U949" s="37">
        <f>SUM(Q949:T949)</f>
        <v>0</v>
      </c>
      <c r="V949" s="38">
        <f>(Q949+R949+S949+T953+T954+T955+T957)*'Прогнозная стоимость РСС ИП '!$M$11+T952*'Прогнозная стоимость РСС ИП '!$M$10</f>
        <v>0</v>
      </c>
      <c r="W949" s="39">
        <f>T949</f>
        <v>0</v>
      </c>
      <c r="X949" s="39">
        <f>U949</f>
        <v>0</v>
      </c>
      <c r="Y949" s="39">
        <f>V949</f>
        <v>0</v>
      </c>
      <c r="Z949" s="29"/>
      <c r="AA949" s="29"/>
      <c r="AB949" s="29"/>
      <c r="AC949" s="29"/>
      <c r="AD949" s="29"/>
    </row>
    <row r="950" spans="1:30" s="488" customFormat="1" ht="41.25" hidden="1" customHeight="1">
      <c r="A950" s="492"/>
      <c r="B950" s="643"/>
      <c r="C950" s="513"/>
      <c r="D950" s="514"/>
      <c r="E950" s="495"/>
      <c r="F950" s="496"/>
      <c r="G950" s="646"/>
      <c r="H950" s="713"/>
      <c r="I950" s="649"/>
      <c r="J950" s="650"/>
      <c r="K950" s="650"/>
      <c r="L950" s="650"/>
      <c r="M950" s="651"/>
      <c r="N950" s="652"/>
      <c r="O950" s="653"/>
      <c r="P950" s="654"/>
      <c r="Q950" s="661"/>
      <c r="R950" s="662"/>
      <c r="S950" s="662"/>
      <c r="T950" s="662"/>
      <c r="U950" s="663"/>
      <c r="V950" s="40"/>
      <c r="W950" s="41"/>
      <c r="X950" s="41"/>
      <c r="Y950" s="41"/>
      <c r="Z950" s="29"/>
      <c r="AA950" s="29"/>
      <c r="AB950" s="29"/>
      <c r="AC950" s="29"/>
      <c r="AD950" s="29"/>
    </row>
    <row r="951" spans="1:30" s="488" customFormat="1" ht="41.25" hidden="1" customHeight="1">
      <c r="A951" s="492"/>
      <c r="B951" s="643"/>
      <c r="C951" s="513"/>
      <c r="D951" s="514"/>
      <c r="E951" s="664" t="s">
        <v>29</v>
      </c>
      <c r="F951" s="665"/>
      <c r="G951" s="665"/>
      <c r="H951" s="665"/>
      <c r="I951" s="665"/>
      <c r="J951" s="665"/>
      <c r="K951" s="665"/>
      <c r="L951" s="665"/>
      <c r="M951" s="666"/>
      <c r="N951" s="655"/>
      <c r="O951" s="656"/>
      <c r="P951" s="657"/>
      <c r="Q951" s="667"/>
      <c r="R951" s="689"/>
      <c r="S951" s="689"/>
      <c r="T951" s="689"/>
      <c r="U951" s="690"/>
      <c r="V951" s="42"/>
      <c r="W951" s="41"/>
      <c r="X951" s="41"/>
      <c r="Y951" s="41"/>
      <c r="Z951" s="29"/>
      <c r="AA951" s="29"/>
      <c r="AB951" s="29"/>
      <c r="AC951" s="29"/>
      <c r="AD951" s="29"/>
    </row>
    <row r="952" spans="1:30" s="488" customFormat="1" ht="41.25" hidden="1" customHeight="1">
      <c r="A952" s="492"/>
      <c r="B952" s="643"/>
      <c r="C952" s="513">
        <v>11</v>
      </c>
      <c r="D952" s="514"/>
      <c r="E952" s="670" t="s">
        <v>30</v>
      </c>
      <c r="F952" s="670"/>
      <c r="G952" s="670"/>
      <c r="H952" s="670"/>
      <c r="I952" s="670"/>
      <c r="J952" s="670"/>
      <c r="K952" s="670"/>
      <c r="L952" s="498">
        <v>298.05</v>
      </c>
      <c r="M952" s="459">
        <f>L952</f>
        <v>298.05</v>
      </c>
      <c r="N952" s="655"/>
      <c r="O952" s="656"/>
      <c r="P952" s="657"/>
      <c r="Q952" s="671"/>
      <c r="R952" s="672"/>
      <c r="S952" s="673"/>
      <c r="T952" s="457">
        <f>H949*M952*N949*O949*P949</f>
        <v>0</v>
      </c>
      <c r="U952" s="458">
        <f>T952</f>
        <v>0</v>
      </c>
      <c r="V952" s="42"/>
      <c r="W952" s="39"/>
      <c r="X952" s="41"/>
      <c r="Y952" s="41"/>
      <c r="Z952" s="43">
        <f>T952</f>
        <v>0</v>
      </c>
      <c r="AA952" s="29"/>
      <c r="AB952" s="29"/>
      <c r="AC952" s="29"/>
      <c r="AD952" s="29"/>
    </row>
    <row r="953" spans="1:30" s="488" customFormat="1" ht="41.25" hidden="1" customHeight="1">
      <c r="A953" s="492"/>
      <c r="B953" s="643"/>
      <c r="C953" s="513"/>
      <c r="D953" s="514"/>
      <c r="E953" s="670" t="s">
        <v>31</v>
      </c>
      <c r="F953" s="670"/>
      <c r="G953" s="670"/>
      <c r="H953" s="670"/>
      <c r="I953" s="670"/>
      <c r="J953" s="670"/>
      <c r="K953" s="670"/>
      <c r="L953" s="498">
        <f>ROUND((I949+J949+K949)*2.14%,2)</f>
        <v>96.13</v>
      </c>
      <c r="M953" s="459">
        <f>L953</f>
        <v>96.13</v>
      </c>
      <c r="N953" s="655"/>
      <c r="O953" s="656"/>
      <c r="P953" s="657"/>
      <c r="Q953" s="671"/>
      <c r="R953" s="672"/>
      <c r="S953" s="673"/>
      <c r="T953" s="457">
        <f>H949*M953*N949*O949*P949</f>
        <v>0</v>
      </c>
      <c r="U953" s="458">
        <f>T953</f>
        <v>0</v>
      </c>
      <c r="V953" s="42"/>
      <c r="W953" s="41"/>
      <c r="X953" s="39"/>
      <c r="Y953" s="41"/>
      <c r="Z953" s="29"/>
      <c r="AA953" s="43">
        <f>T953</f>
        <v>0</v>
      </c>
      <c r="AB953" s="29"/>
      <c r="AC953" s="29"/>
      <c r="AD953" s="29"/>
    </row>
    <row r="954" spans="1:30" s="488" customFormat="1" ht="41.25" hidden="1" customHeight="1">
      <c r="A954" s="492"/>
      <c r="B954" s="643"/>
      <c r="C954" s="515"/>
      <c r="D954" s="514"/>
      <c r="E954" s="670" t="s">
        <v>376</v>
      </c>
      <c r="F954" s="670"/>
      <c r="G954" s="670"/>
      <c r="H954" s="670"/>
      <c r="I954" s="670"/>
      <c r="J954" s="670"/>
      <c r="K954" s="670"/>
      <c r="L954" s="498">
        <f>ROUND((I949+J949+K949+L952+L953+L957)*3%,2)+0.01</f>
        <v>152.23999999999998</v>
      </c>
      <c r="M954" s="459">
        <f>L954</f>
        <v>152.23999999999998</v>
      </c>
      <c r="N954" s="655"/>
      <c r="O954" s="656"/>
      <c r="P954" s="657"/>
      <c r="Q954" s="671"/>
      <c r="R954" s="672"/>
      <c r="S954" s="673"/>
      <c r="T954" s="457">
        <f>H949*M954*N949*O949*P949</f>
        <v>0</v>
      </c>
      <c r="U954" s="458">
        <f>T954</f>
        <v>0</v>
      </c>
      <c r="V954" s="42"/>
      <c r="W954" s="41"/>
      <c r="X954" s="41"/>
      <c r="Y954" s="39"/>
      <c r="Z954" s="29"/>
      <c r="AA954" s="29"/>
      <c r="AB954" s="43">
        <f>T954</f>
        <v>0</v>
      </c>
      <c r="AC954" s="29"/>
      <c r="AD954" s="29"/>
    </row>
    <row r="955" spans="1:30" s="488" customFormat="1" ht="54.75" hidden="1" customHeight="1">
      <c r="A955" s="492"/>
      <c r="B955" s="643"/>
      <c r="C955" s="515"/>
      <c r="D955" s="514"/>
      <c r="E955" s="670" t="s">
        <v>377</v>
      </c>
      <c r="F955" s="670"/>
      <c r="G955" s="670"/>
      <c r="H955" s="670"/>
      <c r="I955" s="670"/>
      <c r="J955" s="670"/>
      <c r="K955" s="670"/>
      <c r="L955" s="498">
        <f>585.2-K949-L952-L953-L957</f>
        <v>0</v>
      </c>
      <c r="M955" s="459">
        <f>L955</f>
        <v>0</v>
      </c>
      <c r="N955" s="655"/>
      <c r="O955" s="656"/>
      <c r="P955" s="657"/>
      <c r="Q955" s="671"/>
      <c r="R955" s="672"/>
      <c r="S955" s="673"/>
      <c r="T955" s="457">
        <f>H949*M955*N949*O949*P949</f>
        <v>0</v>
      </c>
      <c r="U955" s="458">
        <f>T955</f>
        <v>0</v>
      </c>
      <c r="V955" s="42"/>
      <c r="W955" s="41"/>
      <c r="X955" s="41"/>
      <c r="Y955" s="41"/>
      <c r="Z955" s="44"/>
      <c r="AA955" s="29"/>
      <c r="AB955" s="29"/>
      <c r="AC955" s="44">
        <f>T955</f>
        <v>0</v>
      </c>
      <c r="AD955" s="29"/>
    </row>
    <row r="956" spans="1:30" s="488" customFormat="1" ht="45" hidden="1" customHeight="1">
      <c r="A956" s="492"/>
      <c r="B956" s="643"/>
      <c r="C956" s="515"/>
      <c r="D956" s="514"/>
      <c r="E956" s="674"/>
      <c r="F956" s="675"/>
      <c r="G956" s="675"/>
      <c r="H956" s="675"/>
      <c r="I956" s="675"/>
      <c r="J956" s="675"/>
      <c r="K956" s="675"/>
      <c r="L956" s="675"/>
      <c r="M956" s="676"/>
      <c r="N956" s="655"/>
      <c r="O956" s="656"/>
      <c r="P956" s="657"/>
      <c r="Q956" s="677"/>
      <c r="R956" s="678"/>
      <c r="S956" s="678"/>
      <c r="T956" s="678"/>
      <c r="U956" s="679"/>
      <c r="V956" s="45"/>
      <c r="W956" s="41"/>
      <c r="X956" s="41"/>
      <c r="Y956" s="41"/>
      <c r="Z956" s="29"/>
      <c r="AA956" s="44"/>
      <c r="AB956" s="29"/>
      <c r="AC956" s="29"/>
      <c r="AD956" s="29"/>
    </row>
    <row r="957" spans="1:30" s="488" customFormat="1" ht="45" hidden="1" customHeight="1" thickBot="1">
      <c r="A957" s="492"/>
      <c r="B957" s="644"/>
      <c r="C957" s="516"/>
      <c r="D957" s="517"/>
      <c r="E957" s="680" t="s">
        <v>369</v>
      </c>
      <c r="F957" s="680" t="s">
        <v>306</v>
      </c>
      <c r="G957" s="680"/>
      <c r="H957" s="680"/>
      <c r="I957" s="680"/>
      <c r="J957" s="680"/>
      <c r="K957" s="680"/>
      <c r="L957" s="499">
        <f>ROUND((I949+J949+K949+L952)*3.93%,2)</f>
        <v>188.24</v>
      </c>
      <c r="M957" s="46">
        <f>L957</f>
        <v>188.24</v>
      </c>
      <c r="N957" s="658"/>
      <c r="O957" s="659"/>
      <c r="P957" s="660"/>
      <c r="Q957" s="681"/>
      <c r="R957" s="682"/>
      <c r="S957" s="683"/>
      <c r="T957" s="500">
        <f>H949*M957*N949*O949*P949</f>
        <v>0</v>
      </c>
      <c r="U957" s="47">
        <f>T957</f>
        <v>0</v>
      </c>
      <c r="V957" s="48"/>
      <c r="W957" s="41"/>
      <c r="X957" s="41"/>
      <c r="Y957" s="41"/>
      <c r="Z957" s="29"/>
      <c r="AA957" s="29"/>
      <c r="AB957" s="44"/>
      <c r="AC957" s="29"/>
      <c r="AD957" s="44">
        <f>T957</f>
        <v>0</v>
      </c>
    </row>
    <row r="958" spans="1:30" s="488" customFormat="1" ht="150" hidden="1" customHeight="1">
      <c r="A958" s="492"/>
      <c r="B958" s="642">
        <v>2</v>
      </c>
      <c r="C958" s="511">
        <v>1</v>
      </c>
      <c r="D958" s="512"/>
      <c r="E958" s="493" t="s">
        <v>559</v>
      </c>
      <c r="F958" s="487" t="s">
        <v>560</v>
      </c>
      <c r="G958" s="645" t="s">
        <v>357</v>
      </c>
      <c r="H958" s="712">
        <v>0</v>
      </c>
      <c r="I958" s="494">
        <v>0</v>
      </c>
      <c r="J958" s="494">
        <v>4936.17</v>
      </c>
      <c r="K958" s="494">
        <v>2.78</v>
      </c>
      <c r="L958" s="494">
        <f>SUM(L960:L966)</f>
        <v>776.97</v>
      </c>
      <c r="M958" s="33">
        <f>SUM(I958:L958)</f>
        <v>5715.92</v>
      </c>
      <c r="N958" s="501">
        <v>1</v>
      </c>
      <c r="O958" s="502">
        <v>1</v>
      </c>
      <c r="P958" s="37">
        <v>1</v>
      </c>
      <c r="Q958" s="34">
        <f>H958*I958*N958*O958*P958</f>
        <v>0</v>
      </c>
      <c r="R958" s="35">
        <f>H958*J958*N958*O958*P958</f>
        <v>0</v>
      </c>
      <c r="S958" s="36">
        <f>H958*K958*N958*O958*P958</f>
        <v>0</v>
      </c>
      <c r="T958" s="36">
        <f>H958*L958*N958*O958*P958</f>
        <v>0</v>
      </c>
      <c r="U958" s="37">
        <f>SUM(Q958:T958)</f>
        <v>0</v>
      </c>
      <c r="V958" s="38">
        <f>(Q958+R958+S958+T962+T963+T964+T966)*'Прогнозная стоимость РСС ИП '!$M$11+T961*'Прогнозная стоимость РСС ИП '!$M$10</f>
        <v>0</v>
      </c>
      <c r="W958" s="39">
        <f>T958</f>
        <v>0</v>
      </c>
      <c r="X958" s="39">
        <f>U958</f>
        <v>0</v>
      </c>
      <c r="Y958" s="39">
        <f>V958</f>
        <v>0</v>
      </c>
      <c r="Z958" s="29"/>
      <c r="AA958" s="29"/>
      <c r="AB958" s="29"/>
      <c r="AC958" s="29"/>
      <c r="AD958" s="29"/>
    </row>
    <row r="959" spans="1:30" s="488" customFormat="1" ht="41.25" hidden="1" customHeight="1">
      <c r="A959" s="492"/>
      <c r="B959" s="643"/>
      <c r="C959" s="513"/>
      <c r="D959" s="514"/>
      <c r="E959" s="495"/>
      <c r="F959" s="496"/>
      <c r="G959" s="646"/>
      <c r="H959" s="713"/>
      <c r="I959" s="649"/>
      <c r="J959" s="650"/>
      <c r="K959" s="650"/>
      <c r="L959" s="650"/>
      <c r="M959" s="651"/>
      <c r="N959" s="652"/>
      <c r="O959" s="653"/>
      <c r="P959" s="654"/>
      <c r="Q959" s="661"/>
      <c r="R959" s="662"/>
      <c r="S959" s="662"/>
      <c r="T959" s="662"/>
      <c r="U959" s="663"/>
      <c r="V959" s="40"/>
      <c r="W959" s="41"/>
      <c r="X959" s="41"/>
      <c r="Y959" s="41"/>
      <c r="Z959" s="29"/>
      <c r="AA959" s="29"/>
      <c r="AB959" s="29"/>
      <c r="AC959" s="29"/>
      <c r="AD959" s="29"/>
    </row>
    <row r="960" spans="1:30" s="488" customFormat="1" ht="41.25" hidden="1" customHeight="1">
      <c r="A960" s="492"/>
      <c r="B960" s="643"/>
      <c r="C960" s="513"/>
      <c r="D960" s="514"/>
      <c r="E960" s="664" t="s">
        <v>29</v>
      </c>
      <c r="F960" s="665"/>
      <c r="G960" s="665"/>
      <c r="H960" s="665"/>
      <c r="I960" s="665"/>
      <c r="J960" s="665"/>
      <c r="K960" s="665"/>
      <c r="L960" s="665"/>
      <c r="M960" s="666"/>
      <c r="N960" s="655"/>
      <c r="O960" s="656"/>
      <c r="P960" s="657"/>
      <c r="Q960" s="667"/>
      <c r="R960" s="689"/>
      <c r="S960" s="689"/>
      <c r="T960" s="689"/>
      <c r="U960" s="690"/>
      <c r="V960" s="42"/>
      <c r="W960" s="41"/>
      <c r="X960" s="41"/>
      <c r="Y960" s="41"/>
      <c r="Z960" s="29"/>
      <c r="AA960" s="29"/>
      <c r="AB960" s="29"/>
      <c r="AC960" s="29"/>
      <c r="AD960" s="29"/>
    </row>
    <row r="961" spans="1:30" s="488" customFormat="1" ht="41.25" hidden="1" customHeight="1">
      <c r="A961" s="492"/>
      <c r="B961" s="643"/>
      <c r="C961" s="513">
        <v>11</v>
      </c>
      <c r="D961" s="514"/>
      <c r="E961" s="670" t="s">
        <v>30</v>
      </c>
      <c r="F961" s="670"/>
      <c r="G961" s="670"/>
      <c r="H961" s="670"/>
      <c r="I961" s="670"/>
      <c r="J961" s="670"/>
      <c r="K961" s="670"/>
      <c r="L961" s="498">
        <v>298.95</v>
      </c>
      <c r="M961" s="459">
        <f>L961</f>
        <v>298.95</v>
      </c>
      <c r="N961" s="655"/>
      <c r="O961" s="656"/>
      <c r="P961" s="657"/>
      <c r="Q961" s="671"/>
      <c r="R961" s="672"/>
      <c r="S961" s="673"/>
      <c r="T961" s="457">
        <f>H958*M961*N958*O958*P958</f>
        <v>0</v>
      </c>
      <c r="U961" s="458">
        <f>T961</f>
        <v>0</v>
      </c>
      <c r="V961" s="42"/>
      <c r="W961" s="39"/>
      <c r="X961" s="41"/>
      <c r="Y961" s="41"/>
      <c r="Z961" s="43">
        <f>T961</f>
        <v>0</v>
      </c>
      <c r="AA961" s="29"/>
      <c r="AB961" s="29"/>
      <c r="AC961" s="29"/>
      <c r="AD961" s="29"/>
    </row>
    <row r="962" spans="1:30" s="488" customFormat="1" ht="41.25" hidden="1" customHeight="1">
      <c r="A962" s="492"/>
      <c r="B962" s="643"/>
      <c r="C962" s="513"/>
      <c r="D962" s="514"/>
      <c r="E962" s="670" t="s">
        <v>31</v>
      </c>
      <c r="F962" s="670"/>
      <c r="G962" s="670"/>
      <c r="H962" s="670"/>
      <c r="I962" s="670"/>
      <c r="J962" s="670"/>
      <c r="K962" s="670"/>
      <c r="L962" s="498">
        <f>ROUND((I958+J958+K958)*2.14%,2)</f>
        <v>105.69</v>
      </c>
      <c r="M962" s="459">
        <f>L962</f>
        <v>105.69</v>
      </c>
      <c r="N962" s="655"/>
      <c r="O962" s="656"/>
      <c r="P962" s="657"/>
      <c r="Q962" s="671"/>
      <c r="R962" s="672"/>
      <c r="S962" s="673"/>
      <c r="T962" s="457">
        <f>H958*M962*N958*O958*P958</f>
        <v>0</v>
      </c>
      <c r="U962" s="458">
        <f>T962</f>
        <v>0</v>
      </c>
      <c r="V962" s="42"/>
      <c r="W962" s="41"/>
      <c r="X962" s="39"/>
      <c r="Y962" s="41"/>
      <c r="Z962" s="29"/>
      <c r="AA962" s="43">
        <f>T962</f>
        <v>0</v>
      </c>
      <c r="AB962" s="29"/>
      <c r="AC962" s="29"/>
      <c r="AD962" s="29"/>
    </row>
    <row r="963" spans="1:30" s="488" customFormat="1" ht="41.25" hidden="1" customHeight="1">
      <c r="A963" s="492"/>
      <c r="B963" s="643"/>
      <c r="C963" s="515"/>
      <c r="D963" s="514"/>
      <c r="E963" s="670" t="s">
        <v>376</v>
      </c>
      <c r="F963" s="670"/>
      <c r="G963" s="670"/>
      <c r="H963" s="670"/>
      <c r="I963" s="670"/>
      <c r="J963" s="670"/>
      <c r="K963" s="670"/>
      <c r="L963" s="498">
        <f>ROUND((I958+J958+K958+L961+L962+L966)*3%,2)</f>
        <v>166.48</v>
      </c>
      <c r="M963" s="459">
        <f>L963</f>
        <v>166.48</v>
      </c>
      <c r="N963" s="655"/>
      <c r="O963" s="656"/>
      <c r="P963" s="657"/>
      <c r="Q963" s="671"/>
      <c r="R963" s="672"/>
      <c r="S963" s="673"/>
      <c r="T963" s="457">
        <f>H958*M963*N958*O958*P958</f>
        <v>0</v>
      </c>
      <c r="U963" s="458">
        <f>T963</f>
        <v>0</v>
      </c>
      <c r="V963" s="42"/>
      <c r="W963" s="41"/>
      <c r="X963" s="41"/>
      <c r="Y963" s="39"/>
      <c r="Z963" s="29"/>
      <c r="AA963" s="29"/>
      <c r="AB963" s="43">
        <f>T963</f>
        <v>0</v>
      </c>
      <c r="AC963" s="29"/>
      <c r="AD963" s="29"/>
    </row>
    <row r="964" spans="1:30" s="488" customFormat="1" ht="54.75" hidden="1" customHeight="1">
      <c r="A964" s="492"/>
      <c r="B964" s="643"/>
      <c r="C964" s="515"/>
      <c r="D964" s="514"/>
      <c r="E964" s="670" t="s">
        <v>377</v>
      </c>
      <c r="F964" s="670"/>
      <c r="G964" s="670"/>
      <c r="H964" s="670"/>
      <c r="I964" s="670"/>
      <c r="J964" s="670"/>
      <c r="K964" s="670"/>
      <c r="L964" s="498">
        <f>613.27-K958-L961-L962-L966</f>
        <v>0</v>
      </c>
      <c r="M964" s="459">
        <f>L964</f>
        <v>0</v>
      </c>
      <c r="N964" s="655"/>
      <c r="O964" s="656"/>
      <c r="P964" s="657"/>
      <c r="Q964" s="671"/>
      <c r="R964" s="672"/>
      <c r="S964" s="673"/>
      <c r="T964" s="457">
        <f>H958*M964*N958*O958*P958</f>
        <v>0</v>
      </c>
      <c r="U964" s="458">
        <f>T964</f>
        <v>0</v>
      </c>
      <c r="V964" s="42"/>
      <c r="W964" s="41"/>
      <c r="X964" s="41"/>
      <c r="Y964" s="41"/>
      <c r="Z964" s="44"/>
      <c r="AA964" s="29"/>
      <c r="AB964" s="29"/>
      <c r="AC964" s="44">
        <f>T964</f>
        <v>0</v>
      </c>
      <c r="AD964" s="29"/>
    </row>
    <row r="965" spans="1:30" s="488" customFormat="1" ht="45" hidden="1" customHeight="1">
      <c r="A965" s="492"/>
      <c r="B965" s="643"/>
      <c r="C965" s="515"/>
      <c r="D965" s="514"/>
      <c r="E965" s="674"/>
      <c r="F965" s="675"/>
      <c r="G965" s="675"/>
      <c r="H965" s="675"/>
      <c r="I965" s="675"/>
      <c r="J965" s="675"/>
      <c r="K965" s="675"/>
      <c r="L965" s="675"/>
      <c r="M965" s="676"/>
      <c r="N965" s="655"/>
      <c r="O965" s="656"/>
      <c r="P965" s="657"/>
      <c r="Q965" s="677"/>
      <c r="R965" s="678"/>
      <c r="S965" s="678"/>
      <c r="T965" s="678"/>
      <c r="U965" s="679"/>
      <c r="V965" s="45"/>
      <c r="W965" s="41"/>
      <c r="X965" s="41"/>
      <c r="Y965" s="41"/>
      <c r="Z965" s="29"/>
      <c r="AA965" s="44"/>
      <c r="AB965" s="29"/>
      <c r="AC965" s="29"/>
      <c r="AD965" s="29"/>
    </row>
    <row r="966" spans="1:30" s="488" customFormat="1" ht="45" hidden="1" customHeight="1" thickBot="1">
      <c r="A966" s="492"/>
      <c r="B966" s="644"/>
      <c r="C966" s="516"/>
      <c r="D966" s="517"/>
      <c r="E966" s="680" t="s">
        <v>369</v>
      </c>
      <c r="F966" s="680" t="s">
        <v>306</v>
      </c>
      <c r="G966" s="680"/>
      <c r="H966" s="680"/>
      <c r="I966" s="680"/>
      <c r="J966" s="680"/>
      <c r="K966" s="680"/>
      <c r="L966" s="499">
        <f>ROUND((I958+J958+K958+L961)*3.93%,2)</f>
        <v>205.85</v>
      </c>
      <c r="M966" s="46">
        <f>L966</f>
        <v>205.85</v>
      </c>
      <c r="N966" s="658"/>
      <c r="O966" s="659"/>
      <c r="P966" s="660"/>
      <c r="Q966" s="681"/>
      <c r="R966" s="682"/>
      <c r="S966" s="683"/>
      <c r="T966" s="500">
        <f>H958*M966*N958*O958*P958</f>
        <v>0</v>
      </c>
      <c r="U966" s="47">
        <f>T966</f>
        <v>0</v>
      </c>
      <c r="V966" s="48"/>
      <c r="W966" s="41"/>
      <c r="X966" s="41"/>
      <c r="Y966" s="41"/>
      <c r="Z966" s="29"/>
      <c r="AA966" s="29"/>
      <c r="AB966" s="44"/>
      <c r="AC966" s="29"/>
      <c r="AD966" s="44">
        <f>T966</f>
        <v>0</v>
      </c>
    </row>
    <row r="967" spans="1:30" s="488" customFormat="1" ht="150" hidden="1" customHeight="1">
      <c r="A967" s="492"/>
      <c r="B967" s="642">
        <v>2</v>
      </c>
      <c r="C967" s="511">
        <v>1</v>
      </c>
      <c r="D967" s="512"/>
      <c r="E967" s="493" t="s">
        <v>561</v>
      </c>
      <c r="F967" s="487" t="s">
        <v>562</v>
      </c>
      <c r="G967" s="645" t="s">
        <v>357</v>
      </c>
      <c r="H967" s="712">
        <v>0</v>
      </c>
      <c r="I967" s="494">
        <v>0</v>
      </c>
      <c r="J967" s="494">
        <v>4716.4399999999996</v>
      </c>
      <c r="K967" s="494">
        <v>5.56</v>
      </c>
      <c r="L967" s="494">
        <f>SUM(L969:L975)</f>
        <v>849.2700000000001</v>
      </c>
      <c r="M967" s="33">
        <f>SUM(I967:L967)</f>
        <v>5571.27</v>
      </c>
      <c r="N967" s="501">
        <v>1</v>
      </c>
      <c r="O967" s="502">
        <v>1</v>
      </c>
      <c r="P967" s="37">
        <v>1</v>
      </c>
      <c r="Q967" s="34">
        <f>H967*I967*N967*O967*P967</f>
        <v>0</v>
      </c>
      <c r="R967" s="35">
        <f>H967*J967*N967*O967*P967</f>
        <v>0</v>
      </c>
      <c r="S967" s="36">
        <f>H967*K967*N967*O967*P967</f>
        <v>0</v>
      </c>
      <c r="T967" s="36">
        <f>H967*L967*N967*O967*P967</f>
        <v>0</v>
      </c>
      <c r="U967" s="37">
        <f>SUM(Q967:T967)</f>
        <v>0</v>
      </c>
      <c r="V967" s="38">
        <f>(Q967+R967+S967+T971+T972+T973+T975)*'Прогнозная стоимость РСС ИП '!$M$11+T970*'Прогнозная стоимость РСС ИП '!$M$10</f>
        <v>0</v>
      </c>
      <c r="W967" s="39">
        <f>T967</f>
        <v>0</v>
      </c>
      <c r="X967" s="39">
        <f>U967</f>
        <v>0</v>
      </c>
      <c r="Y967" s="39">
        <f>V967</f>
        <v>0</v>
      </c>
      <c r="Z967" s="29"/>
      <c r="AA967" s="29"/>
      <c r="AB967" s="29"/>
      <c r="AC967" s="29"/>
      <c r="AD967" s="29"/>
    </row>
    <row r="968" spans="1:30" s="488" customFormat="1" ht="41.25" hidden="1" customHeight="1">
      <c r="A968" s="492"/>
      <c r="B968" s="643"/>
      <c r="C968" s="513"/>
      <c r="D968" s="514"/>
      <c r="E968" s="495"/>
      <c r="F968" s="496"/>
      <c r="G968" s="646"/>
      <c r="H968" s="713"/>
      <c r="I968" s="649"/>
      <c r="J968" s="650"/>
      <c r="K968" s="650"/>
      <c r="L968" s="650"/>
      <c r="M968" s="651"/>
      <c r="N968" s="652"/>
      <c r="O968" s="653"/>
      <c r="P968" s="654"/>
      <c r="Q968" s="661"/>
      <c r="R968" s="662"/>
      <c r="S968" s="662"/>
      <c r="T968" s="662"/>
      <c r="U968" s="663"/>
      <c r="V968" s="40"/>
      <c r="W968" s="41"/>
      <c r="X968" s="41"/>
      <c r="Y968" s="41"/>
      <c r="Z968" s="29"/>
      <c r="AA968" s="29"/>
      <c r="AB968" s="29"/>
      <c r="AC968" s="29"/>
      <c r="AD968" s="29"/>
    </row>
    <row r="969" spans="1:30" s="488" customFormat="1" ht="41.25" hidden="1" customHeight="1">
      <c r="A969" s="492"/>
      <c r="B969" s="643"/>
      <c r="C969" s="513"/>
      <c r="D969" s="514"/>
      <c r="E969" s="664" t="s">
        <v>29</v>
      </c>
      <c r="F969" s="665"/>
      <c r="G969" s="665"/>
      <c r="H969" s="665"/>
      <c r="I969" s="665"/>
      <c r="J969" s="665"/>
      <c r="K969" s="665"/>
      <c r="L969" s="665"/>
      <c r="M969" s="666"/>
      <c r="N969" s="655"/>
      <c r="O969" s="656"/>
      <c r="P969" s="657"/>
      <c r="Q969" s="667"/>
      <c r="R969" s="689"/>
      <c r="S969" s="689"/>
      <c r="T969" s="689"/>
      <c r="U969" s="690"/>
      <c r="V969" s="42"/>
      <c r="W969" s="41"/>
      <c r="X969" s="41"/>
      <c r="Y969" s="41"/>
      <c r="Z969" s="29"/>
      <c r="AA969" s="29"/>
      <c r="AB969" s="29"/>
      <c r="AC969" s="29"/>
      <c r="AD969" s="29"/>
    </row>
    <row r="970" spans="1:30" s="488" customFormat="1" ht="41.25" hidden="1" customHeight="1">
      <c r="A970" s="492"/>
      <c r="B970" s="643"/>
      <c r="C970" s="513">
        <v>11</v>
      </c>
      <c r="D970" s="514"/>
      <c r="E970" s="670" t="s">
        <v>30</v>
      </c>
      <c r="F970" s="670"/>
      <c r="G970" s="670"/>
      <c r="H970" s="670"/>
      <c r="I970" s="670"/>
      <c r="J970" s="670"/>
      <c r="K970" s="670"/>
      <c r="L970" s="498">
        <v>385.24</v>
      </c>
      <c r="M970" s="459">
        <f>L970</f>
        <v>385.24</v>
      </c>
      <c r="N970" s="655"/>
      <c r="O970" s="656"/>
      <c r="P970" s="657"/>
      <c r="Q970" s="671"/>
      <c r="R970" s="672"/>
      <c r="S970" s="673"/>
      <c r="T970" s="457">
        <f>H967*M970*N967*O967*P967</f>
        <v>0</v>
      </c>
      <c r="U970" s="458">
        <f>T970</f>
        <v>0</v>
      </c>
      <c r="V970" s="42"/>
      <c r="W970" s="39"/>
      <c r="X970" s="41"/>
      <c r="Y970" s="41"/>
      <c r="Z970" s="43">
        <f>T970</f>
        <v>0</v>
      </c>
      <c r="AA970" s="29"/>
      <c r="AB970" s="29"/>
      <c r="AC970" s="29"/>
      <c r="AD970" s="29"/>
    </row>
    <row r="971" spans="1:30" s="488" customFormat="1" ht="41.25" hidden="1" customHeight="1">
      <c r="A971" s="492"/>
      <c r="B971" s="643"/>
      <c r="C971" s="513"/>
      <c r="D971" s="514"/>
      <c r="E971" s="670" t="s">
        <v>31</v>
      </c>
      <c r="F971" s="670"/>
      <c r="G971" s="670"/>
      <c r="H971" s="670"/>
      <c r="I971" s="670"/>
      <c r="J971" s="670"/>
      <c r="K971" s="670"/>
      <c r="L971" s="498">
        <f>ROUND((I967+J967+K967)*2.14%,2)</f>
        <v>101.05</v>
      </c>
      <c r="M971" s="459">
        <f>L971</f>
        <v>101.05</v>
      </c>
      <c r="N971" s="655"/>
      <c r="O971" s="656"/>
      <c r="P971" s="657"/>
      <c r="Q971" s="671"/>
      <c r="R971" s="672"/>
      <c r="S971" s="673"/>
      <c r="T971" s="457">
        <f>H967*M971*N967*O967*P967</f>
        <v>0</v>
      </c>
      <c r="U971" s="458">
        <f>T971</f>
        <v>0</v>
      </c>
      <c r="V971" s="42"/>
      <c r="W971" s="41"/>
      <c r="X971" s="39"/>
      <c r="Y971" s="41"/>
      <c r="Z971" s="29"/>
      <c r="AA971" s="43">
        <f>T971</f>
        <v>0</v>
      </c>
      <c r="AB971" s="29"/>
      <c r="AC971" s="29"/>
      <c r="AD971" s="29"/>
    </row>
    <row r="972" spans="1:30" s="488" customFormat="1" ht="41.25" hidden="1" customHeight="1">
      <c r="A972" s="492"/>
      <c r="B972" s="643"/>
      <c r="C972" s="515"/>
      <c r="D972" s="514"/>
      <c r="E972" s="670" t="s">
        <v>376</v>
      </c>
      <c r="F972" s="670"/>
      <c r="G972" s="670"/>
      <c r="H972" s="670"/>
      <c r="I972" s="670"/>
      <c r="J972" s="670"/>
      <c r="K972" s="670"/>
      <c r="L972" s="498">
        <f>ROUND((I967+J967+K967+L970+L971+L975)*3%,2)</f>
        <v>162.27000000000001</v>
      </c>
      <c r="M972" s="459">
        <f>L972</f>
        <v>162.27000000000001</v>
      </c>
      <c r="N972" s="655"/>
      <c r="O972" s="656"/>
      <c r="P972" s="657"/>
      <c r="Q972" s="671"/>
      <c r="R972" s="672"/>
      <c r="S972" s="673"/>
      <c r="T972" s="457">
        <f>H967*M972*N967*O967*P967</f>
        <v>0</v>
      </c>
      <c r="U972" s="458">
        <f>T972</f>
        <v>0</v>
      </c>
      <c r="V972" s="42"/>
      <c r="W972" s="41"/>
      <c r="X972" s="41"/>
      <c r="Y972" s="39"/>
      <c r="Z972" s="29"/>
      <c r="AA972" s="29"/>
      <c r="AB972" s="43">
        <f>T972</f>
        <v>0</v>
      </c>
      <c r="AC972" s="29"/>
      <c r="AD972" s="29"/>
    </row>
    <row r="973" spans="1:30" s="488" customFormat="1" ht="54.75" hidden="1" customHeight="1">
      <c r="A973" s="492"/>
      <c r="B973" s="643"/>
      <c r="C973" s="515"/>
      <c r="D973" s="514"/>
      <c r="E973" s="670" t="s">
        <v>377</v>
      </c>
      <c r="F973" s="670"/>
      <c r="G973" s="670"/>
      <c r="H973" s="670"/>
      <c r="I973" s="670"/>
      <c r="J973" s="670"/>
      <c r="K973" s="670"/>
      <c r="L973" s="498">
        <f>692.56-K967-L970-L971-L975</f>
        <v>0</v>
      </c>
      <c r="M973" s="459">
        <f>L973</f>
        <v>0</v>
      </c>
      <c r="N973" s="655"/>
      <c r="O973" s="656"/>
      <c r="P973" s="657"/>
      <c r="Q973" s="671"/>
      <c r="R973" s="672"/>
      <c r="S973" s="673"/>
      <c r="T973" s="457">
        <f>H967*M973*N967*O967*P967</f>
        <v>0</v>
      </c>
      <c r="U973" s="458">
        <f>T973</f>
        <v>0</v>
      </c>
      <c r="V973" s="42"/>
      <c r="W973" s="41"/>
      <c r="X973" s="41"/>
      <c r="Y973" s="41"/>
      <c r="Z973" s="44"/>
      <c r="AA973" s="29"/>
      <c r="AB973" s="29"/>
      <c r="AC973" s="44">
        <f>T973</f>
        <v>0</v>
      </c>
      <c r="AD973" s="29"/>
    </row>
    <row r="974" spans="1:30" s="488" customFormat="1" ht="45" hidden="1" customHeight="1">
      <c r="A974" s="492"/>
      <c r="B974" s="643"/>
      <c r="C974" s="515"/>
      <c r="D974" s="514"/>
      <c r="E974" s="674"/>
      <c r="F974" s="675"/>
      <c r="G974" s="675"/>
      <c r="H974" s="675"/>
      <c r="I974" s="675"/>
      <c r="J974" s="675"/>
      <c r="K974" s="675"/>
      <c r="L974" s="675"/>
      <c r="M974" s="676"/>
      <c r="N974" s="655"/>
      <c r="O974" s="656"/>
      <c r="P974" s="657"/>
      <c r="Q974" s="677"/>
      <c r="R974" s="678"/>
      <c r="S974" s="678"/>
      <c r="T974" s="678"/>
      <c r="U974" s="679"/>
      <c r="V974" s="45"/>
      <c r="W974" s="41"/>
      <c r="X974" s="41"/>
      <c r="Y974" s="41"/>
      <c r="Z974" s="29"/>
      <c r="AA974" s="44"/>
      <c r="AB974" s="29"/>
      <c r="AC974" s="29"/>
      <c r="AD974" s="29"/>
    </row>
    <row r="975" spans="1:30" s="488" customFormat="1" ht="45" hidden="1" customHeight="1" thickBot="1">
      <c r="A975" s="492"/>
      <c r="B975" s="644"/>
      <c r="C975" s="516"/>
      <c r="D975" s="517"/>
      <c r="E975" s="680" t="s">
        <v>369</v>
      </c>
      <c r="F975" s="680" t="s">
        <v>306</v>
      </c>
      <c r="G975" s="680"/>
      <c r="H975" s="680"/>
      <c r="I975" s="680"/>
      <c r="J975" s="680"/>
      <c r="K975" s="680"/>
      <c r="L975" s="499">
        <f>ROUND((I967+J967+K967+L970)*3.93%,2)</f>
        <v>200.71</v>
      </c>
      <c r="M975" s="46">
        <f>L975</f>
        <v>200.71</v>
      </c>
      <c r="N975" s="658"/>
      <c r="O975" s="659"/>
      <c r="P975" s="660"/>
      <c r="Q975" s="681"/>
      <c r="R975" s="682"/>
      <c r="S975" s="683"/>
      <c r="T975" s="500">
        <f>H967*M975*N967*O967*P967</f>
        <v>0</v>
      </c>
      <c r="U975" s="47">
        <f>T975</f>
        <v>0</v>
      </c>
      <c r="V975" s="48"/>
      <c r="W975" s="41"/>
      <c r="X975" s="41"/>
      <c r="Y975" s="41"/>
      <c r="Z975" s="29"/>
      <c r="AA975" s="29"/>
      <c r="AB975" s="44"/>
      <c r="AC975" s="29"/>
      <c r="AD975" s="44">
        <f>T975</f>
        <v>0</v>
      </c>
    </row>
    <row r="976" spans="1:30" s="488" customFormat="1" ht="150" hidden="1" customHeight="1">
      <c r="A976" s="492"/>
      <c r="B976" s="642">
        <v>2</v>
      </c>
      <c r="C976" s="511">
        <v>1</v>
      </c>
      <c r="D976" s="512"/>
      <c r="E976" s="493" t="s">
        <v>563</v>
      </c>
      <c r="F976" s="487" t="s">
        <v>564</v>
      </c>
      <c r="G976" s="645" t="s">
        <v>357</v>
      </c>
      <c r="H976" s="712">
        <v>0</v>
      </c>
      <c r="I976" s="494">
        <v>0</v>
      </c>
      <c r="J976" s="494">
        <v>5098.5600000000004</v>
      </c>
      <c r="K976" s="494">
        <v>5.56</v>
      </c>
      <c r="L976" s="494">
        <f>SUM(L978:L984)</f>
        <v>885.46</v>
      </c>
      <c r="M976" s="33">
        <f>SUM(I976:L976)</f>
        <v>5989.5800000000008</v>
      </c>
      <c r="N976" s="501">
        <v>1</v>
      </c>
      <c r="O976" s="502">
        <v>1</v>
      </c>
      <c r="P976" s="37">
        <v>1</v>
      </c>
      <c r="Q976" s="34">
        <f>H976*I976*N976*O976*P976</f>
        <v>0</v>
      </c>
      <c r="R976" s="35">
        <f>H976*J976*N976*O976*P976</f>
        <v>0</v>
      </c>
      <c r="S976" s="36">
        <f>H976*K976*N976*O976*P976</f>
        <v>0</v>
      </c>
      <c r="T976" s="36">
        <f>H976*L976*N976*O976*P976</f>
        <v>0</v>
      </c>
      <c r="U976" s="37">
        <f>SUM(Q976:T976)</f>
        <v>0</v>
      </c>
      <c r="V976" s="38">
        <f>(Q976+R976+S976+T980+T981+T982+T984)*'Прогнозная стоимость РСС ИП '!$M$11+T979*'Прогнозная стоимость РСС ИП '!$M$10</f>
        <v>0</v>
      </c>
      <c r="W976" s="39">
        <f>T976</f>
        <v>0</v>
      </c>
      <c r="X976" s="39">
        <f>U976</f>
        <v>0</v>
      </c>
      <c r="Y976" s="39">
        <f>V976</f>
        <v>0</v>
      </c>
      <c r="Z976" s="29"/>
      <c r="AA976" s="29"/>
      <c r="AB976" s="29"/>
      <c r="AC976" s="29"/>
      <c r="AD976" s="29"/>
    </row>
    <row r="977" spans="1:30" s="488" customFormat="1" ht="41.25" hidden="1" customHeight="1">
      <c r="A977" s="492"/>
      <c r="B977" s="643"/>
      <c r="C977" s="513"/>
      <c r="D977" s="514"/>
      <c r="E977" s="495"/>
      <c r="F977" s="496"/>
      <c r="G977" s="646"/>
      <c r="H977" s="713"/>
      <c r="I977" s="649"/>
      <c r="J977" s="650"/>
      <c r="K977" s="650"/>
      <c r="L977" s="650"/>
      <c r="M977" s="651"/>
      <c r="N977" s="652"/>
      <c r="O977" s="653"/>
      <c r="P977" s="654"/>
      <c r="Q977" s="661"/>
      <c r="R977" s="662"/>
      <c r="S977" s="662"/>
      <c r="T977" s="662"/>
      <c r="U977" s="663"/>
      <c r="V977" s="40"/>
      <c r="W977" s="41"/>
      <c r="X977" s="41"/>
      <c r="Y977" s="41"/>
      <c r="Z977" s="29"/>
      <c r="AA977" s="29"/>
      <c r="AB977" s="29"/>
      <c r="AC977" s="29"/>
      <c r="AD977" s="29"/>
    </row>
    <row r="978" spans="1:30" s="488" customFormat="1" ht="41.25" hidden="1" customHeight="1">
      <c r="A978" s="492"/>
      <c r="B978" s="643"/>
      <c r="C978" s="513"/>
      <c r="D978" s="514"/>
      <c r="E978" s="664" t="s">
        <v>29</v>
      </c>
      <c r="F978" s="665"/>
      <c r="G978" s="665"/>
      <c r="H978" s="665"/>
      <c r="I978" s="665"/>
      <c r="J978" s="665"/>
      <c r="K978" s="665"/>
      <c r="L978" s="665"/>
      <c r="M978" s="666"/>
      <c r="N978" s="655"/>
      <c r="O978" s="656"/>
      <c r="P978" s="657"/>
      <c r="Q978" s="667"/>
      <c r="R978" s="689"/>
      <c r="S978" s="689"/>
      <c r="T978" s="689"/>
      <c r="U978" s="690"/>
      <c r="V978" s="42"/>
      <c r="W978" s="41"/>
      <c r="X978" s="41"/>
      <c r="Y978" s="41"/>
      <c r="Z978" s="29"/>
      <c r="AA978" s="29"/>
      <c r="AB978" s="29"/>
      <c r="AC978" s="29"/>
      <c r="AD978" s="29"/>
    </row>
    <row r="979" spans="1:30" s="488" customFormat="1" ht="41.25" hidden="1" customHeight="1">
      <c r="A979" s="492"/>
      <c r="B979" s="643"/>
      <c r="C979" s="513">
        <v>11</v>
      </c>
      <c r="D979" s="514"/>
      <c r="E979" s="670" t="s">
        <v>30</v>
      </c>
      <c r="F979" s="670"/>
      <c r="G979" s="670"/>
      <c r="H979" s="670"/>
      <c r="I979" s="670"/>
      <c r="J979" s="670"/>
      <c r="K979" s="670"/>
      <c r="L979" s="498">
        <v>386.01</v>
      </c>
      <c r="M979" s="459">
        <f>L979</f>
        <v>386.01</v>
      </c>
      <c r="N979" s="655"/>
      <c r="O979" s="656"/>
      <c r="P979" s="657"/>
      <c r="Q979" s="671"/>
      <c r="R979" s="672"/>
      <c r="S979" s="673"/>
      <c r="T979" s="457">
        <f>H976*M979*N976*O976*P976</f>
        <v>0</v>
      </c>
      <c r="U979" s="458">
        <f>T979</f>
        <v>0</v>
      </c>
      <c r="V979" s="42"/>
      <c r="W979" s="39"/>
      <c r="X979" s="41"/>
      <c r="Y979" s="41"/>
      <c r="Z979" s="43">
        <f>T979</f>
        <v>0</v>
      </c>
      <c r="AA979" s="29"/>
      <c r="AB979" s="29"/>
      <c r="AC979" s="29"/>
      <c r="AD979" s="29"/>
    </row>
    <row r="980" spans="1:30" s="488" customFormat="1" ht="41.25" hidden="1" customHeight="1">
      <c r="A980" s="492"/>
      <c r="B980" s="643"/>
      <c r="C980" s="513"/>
      <c r="D980" s="514"/>
      <c r="E980" s="670" t="s">
        <v>31</v>
      </c>
      <c r="F980" s="670"/>
      <c r="G980" s="670"/>
      <c r="H980" s="670"/>
      <c r="I980" s="670"/>
      <c r="J980" s="670"/>
      <c r="K980" s="670"/>
      <c r="L980" s="498">
        <f>ROUND((I976+J976+K976)*2.14%,2)</f>
        <v>109.23</v>
      </c>
      <c r="M980" s="459">
        <f>L980</f>
        <v>109.23</v>
      </c>
      <c r="N980" s="655"/>
      <c r="O980" s="656"/>
      <c r="P980" s="657"/>
      <c r="Q980" s="671"/>
      <c r="R980" s="672"/>
      <c r="S980" s="673"/>
      <c r="T980" s="457">
        <f>H976*M980*N976*O976*P976</f>
        <v>0</v>
      </c>
      <c r="U980" s="458">
        <f>T980</f>
        <v>0</v>
      </c>
      <c r="V980" s="42"/>
      <c r="W980" s="41"/>
      <c r="X980" s="39"/>
      <c r="Y980" s="41"/>
      <c r="Z980" s="29"/>
      <c r="AA980" s="43">
        <f>T980</f>
        <v>0</v>
      </c>
      <c r="AB980" s="29"/>
      <c r="AC980" s="29"/>
      <c r="AD980" s="29"/>
    </row>
    <row r="981" spans="1:30" s="488" customFormat="1" ht="41.25" hidden="1" customHeight="1">
      <c r="A981" s="492"/>
      <c r="B981" s="643"/>
      <c r="C981" s="515"/>
      <c r="D981" s="514"/>
      <c r="E981" s="670" t="s">
        <v>376</v>
      </c>
      <c r="F981" s="670"/>
      <c r="G981" s="670"/>
      <c r="H981" s="670"/>
      <c r="I981" s="670"/>
      <c r="J981" s="670"/>
      <c r="K981" s="670"/>
      <c r="L981" s="498">
        <f>ROUND((I976+J976+K976+L979+L980+L984)*3%,2)+0.01</f>
        <v>174.45999999999998</v>
      </c>
      <c r="M981" s="459">
        <f>L981</f>
        <v>174.45999999999998</v>
      </c>
      <c r="N981" s="655"/>
      <c r="O981" s="656"/>
      <c r="P981" s="657"/>
      <c r="Q981" s="671"/>
      <c r="R981" s="672"/>
      <c r="S981" s="673"/>
      <c r="T981" s="457">
        <f>H976*M981*N976*O976*P976</f>
        <v>0</v>
      </c>
      <c r="U981" s="458">
        <f>T981</f>
        <v>0</v>
      </c>
      <c r="V981" s="42"/>
      <c r="W981" s="41"/>
      <c r="X981" s="41"/>
      <c r="Y981" s="39"/>
      <c r="Z981" s="29"/>
      <c r="AA981" s="29"/>
      <c r="AB981" s="43">
        <f>T981</f>
        <v>0</v>
      </c>
      <c r="AC981" s="29"/>
      <c r="AD981" s="29"/>
    </row>
    <row r="982" spans="1:30" s="488" customFormat="1" ht="54.75" hidden="1" customHeight="1">
      <c r="A982" s="492"/>
      <c r="B982" s="643"/>
      <c r="C982" s="515"/>
      <c r="D982" s="514"/>
      <c r="E982" s="670" t="s">
        <v>377</v>
      </c>
      <c r="F982" s="670"/>
      <c r="G982" s="670"/>
      <c r="H982" s="670"/>
      <c r="I982" s="670"/>
      <c r="J982" s="670"/>
      <c r="K982" s="670"/>
      <c r="L982" s="498">
        <f>716.56-K976-L979-L980-L984</f>
        <v>0</v>
      </c>
      <c r="M982" s="459">
        <f>L982</f>
        <v>0</v>
      </c>
      <c r="N982" s="655"/>
      <c r="O982" s="656"/>
      <c r="P982" s="657"/>
      <c r="Q982" s="671"/>
      <c r="R982" s="672"/>
      <c r="S982" s="673"/>
      <c r="T982" s="457">
        <f>H976*M982*N976*O976*P976</f>
        <v>0</v>
      </c>
      <c r="U982" s="458">
        <f>T982</f>
        <v>0</v>
      </c>
      <c r="V982" s="42"/>
      <c r="W982" s="41"/>
      <c r="X982" s="41"/>
      <c r="Y982" s="41"/>
      <c r="Z982" s="44"/>
      <c r="AA982" s="29"/>
      <c r="AB982" s="29"/>
      <c r="AC982" s="44">
        <f>T982</f>
        <v>0</v>
      </c>
      <c r="AD982" s="29"/>
    </row>
    <row r="983" spans="1:30" s="488" customFormat="1" ht="45" hidden="1" customHeight="1">
      <c r="A983" s="492"/>
      <c r="B983" s="643"/>
      <c r="C983" s="515"/>
      <c r="D983" s="514"/>
      <c r="E983" s="674"/>
      <c r="F983" s="675"/>
      <c r="G983" s="675"/>
      <c r="H983" s="675"/>
      <c r="I983" s="675"/>
      <c r="J983" s="675"/>
      <c r="K983" s="675"/>
      <c r="L983" s="675"/>
      <c r="M983" s="676"/>
      <c r="N983" s="655"/>
      <c r="O983" s="656"/>
      <c r="P983" s="657"/>
      <c r="Q983" s="677"/>
      <c r="R983" s="678"/>
      <c r="S983" s="678"/>
      <c r="T983" s="678"/>
      <c r="U983" s="679"/>
      <c r="V983" s="45"/>
      <c r="W983" s="41"/>
      <c r="X983" s="41"/>
      <c r="Y983" s="41"/>
      <c r="Z983" s="29"/>
      <c r="AA983" s="44"/>
      <c r="AB983" s="29"/>
      <c r="AC983" s="29"/>
      <c r="AD983" s="29"/>
    </row>
    <row r="984" spans="1:30" s="488" customFormat="1" ht="45" hidden="1" customHeight="1" thickBot="1">
      <c r="A984" s="492"/>
      <c r="B984" s="644"/>
      <c r="C984" s="516"/>
      <c r="D984" s="517"/>
      <c r="E984" s="680" t="s">
        <v>369</v>
      </c>
      <c r="F984" s="680" t="s">
        <v>306</v>
      </c>
      <c r="G984" s="680"/>
      <c r="H984" s="680"/>
      <c r="I984" s="680"/>
      <c r="J984" s="680"/>
      <c r="K984" s="680"/>
      <c r="L984" s="499">
        <f>ROUND((I976+J976+K976+L979)*3.93%,2)</f>
        <v>215.76</v>
      </c>
      <c r="M984" s="46">
        <f>L984</f>
        <v>215.76</v>
      </c>
      <c r="N984" s="658"/>
      <c r="O984" s="659"/>
      <c r="P984" s="660"/>
      <c r="Q984" s="681"/>
      <c r="R984" s="682"/>
      <c r="S984" s="683"/>
      <c r="T984" s="500">
        <f>H976*M984*N976*O976*P976</f>
        <v>0</v>
      </c>
      <c r="U984" s="47">
        <f>T984</f>
        <v>0</v>
      </c>
      <c r="V984" s="48"/>
      <c r="W984" s="41"/>
      <c r="X984" s="41"/>
      <c r="Y984" s="41"/>
      <c r="Z984" s="29"/>
      <c r="AA984" s="29"/>
      <c r="AB984" s="44"/>
      <c r="AC984" s="29"/>
      <c r="AD984" s="44">
        <f>T984</f>
        <v>0</v>
      </c>
    </row>
    <row r="985" spans="1:30" s="488" customFormat="1" ht="150" hidden="1" customHeight="1">
      <c r="A985" s="492"/>
      <c r="B985" s="642">
        <v>2</v>
      </c>
      <c r="C985" s="511">
        <v>1</v>
      </c>
      <c r="D985" s="512"/>
      <c r="E985" s="493" t="s">
        <v>565</v>
      </c>
      <c r="F985" s="487" t="s">
        <v>566</v>
      </c>
      <c r="G985" s="645" t="s">
        <v>357</v>
      </c>
      <c r="H985" s="712">
        <v>0</v>
      </c>
      <c r="I985" s="494">
        <v>0</v>
      </c>
      <c r="J985" s="494">
        <v>5474.3</v>
      </c>
      <c r="K985" s="494">
        <v>5.56</v>
      </c>
      <c r="L985" s="494">
        <f>SUM(L987:L993)</f>
        <v>921.02</v>
      </c>
      <c r="M985" s="33">
        <f>SUM(I985:L985)</f>
        <v>6400.880000000001</v>
      </c>
      <c r="N985" s="501">
        <v>1</v>
      </c>
      <c r="O985" s="502">
        <v>1</v>
      </c>
      <c r="P985" s="37">
        <v>1</v>
      </c>
      <c r="Q985" s="34">
        <f>H985*I985*N985*O985*P985</f>
        <v>0</v>
      </c>
      <c r="R985" s="35">
        <f>H985*J985*N985*O985*P985</f>
        <v>0</v>
      </c>
      <c r="S985" s="36">
        <f>H985*K985*N985*O985*P985</f>
        <v>0</v>
      </c>
      <c r="T985" s="36">
        <f>H985*L985*N985*O985*P985</f>
        <v>0</v>
      </c>
      <c r="U985" s="37">
        <f>SUM(Q985:T985)</f>
        <v>0</v>
      </c>
      <c r="V985" s="38">
        <f>(Q985+R985+S985+T989+T990+T991+T993)*'Прогнозная стоимость РСС ИП '!$M$11+T988*'Прогнозная стоимость РСС ИП '!$M$10</f>
        <v>0</v>
      </c>
      <c r="W985" s="39">
        <f>T985</f>
        <v>0</v>
      </c>
      <c r="X985" s="39">
        <f>U985</f>
        <v>0</v>
      </c>
      <c r="Y985" s="39">
        <f>V985</f>
        <v>0</v>
      </c>
      <c r="Z985" s="29"/>
      <c r="AA985" s="29"/>
      <c r="AB985" s="29"/>
      <c r="AC985" s="29"/>
      <c r="AD985" s="29"/>
    </row>
    <row r="986" spans="1:30" s="488" customFormat="1" ht="41.25" hidden="1" customHeight="1">
      <c r="A986" s="492"/>
      <c r="B986" s="643"/>
      <c r="C986" s="513"/>
      <c r="D986" s="514"/>
      <c r="E986" s="495"/>
      <c r="F986" s="496"/>
      <c r="G986" s="646"/>
      <c r="H986" s="713"/>
      <c r="I986" s="649"/>
      <c r="J986" s="650"/>
      <c r="K986" s="650"/>
      <c r="L986" s="650"/>
      <c r="M986" s="651"/>
      <c r="N986" s="652"/>
      <c r="O986" s="653"/>
      <c r="P986" s="654"/>
      <c r="Q986" s="661"/>
      <c r="R986" s="662"/>
      <c r="S986" s="662"/>
      <c r="T986" s="662"/>
      <c r="U986" s="663"/>
      <c r="V986" s="40"/>
      <c r="W986" s="41"/>
      <c r="X986" s="41"/>
      <c r="Y986" s="41"/>
      <c r="Z986" s="29"/>
      <c r="AA986" s="29"/>
      <c r="AB986" s="29"/>
      <c r="AC986" s="29"/>
      <c r="AD986" s="29"/>
    </row>
    <row r="987" spans="1:30" s="488" customFormat="1" ht="41.25" hidden="1" customHeight="1">
      <c r="A987" s="492"/>
      <c r="B987" s="643"/>
      <c r="C987" s="513"/>
      <c r="D987" s="514"/>
      <c r="E987" s="664" t="s">
        <v>29</v>
      </c>
      <c r="F987" s="665"/>
      <c r="G987" s="665"/>
      <c r="H987" s="665"/>
      <c r="I987" s="665"/>
      <c r="J987" s="665"/>
      <c r="K987" s="665"/>
      <c r="L987" s="665"/>
      <c r="M987" s="666"/>
      <c r="N987" s="655"/>
      <c r="O987" s="656"/>
      <c r="P987" s="657"/>
      <c r="Q987" s="667"/>
      <c r="R987" s="689"/>
      <c r="S987" s="689"/>
      <c r="T987" s="689"/>
      <c r="U987" s="690"/>
      <c r="V987" s="42"/>
      <c r="W987" s="41"/>
      <c r="X987" s="41"/>
      <c r="Y987" s="41"/>
      <c r="Z987" s="29"/>
      <c r="AA987" s="29"/>
      <c r="AB987" s="29"/>
      <c r="AC987" s="29"/>
      <c r="AD987" s="29"/>
    </row>
    <row r="988" spans="1:30" s="488" customFormat="1" ht="41.25" hidden="1" customHeight="1">
      <c r="A988" s="492"/>
      <c r="B988" s="643"/>
      <c r="C988" s="513">
        <v>11</v>
      </c>
      <c r="D988" s="514"/>
      <c r="E988" s="670" t="s">
        <v>30</v>
      </c>
      <c r="F988" s="670"/>
      <c r="G988" s="670"/>
      <c r="H988" s="670"/>
      <c r="I988" s="670"/>
      <c r="J988" s="670"/>
      <c r="K988" s="670"/>
      <c r="L988" s="498">
        <v>386.76</v>
      </c>
      <c r="M988" s="459">
        <f>L988</f>
        <v>386.76</v>
      </c>
      <c r="N988" s="655"/>
      <c r="O988" s="656"/>
      <c r="P988" s="657"/>
      <c r="Q988" s="671"/>
      <c r="R988" s="672"/>
      <c r="S988" s="673"/>
      <c r="T988" s="457">
        <f>H985*M988*N985*O985*P985</f>
        <v>0</v>
      </c>
      <c r="U988" s="458">
        <f>T988</f>
        <v>0</v>
      </c>
      <c r="V988" s="42"/>
      <c r="W988" s="39"/>
      <c r="X988" s="41"/>
      <c r="Y988" s="41"/>
      <c r="Z988" s="43">
        <f>T988</f>
        <v>0</v>
      </c>
      <c r="AA988" s="29"/>
      <c r="AB988" s="29"/>
      <c r="AC988" s="29"/>
      <c r="AD988" s="29"/>
    </row>
    <row r="989" spans="1:30" s="488" customFormat="1" ht="41.25" hidden="1" customHeight="1">
      <c r="A989" s="492"/>
      <c r="B989" s="643"/>
      <c r="C989" s="513"/>
      <c r="D989" s="514"/>
      <c r="E989" s="670" t="s">
        <v>31</v>
      </c>
      <c r="F989" s="670"/>
      <c r="G989" s="670"/>
      <c r="H989" s="670"/>
      <c r="I989" s="670"/>
      <c r="J989" s="670"/>
      <c r="K989" s="670"/>
      <c r="L989" s="498">
        <f>ROUND((I985+J985+K985)*2.14%,2)</f>
        <v>117.27</v>
      </c>
      <c r="M989" s="459">
        <f>L989</f>
        <v>117.27</v>
      </c>
      <c r="N989" s="655"/>
      <c r="O989" s="656"/>
      <c r="P989" s="657"/>
      <c r="Q989" s="671"/>
      <c r="R989" s="672"/>
      <c r="S989" s="673"/>
      <c r="T989" s="457">
        <f>H985*M989*N985*O985*P985</f>
        <v>0</v>
      </c>
      <c r="U989" s="458">
        <f>T989</f>
        <v>0</v>
      </c>
      <c r="V989" s="42"/>
      <c r="W989" s="41"/>
      <c r="X989" s="39"/>
      <c r="Y989" s="41"/>
      <c r="Z989" s="29"/>
      <c r="AA989" s="43">
        <f>T989</f>
        <v>0</v>
      </c>
      <c r="AB989" s="29"/>
      <c r="AC989" s="29"/>
      <c r="AD989" s="29"/>
    </row>
    <row r="990" spans="1:30" s="488" customFormat="1" ht="41.25" hidden="1" customHeight="1">
      <c r="A990" s="492"/>
      <c r="B990" s="643"/>
      <c r="C990" s="515"/>
      <c r="D990" s="514"/>
      <c r="E990" s="670" t="s">
        <v>376</v>
      </c>
      <c r="F990" s="670"/>
      <c r="G990" s="670"/>
      <c r="H990" s="670"/>
      <c r="I990" s="670"/>
      <c r="J990" s="670"/>
      <c r="K990" s="670"/>
      <c r="L990" s="498">
        <f>ROUND((I985+J985+K985+L988+L989+L993)*3%,2)</f>
        <v>186.43</v>
      </c>
      <c r="M990" s="459">
        <f>L990</f>
        <v>186.43</v>
      </c>
      <c r="N990" s="655"/>
      <c r="O990" s="656"/>
      <c r="P990" s="657"/>
      <c r="Q990" s="671"/>
      <c r="R990" s="672"/>
      <c r="S990" s="673"/>
      <c r="T990" s="457">
        <f>H985*M990*N985*O985*P985</f>
        <v>0</v>
      </c>
      <c r="U990" s="458">
        <f>T990</f>
        <v>0</v>
      </c>
      <c r="V990" s="42"/>
      <c r="W990" s="41"/>
      <c r="X990" s="41"/>
      <c r="Y990" s="39"/>
      <c r="Z990" s="29"/>
      <c r="AA990" s="29"/>
      <c r="AB990" s="43">
        <f>T990</f>
        <v>0</v>
      </c>
      <c r="AC990" s="29"/>
      <c r="AD990" s="29"/>
    </row>
    <row r="991" spans="1:30" s="488" customFormat="1" ht="54.75" hidden="1" customHeight="1">
      <c r="A991" s="492"/>
      <c r="B991" s="643"/>
      <c r="C991" s="515"/>
      <c r="D991" s="514"/>
      <c r="E991" s="670" t="s">
        <v>377</v>
      </c>
      <c r="F991" s="670"/>
      <c r="G991" s="670"/>
      <c r="H991" s="670"/>
      <c r="I991" s="670"/>
      <c r="J991" s="670"/>
      <c r="K991" s="670"/>
      <c r="L991" s="498">
        <f>740.15-K985-L988-L989-L993</f>
        <v>0</v>
      </c>
      <c r="M991" s="459">
        <f>L991</f>
        <v>0</v>
      </c>
      <c r="N991" s="655"/>
      <c r="O991" s="656"/>
      <c r="P991" s="657"/>
      <c r="Q991" s="671"/>
      <c r="R991" s="672"/>
      <c r="S991" s="673"/>
      <c r="T991" s="457">
        <f>H985*M991*N985*O985*P985</f>
        <v>0</v>
      </c>
      <c r="U991" s="458">
        <f>T991</f>
        <v>0</v>
      </c>
      <c r="V991" s="42"/>
      <c r="W991" s="41"/>
      <c r="X991" s="41"/>
      <c r="Y991" s="41"/>
      <c r="Z991" s="44"/>
      <c r="AA991" s="29"/>
      <c r="AB991" s="29"/>
      <c r="AC991" s="44">
        <f>T991</f>
        <v>0</v>
      </c>
      <c r="AD991" s="29"/>
    </row>
    <row r="992" spans="1:30" s="488" customFormat="1" ht="45" hidden="1" customHeight="1">
      <c r="A992" s="492"/>
      <c r="B992" s="643"/>
      <c r="C992" s="515"/>
      <c r="D992" s="514"/>
      <c r="E992" s="674"/>
      <c r="F992" s="675"/>
      <c r="G992" s="675"/>
      <c r="H992" s="675"/>
      <c r="I992" s="675"/>
      <c r="J992" s="675"/>
      <c r="K992" s="675"/>
      <c r="L992" s="675"/>
      <c r="M992" s="676"/>
      <c r="N992" s="655"/>
      <c r="O992" s="656"/>
      <c r="P992" s="657"/>
      <c r="Q992" s="677"/>
      <c r="R992" s="678"/>
      <c r="S992" s="678"/>
      <c r="T992" s="678"/>
      <c r="U992" s="679"/>
      <c r="V992" s="45"/>
      <c r="W992" s="41"/>
      <c r="X992" s="41"/>
      <c r="Y992" s="41"/>
      <c r="Z992" s="29"/>
      <c r="AA992" s="44"/>
      <c r="AB992" s="29"/>
      <c r="AC992" s="29"/>
      <c r="AD992" s="29"/>
    </row>
    <row r="993" spans="1:30" s="488" customFormat="1" ht="45" hidden="1" customHeight="1" thickBot="1">
      <c r="A993" s="492"/>
      <c r="B993" s="644"/>
      <c r="C993" s="516"/>
      <c r="D993" s="517"/>
      <c r="E993" s="680" t="s">
        <v>369</v>
      </c>
      <c r="F993" s="680" t="s">
        <v>306</v>
      </c>
      <c r="G993" s="680"/>
      <c r="H993" s="680"/>
      <c r="I993" s="680"/>
      <c r="J993" s="680"/>
      <c r="K993" s="680"/>
      <c r="L993" s="499">
        <f>ROUND((I985+J985+K985+L988)*3.93%,2)</f>
        <v>230.56</v>
      </c>
      <c r="M993" s="46">
        <f>L993</f>
        <v>230.56</v>
      </c>
      <c r="N993" s="658"/>
      <c r="O993" s="659"/>
      <c r="P993" s="660"/>
      <c r="Q993" s="681"/>
      <c r="R993" s="682"/>
      <c r="S993" s="683"/>
      <c r="T993" s="500">
        <f>H985*M993*N985*O985*P985</f>
        <v>0</v>
      </c>
      <c r="U993" s="47">
        <f>T993</f>
        <v>0</v>
      </c>
      <c r="V993" s="48"/>
      <c r="W993" s="41"/>
      <c r="X993" s="41"/>
      <c r="Y993" s="41"/>
      <c r="Z993" s="29"/>
      <c r="AA993" s="29"/>
      <c r="AB993" s="44"/>
      <c r="AC993" s="29"/>
      <c r="AD993" s="44">
        <f>T993</f>
        <v>0</v>
      </c>
    </row>
    <row r="994" spans="1:30" s="488" customFormat="1" ht="150" hidden="1" customHeight="1">
      <c r="A994" s="492"/>
      <c r="B994" s="642">
        <v>2</v>
      </c>
      <c r="C994" s="511">
        <v>1</v>
      </c>
      <c r="D994" s="512"/>
      <c r="E994" s="493" t="s">
        <v>567</v>
      </c>
      <c r="F994" s="487" t="s">
        <v>568</v>
      </c>
      <c r="G994" s="645" t="s">
        <v>357</v>
      </c>
      <c r="H994" s="712">
        <v>0</v>
      </c>
      <c r="I994" s="494">
        <v>0</v>
      </c>
      <c r="J994" s="494">
        <v>5931.53</v>
      </c>
      <c r="K994" s="494">
        <v>5.56</v>
      </c>
      <c r="L994" s="494">
        <f>SUM(L996:L1002)</f>
        <v>964.29</v>
      </c>
      <c r="M994" s="33">
        <f>SUM(I994:L994)</f>
        <v>6901.38</v>
      </c>
      <c r="N994" s="501">
        <v>1</v>
      </c>
      <c r="O994" s="502">
        <v>1</v>
      </c>
      <c r="P994" s="37">
        <v>1</v>
      </c>
      <c r="Q994" s="34">
        <f>H994*I994*N994*O994*P994</f>
        <v>0</v>
      </c>
      <c r="R994" s="35">
        <f>H994*J994*N994*O994*P994</f>
        <v>0</v>
      </c>
      <c r="S994" s="36">
        <f>H994*K994*N994*O994*P994</f>
        <v>0</v>
      </c>
      <c r="T994" s="36">
        <f>H994*L994*N994*O994*P994</f>
        <v>0</v>
      </c>
      <c r="U994" s="37">
        <f>SUM(Q994:T994)</f>
        <v>0</v>
      </c>
      <c r="V994" s="38">
        <f>(Q994+R994+S994+T998+T999+T1000+T1002)*'Прогнозная стоимость РСС ИП '!$M$11+T997*'Прогнозная стоимость РСС ИП '!$M$10</f>
        <v>0</v>
      </c>
      <c r="W994" s="39">
        <f>T994</f>
        <v>0</v>
      </c>
      <c r="X994" s="39">
        <f>U994</f>
        <v>0</v>
      </c>
      <c r="Y994" s="39">
        <f>V994</f>
        <v>0</v>
      </c>
      <c r="Z994" s="29"/>
      <c r="AA994" s="29"/>
      <c r="AB994" s="29"/>
      <c r="AC994" s="29"/>
      <c r="AD994" s="29"/>
    </row>
    <row r="995" spans="1:30" s="488" customFormat="1" ht="41.25" hidden="1" customHeight="1">
      <c r="A995" s="492"/>
      <c r="B995" s="643"/>
      <c r="C995" s="513"/>
      <c r="D995" s="514"/>
      <c r="E995" s="495"/>
      <c r="F995" s="496"/>
      <c r="G995" s="646"/>
      <c r="H995" s="713"/>
      <c r="I995" s="649"/>
      <c r="J995" s="650"/>
      <c r="K995" s="650"/>
      <c r="L995" s="650"/>
      <c r="M995" s="651"/>
      <c r="N995" s="652"/>
      <c r="O995" s="653"/>
      <c r="P995" s="654"/>
      <c r="Q995" s="661"/>
      <c r="R995" s="662"/>
      <c r="S995" s="662"/>
      <c r="T995" s="662"/>
      <c r="U995" s="663"/>
      <c r="V995" s="40"/>
      <c r="W995" s="41"/>
      <c r="X995" s="41"/>
      <c r="Y995" s="41"/>
      <c r="Z995" s="29"/>
      <c r="AA995" s="29"/>
      <c r="AB995" s="29"/>
      <c r="AC995" s="29"/>
      <c r="AD995" s="29"/>
    </row>
    <row r="996" spans="1:30" s="488" customFormat="1" ht="41.25" hidden="1" customHeight="1">
      <c r="A996" s="492"/>
      <c r="B996" s="643"/>
      <c r="C996" s="513"/>
      <c r="D996" s="514"/>
      <c r="E996" s="664" t="s">
        <v>29</v>
      </c>
      <c r="F996" s="665"/>
      <c r="G996" s="665"/>
      <c r="H996" s="665"/>
      <c r="I996" s="665"/>
      <c r="J996" s="665"/>
      <c r="K996" s="665"/>
      <c r="L996" s="665"/>
      <c r="M996" s="666"/>
      <c r="N996" s="655"/>
      <c r="O996" s="656"/>
      <c r="P996" s="657"/>
      <c r="Q996" s="667"/>
      <c r="R996" s="689"/>
      <c r="S996" s="689"/>
      <c r="T996" s="689"/>
      <c r="U996" s="690"/>
      <c r="V996" s="42"/>
      <c r="W996" s="41"/>
      <c r="X996" s="41"/>
      <c r="Y996" s="41"/>
      <c r="Z996" s="29"/>
      <c r="AA996" s="29"/>
      <c r="AB996" s="29"/>
      <c r="AC996" s="29"/>
      <c r="AD996" s="29"/>
    </row>
    <row r="997" spans="1:30" s="488" customFormat="1" ht="41.25" hidden="1" customHeight="1">
      <c r="A997" s="492"/>
      <c r="B997" s="643"/>
      <c r="C997" s="513">
        <v>11</v>
      </c>
      <c r="D997" s="514"/>
      <c r="E997" s="670" t="s">
        <v>30</v>
      </c>
      <c r="F997" s="670"/>
      <c r="G997" s="670"/>
      <c r="H997" s="670"/>
      <c r="I997" s="670"/>
      <c r="J997" s="670"/>
      <c r="K997" s="670"/>
      <c r="L997" s="498">
        <v>387.67</v>
      </c>
      <c r="M997" s="459">
        <f>L997</f>
        <v>387.67</v>
      </c>
      <c r="N997" s="655"/>
      <c r="O997" s="656"/>
      <c r="P997" s="657"/>
      <c r="Q997" s="671"/>
      <c r="R997" s="672"/>
      <c r="S997" s="673"/>
      <c r="T997" s="457">
        <f>H994*M997*N994*O994*P994</f>
        <v>0</v>
      </c>
      <c r="U997" s="458">
        <f>T997</f>
        <v>0</v>
      </c>
      <c r="V997" s="42"/>
      <c r="W997" s="39"/>
      <c r="X997" s="41"/>
      <c r="Y997" s="41"/>
      <c r="Z997" s="43">
        <f>T997</f>
        <v>0</v>
      </c>
      <c r="AA997" s="29"/>
      <c r="AB997" s="29"/>
      <c r="AC997" s="29"/>
      <c r="AD997" s="29"/>
    </row>
    <row r="998" spans="1:30" s="488" customFormat="1" ht="41.25" hidden="1" customHeight="1">
      <c r="A998" s="492"/>
      <c r="B998" s="643"/>
      <c r="C998" s="513"/>
      <c r="D998" s="514"/>
      <c r="E998" s="670" t="s">
        <v>31</v>
      </c>
      <c r="F998" s="670"/>
      <c r="G998" s="670"/>
      <c r="H998" s="670"/>
      <c r="I998" s="670"/>
      <c r="J998" s="670"/>
      <c r="K998" s="670"/>
      <c r="L998" s="498">
        <f>ROUND((I994+J994+K994)*2.14%,2)</f>
        <v>127.05</v>
      </c>
      <c r="M998" s="459">
        <f>L998</f>
        <v>127.05</v>
      </c>
      <c r="N998" s="655"/>
      <c r="O998" s="656"/>
      <c r="P998" s="657"/>
      <c r="Q998" s="671"/>
      <c r="R998" s="672"/>
      <c r="S998" s="673"/>
      <c r="T998" s="457">
        <f>H994*M998*N994*O994*P994</f>
        <v>0</v>
      </c>
      <c r="U998" s="458">
        <f>T998</f>
        <v>0</v>
      </c>
      <c r="V998" s="42"/>
      <c r="W998" s="41"/>
      <c r="X998" s="39"/>
      <c r="Y998" s="41"/>
      <c r="Z998" s="29"/>
      <c r="AA998" s="43">
        <f>T998</f>
        <v>0</v>
      </c>
      <c r="AB998" s="29"/>
      <c r="AC998" s="29"/>
      <c r="AD998" s="29"/>
    </row>
    <row r="999" spans="1:30" s="488" customFormat="1" ht="41.25" hidden="1" customHeight="1">
      <c r="A999" s="492"/>
      <c r="B999" s="643"/>
      <c r="C999" s="515"/>
      <c r="D999" s="514"/>
      <c r="E999" s="670" t="s">
        <v>376</v>
      </c>
      <c r="F999" s="670"/>
      <c r="G999" s="670"/>
      <c r="H999" s="670"/>
      <c r="I999" s="670"/>
      <c r="J999" s="670"/>
      <c r="K999" s="670"/>
      <c r="L999" s="498">
        <f>ROUND((I994+J994+K994+L997+L998+L1002)*3%,2)</f>
        <v>201.01</v>
      </c>
      <c r="M999" s="459">
        <f>L999</f>
        <v>201.01</v>
      </c>
      <c r="N999" s="655"/>
      <c r="O999" s="656"/>
      <c r="P999" s="657"/>
      <c r="Q999" s="671"/>
      <c r="R999" s="672"/>
      <c r="S999" s="673"/>
      <c r="T999" s="457">
        <f>H994*M999*N994*O994*P994</f>
        <v>0</v>
      </c>
      <c r="U999" s="458">
        <f>T999</f>
        <v>0</v>
      </c>
      <c r="V999" s="42"/>
      <c r="W999" s="41"/>
      <c r="X999" s="41"/>
      <c r="Y999" s="39"/>
      <c r="Z999" s="29"/>
      <c r="AA999" s="29"/>
      <c r="AB999" s="43">
        <f>T999</f>
        <v>0</v>
      </c>
      <c r="AC999" s="29"/>
      <c r="AD999" s="29"/>
    </row>
    <row r="1000" spans="1:30" s="488" customFormat="1" ht="54.75" hidden="1" customHeight="1">
      <c r="A1000" s="492"/>
      <c r="B1000" s="643"/>
      <c r="C1000" s="515"/>
      <c r="D1000" s="514"/>
      <c r="E1000" s="670" t="s">
        <v>377</v>
      </c>
      <c r="F1000" s="670"/>
      <c r="G1000" s="670"/>
      <c r="H1000" s="670"/>
      <c r="I1000" s="670"/>
      <c r="J1000" s="670"/>
      <c r="K1000" s="670"/>
      <c r="L1000" s="498">
        <f>768.84-K994-L997-L998-L1002</f>
        <v>0</v>
      </c>
      <c r="M1000" s="459">
        <f>L1000</f>
        <v>0</v>
      </c>
      <c r="N1000" s="655"/>
      <c r="O1000" s="656"/>
      <c r="P1000" s="657"/>
      <c r="Q1000" s="671"/>
      <c r="R1000" s="672"/>
      <c r="S1000" s="673"/>
      <c r="T1000" s="457">
        <f>H994*M1000*N994*O994*P994</f>
        <v>0</v>
      </c>
      <c r="U1000" s="458">
        <f>T1000</f>
        <v>0</v>
      </c>
      <c r="V1000" s="42"/>
      <c r="W1000" s="41"/>
      <c r="X1000" s="41"/>
      <c r="Y1000" s="41"/>
      <c r="Z1000" s="44"/>
      <c r="AA1000" s="29"/>
      <c r="AB1000" s="29"/>
      <c r="AC1000" s="44">
        <f>T1000</f>
        <v>0</v>
      </c>
      <c r="AD1000" s="29"/>
    </row>
    <row r="1001" spans="1:30" s="488" customFormat="1" ht="45" hidden="1" customHeight="1">
      <c r="A1001" s="492"/>
      <c r="B1001" s="643"/>
      <c r="C1001" s="515"/>
      <c r="D1001" s="514"/>
      <c r="E1001" s="674"/>
      <c r="F1001" s="675"/>
      <c r="G1001" s="675"/>
      <c r="H1001" s="675"/>
      <c r="I1001" s="675"/>
      <c r="J1001" s="675"/>
      <c r="K1001" s="675"/>
      <c r="L1001" s="675"/>
      <c r="M1001" s="676"/>
      <c r="N1001" s="655"/>
      <c r="O1001" s="656"/>
      <c r="P1001" s="657"/>
      <c r="Q1001" s="677"/>
      <c r="R1001" s="678"/>
      <c r="S1001" s="678"/>
      <c r="T1001" s="678"/>
      <c r="U1001" s="679"/>
      <c r="V1001" s="45"/>
      <c r="W1001" s="41"/>
      <c r="X1001" s="41"/>
      <c r="Y1001" s="41"/>
      <c r="Z1001" s="29"/>
      <c r="AA1001" s="44"/>
      <c r="AB1001" s="29"/>
      <c r="AC1001" s="29"/>
      <c r="AD1001" s="29"/>
    </row>
    <row r="1002" spans="1:30" s="488" customFormat="1" ht="45" hidden="1" customHeight="1" thickBot="1">
      <c r="A1002" s="492"/>
      <c r="B1002" s="644"/>
      <c r="C1002" s="516"/>
      <c r="D1002" s="517"/>
      <c r="E1002" s="680" t="s">
        <v>369</v>
      </c>
      <c r="F1002" s="680" t="s">
        <v>306</v>
      </c>
      <c r="G1002" s="680"/>
      <c r="H1002" s="680"/>
      <c r="I1002" s="680"/>
      <c r="J1002" s="680"/>
      <c r="K1002" s="680"/>
      <c r="L1002" s="499">
        <f>ROUND((I994+J994+K994+L997)*3.93%,2)</f>
        <v>248.56</v>
      </c>
      <c r="M1002" s="46">
        <f>L1002</f>
        <v>248.56</v>
      </c>
      <c r="N1002" s="658"/>
      <c r="O1002" s="659"/>
      <c r="P1002" s="660"/>
      <c r="Q1002" s="681"/>
      <c r="R1002" s="682"/>
      <c r="S1002" s="683"/>
      <c r="T1002" s="500">
        <f>H994*M1002*N994*O994*P994</f>
        <v>0</v>
      </c>
      <c r="U1002" s="47">
        <f>T1002</f>
        <v>0</v>
      </c>
      <c r="V1002" s="48"/>
      <c r="W1002" s="41"/>
      <c r="X1002" s="41"/>
      <c r="Y1002" s="41"/>
      <c r="Z1002" s="29"/>
      <c r="AA1002" s="29"/>
      <c r="AB1002" s="44"/>
      <c r="AC1002" s="29"/>
      <c r="AD1002" s="44">
        <f>T1002</f>
        <v>0</v>
      </c>
    </row>
    <row r="1003" spans="1:30" s="488" customFormat="1" ht="150" hidden="1" customHeight="1">
      <c r="A1003" s="492"/>
      <c r="B1003" s="642">
        <v>2</v>
      </c>
      <c r="C1003" s="511">
        <v>1</v>
      </c>
      <c r="D1003" s="512"/>
      <c r="E1003" s="493" t="s">
        <v>569</v>
      </c>
      <c r="F1003" s="487" t="s">
        <v>570</v>
      </c>
      <c r="G1003" s="645" t="s">
        <v>357</v>
      </c>
      <c r="H1003" s="712">
        <v>0</v>
      </c>
      <c r="I1003" s="494">
        <v>0</v>
      </c>
      <c r="J1003" s="494">
        <v>6657.2</v>
      </c>
      <c r="K1003" s="494">
        <v>5.56</v>
      </c>
      <c r="L1003" s="494">
        <f>SUM(L1005:L1011)</f>
        <v>1032.99</v>
      </c>
      <c r="M1003" s="33">
        <f>SUM(I1003:L1003)</f>
        <v>7695.75</v>
      </c>
      <c r="N1003" s="501">
        <v>1</v>
      </c>
      <c r="O1003" s="502">
        <v>1</v>
      </c>
      <c r="P1003" s="37">
        <v>1</v>
      </c>
      <c r="Q1003" s="34">
        <f>H1003*I1003*N1003*O1003*P1003</f>
        <v>0</v>
      </c>
      <c r="R1003" s="35">
        <f>H1003*J1003*N1003*O1003*P1003</f>
        <v>0</v>
      </c>
      <c r="S1003" s="36">
        <f>H1003*K1003*N1003*O1003*P1003</f>
        <v>0</v>
      </c>
      <c r="T1003" s="36">
        <f>H1003*L1003*N1003*O1003*P1003</f>
        <v>0</v>
      </c>
      <c r="U1003" s="37">
        <f>SUM(Q1003:T1003)</f>
        <v>0</v>
      </c>
      <c r="V1003" s="38">
        <f>(Q1003+R1003+S1003+T1007+T1008+T1009+T1011)*'Прогнозная стоимость РСС ИП '!$M$11+T1006*'Прогнозная стоимость РСС ИП '!$M$10</f>
        <v>0</v>
      </c>
      <c r="W1003" s="39">
        <f>T1003</f>
        <v>0</v>
      </c>
      <c r="X1003" s="39">
        <f>U1003</f>
        <v>0</v>
      </c>
      <c r="Y1003" s="39">
        <f>V1003</f>
        <v>0</v>
      </c>
      <c r="Z1003" s="29"/>
      <c r="AA1003" s="29"/>
      <c r="AB1003" s="29"/>
      <c r="AC1003" s="29"/>
      <c r="AD1003" s="29"/>
    </row>
    <row r="1004" spans="1:30" s="488" customFormat="1" ht="41.25" hidden="1" customHeight="1">
      <c r="A1004" s="492"/>
      <c r="B1004" s="643"/>
      <c r="C1004" s="513"/>
      <c r="D1004" s="514"/>
      <c r="E1004" s="495"/>
      <c r="F1004" s="496"/>
      <c r="G1004" s="646"/>
      <c r="H1004" s="713"/>
      <c r="I1004" s="649"/>
      <c r="J1004" s="650"/>
      <c r="K1004" s="650"/>
      <c r="L1004" s="650"/>
      <c r="M1004" s="651"/>
      <c r="N1004" s="652"/>
      <c r="O1004" s="653"/>
      <c r="P1004" s="654"/>
      <c r="Q1004" s="661"/>
      <c r="R1004" s="662"/>
      <c r="S1004" s="662"/>
      <c r="T1004" s="662"/>
      <c r="U1004" s="663"/>
      <c r="V1004" s="40"/>
      <c r="W1004" s="41"/>
      <c r="X1004" s="41"/>
      <c r="Y1004" s="41"/>
      <c r="Z1004" s="29"/>
      <c r="AA1004" s="29"/>
      <c r="AB1004" s="29"/>
      <c r="AC1004" s="29"/>
      <c r="AD1004" s="29"/>
    </row>
    <row r="1005" spans="1:30" s="488" customFormat="1" ht="41.25" hidden="1" customHeight="1">
      <c r="A1005" s="492"/>
      <c r="B1005" s="643"/>
      <c r="C1005" s="513"/>
      <c r="D1005" s="514"/>
      <c r="E1005" s="664" t="s">
        <v>29</v>
      </c>
      <c r="F1005" s="665"/>
      <c r="G1005" s="665"/>
      <c r="H1005" s="665"/>
      <c r="I1005" s="665"/>
      <c r="J1005" s="665"/>
      <c r="K1005" s="665"/>
      <c r="L1005" s="665"/>
      <c r="M1005" s="666"/>
      <c r="N1005" s="655"/>
      <c r="O1005" s="656"/>
      <c r="P1005" s="657"/>
      <c r="Q1005" s="667"/>
      <c r="R1005" s="689"/>
      <c r="S1005" s="689"/>
      <c r="T1005" s="689"/>
      <c r="U1005" s="690"/>
      <c r="V1005" s="42"/>
      <c r="W1005" s="41"/>
      <c r="X1005" s="41"/>
      <c r="Y1005" s="41"/>
      <c r="Z1005" s="29"/>
      <c r="AA1005" s="29"/>
      <c r="AB1005" s="29"/>
      <c r="AC1005" s="29"/>
      <c r="AD1005" s="29"/>
    </row>
    <row r="1006" spans="1:30" s="488" customFormat="1" ht="41.25" hidden="1" customHeight="1">
      <c r="A1006" s="492"/>
      <c r="B1006" s="643"/>
      <c r="C1006" s="513">
        <v>11</v>
      </c>
      <c r="D1006" s="514"/>
      <c r="E1006" s="670" t="s">
        <v>30</v>
      </c>
      <c r="F1006" s="670"/>
      <c r="G1006" s="670"/>
      <c r="H1006" s="670"/>
      <c r="I1006" s="670"/>
      <c r="J1006" s="670"/>
      <c r="K1006" s="670"/>
      <c r="L1006" s="498">
        <v>389.13</v>
      </c>
      <c r="M1006" s="459">
        <f>L1006</f>
        <v>389.13</v>
      </c>
      <c r="N1006" s="655"/>
      <c r="O1006" s="656"/>
      <c r="P1006" s="657"/>
      <c r="Q1006" s="671"/>
      <c r="R1006" s="672"/>
      <c r="S1006" s="673"/>
      <c r="T1006" s="457">
        <f>H1003*M1006*N1003*O1003*P1003</f>
        <v>0</v>
      </c>
      <c r="U1006" s="458">
        <f>T1006</f>
        <v>0</v>
      </c>
      <c r="V1006" s="42"/>
      <c r="W1006" s="39"/>
      <c r="X1006" s="41"/>
      <c r="Y1006" s="41"/>
      <c r="Z1006" s="43">
        <f>T1006</f>
        <v>0</v>
      </c>
      <c r="AA1006" s="29"/>
      <c r="AB1006" s="29"/>
      <c r="AC1006" s="29"/>
      <c r="AD1006" s="29"/>
    </row>
    <row r="1007" spans="1:30" s="488" customFormat="1" ht="41.25" hidden="1" customHeight="1">
      <c r="A1007" s="492"/>
      <c r="B1007" s="643"/>
      <c r="C1007" s="513"/>
      <c r="D1007" s="514"/>
      <c r="E1007" s="670" t="s">
        <v>31</v>
      </c>
      <c r="F1007" s="670"/>
      <c r="G1007" s="670"/>
      <c r="H1007" s="670"/>
      <c r="I1007" s="670"/>
      <c r="J1007" s="670"/>
      <c r="K1007" s="670"/>
      <c r="L1007" s="498">
        <f>ROUND((I1003+J1003+K1003)*2.14%,2)</f>
        <v>142.58000000000001</v>
      </c>
      <c r="M1007" s="459">
        <f>L1007</f>
        <v>142.58000000000001</v>
      </c>
      <c r="N1007" s="655"/>
      <c r="O1007" s="656"/>
      <c r="P1007" s="657"/>
      <c r="Q1007" s="671"/>
      <c r="R1007" s="672"/>
      <c r="S1007" s="673"/>
      <c r="T1007" s="457">
        <f>H1003*M1007*N1003*O1003*P1003</f>
        <v>0</v>
      </c>
      <c r="U1007" s="458">
        <f>T1007</f>
        <v>0</v>
      </c>
      <c r="V1007" s="42"/>
      <c r="W1007" s="41"/>
      <c r="X1007" s="39"/>
      <c r="Y1007" s="41"/>
      <c r="Z1007" s="29"/>
      <c r="AA1007" s="43">
        <f>T1007</f>
        <v>0</v>
      </c>
      <c r="AB1007" s="29"/>
      <c r="AC1007" s="29"/>
      <c r="AD1007" s="29"/>
    </row>
    <row r="1008" spans="1:30" s="488" customFormat="1" ht="41.25" hidden="1" customHeight="1">
      <c r="A1008" s="492"/>
      <c r="B1008" s="643"/>
      <c r="C1008" s="515"/>
      <c r="D1008" s="514"/>
      <c r="E1008" s="670" t="s">
        <v>376</v>
      </c>
      <c r="F1008" s="670"/>
      <c r="G1008" s="670"/>
      <c r="H1008" s="670"/>
      <c r="I1008" s="670"/>
      <c r="J1008" s="670"/>
      <c r="K1008" s="670"/>
      <c r="L1008" s="498">
        <f>ROUND((I1003+J1003+K1003+L1006+L1007+L1011)*3%,2)-0.01</f>
        <v>224.14000000000001</v>
      </c>
      <c r="M1008" s="459">
        <f>L1008</f>
        <v>224.14000000000001</v>
      </c>
      <c r="N1008" s="655"/>
      <c r="O1008" s="656"/>
      <c r="P1008" s="657"/>
      <c r="Q1008" s="671"/>
      <c r="R1008" s="672"/>
      <c r="S1008" s="673"/>
      <c r="T1008" s="457">
        <f>H1003*M1008*N1003*O1003*P1003</f>
        <v>0</v>
      </c>
      <c r="U1008" s="458">
        <f>T1008</f>
        <v>0</v>
      </c>
      <c r="V1008" s="42"/>
      <c r="W1008" s="41"/>
      <c r="X1008" s="41"/>
      <c r="Y1008" s="39"/>
      <c r="Z1008" s="29"/>
      <c r="AA1008" s="29"/>
      <c r="AB1008" s="43">
        <f>T1008</f>
        <v>0</v>
      </c>
      <c r="AC1008" s="29"/>
      <c r="AD1008" s="29"/>
    </row>
    <row r="1009" spans="1:30" s="488" customFormat="1" ht="54.75" hidden="1" customHeight="1">
      <c r="A1009" s="492"/>
      <c r="B1009" s="643"/>
      <c r="C1009" s="515"/>
      <c r="D1009" s="514"/>
      <c r="E1009" s="670" t="s">
        <v>377</v>
      </c>
      <c r="F1009" s="670"/>
      <c r="G1009" s="670"/>
      <c r="H1009" s="670"/>
      <c r="I1009" s="670"/>
      <c r="J1009" s="670"/>
      <c r="K1009" s="670"/>
      <c r="L1009" s="498">
        <f>814.41-K1003-L1006-L1007-L1011</f>
        <v>0</v>
      </c>
      <c r="M1009" s="459">
        <f>L1009</f>
        <v>0</v>
      </c>
      <c r="N1009" s="655"/>
      <c r="O1009" s="656"/>
      <c r="P1009" s="657"/>
      <c r="Q1009" s="671"/>
      <c r="R1009" s="672"/>
      <c r="S1009" s="673"/>
      <c r="T1009" s="457">
        <f>H1003*M1009*N1003*O1003*P1003</f>
        <v>0</v>
      </c>
      <c r="U1009" s="458">
        <f>T1009</f>
        <v>0</v>
      </c>
      <c r="V1009" s="42"/>
      <c r="W1009" s="41"/>
      <c r="X1009" s="41"/>
      <c r="Y1009" s="41"/>
      <c r="Z1009" s="44"/>
      <c r="AA1009" s="29"/>
      <c r="AB1009" s="29"/>
      <c r="AC1009" s="44">
        <f>T1009</f>
        <v>0</v>
      </c>
      <c r="AD1009" s="29"/>
    </row>
    <row r="1010" spans="1:30" s="488" customFormat="1" ht="45" hidden="1" customHeight="1">
      <c r="A1010" s="492"/>
      <c r="B1010" s="643"/>
      <c r="C1010" s="515"/>
      <c r="D1010" s="514"/>
      <c r="E1010" s="674"/>
      <c r="F1010" s="675"/>
      <c r="G1010" s="675"/>
      <c r="H1010" s="675"/>
      <c r="I1010" s="675"/>
      <c r="J1010" s="675"/>
      <c r="K1010" s="675"/>
      <c r="L1010" s="675"/>
      <c r="M1010" s="676"/>
      <c r="N1010" s="655"/>
      <c r="O1010" s="656"/>
      <c r="P1010" s="657"/>
      <c r="Q1010" s="677"/>
      <c r="R1010" s="678"/>
      <c r="S1010" s="678"/>
      <c r="T1010" s="678"/>
      <c r="U1010" s="679"/>
      <c r="V1010" s="45"/>
      <c r="W1010" s="41"/>
      <c r="X1010" s="41"/>
      <c r="Y1010" s="41"/>
      <c r="Z1010" s="29"/>
      <c r="AA1010" s="44"/>
      <c r="AB1010" s="29"/>
      <c r="AC1010" s="29"/>
      <c r="AD1010" s="29"/>
    </row>
    <row r="1011" spans="1:30" s="488" customFormat="1" ht="45" hidden="1" customHeight="1" thickBot="1">
      <c r="A1011" s="492"/>
      <c r="B1011" s="644"/>
      <c r="C1011" s="516"/>
      <c r="D1011" s="517"/>
      <c r="E1011" s="680" t="s">
        <v>369</v>
      </c>
      <c r="F1011" s="680" t="s">
        <v>306</v>
      </c>
      <c r="G1011" s="680"/>
      <c r="H1011" s="680"/>
      <c r="I1011" s="680"/>
      <c r="J1011" s="680"/>
      <c r="K1011" s="680"/>
      <c r="L1011" s="499">
        <f>ROUND((I1003+J1003+K1003+L1006)*3.93%,2)</f>
        <v>277.14</v>
      </c>
      <c r="M1011" s="46">
        <f>L1011</f>
        <v>277.14</v>
      </c>
      <c r="N1011" s="658"/>
      <c r="O1011" s="659"/>
      <c r="P1011" s="660"/>
      <c r="Q1011" s="681"/>
      <c r="R1011" s="682"/>
      <c r="S1011" s="683"/>
      <c r="T1011" s="500">
        <f>H1003*M1011*N1003*O1003*P1003</f>
        <v>0</v>
      </c>
      <c r="U1011" s="47">
        <f>T1011</f>
        <v>0</v>
      </c>
      <c r="V1011" s="48"/>
      <c r="W1011" s="41"/>
      <c r="X1011" s="41"/>
      <c r="Y1011" s="41"/>
      <c r="Z1011" s="29"/>
      <c r="AA1011" s="29"/>
      <c r="AB1011" s="44"/>
      <c r="AC1011" s="29"/>
      <c r="AD1011" s="44">
        <f>T1011</f>
        <v>0</v>
      </c>
    </row>
    <row r="1012" spans="1:30" s="488" customFormat="1" ht="150" hidden="1" customHeight="1">
      <c r="A1012" s="492"/>
      <c r="B1012" s="642">
        <v>2</v>
      </c>
      <c r="C1012" s="511">
        <v>1</v>
      </c>
      <c r="D1012" s="512"/>
      <c r="E1012" s="493" t="s">
        <v>571</v>
      </c>
      <c r="F1012" s="487" t="s">
        <v>572</v>
      </c>
      <c r="G1012" s="645" t="s">
        <v>357</v>
      </c>
      <c r="H1012" s="712">
        <v>0</v>
      </c>
      <c r="I1012" s="494">
        <v>0</v>
      </c>
      <c r="J1012" s="494">
        <v>7551.38</v>
      </c>
      <c r="K1012" s="494">
        <v>5.56</v>
      </c>
      <c r="L1012" s="494">
        <f>SUM(L1014:L1020)</f>
        <v>1117.6399999999999</v>
      </c>
      <c r="M1012" s="33">
        <f>SUM(I1012:L1012)</f>
        <v>8674.58</v>
      </c>
      <c r="N1012" s="501">
        <v>1</v>
      </c>
      <c r="O1012" s="502">
        <v>1</v>
      </c>
      <c r="P1012" s="37">
        <v>1</v>
      </c>
      <c r="Q1012" s="34">
        <f>H1012*I1012*N1012*O1012*P1012</f>
        <v>0</v>
      </c>
      <c r="R1012" s="35">
        <f>H1012*J1012*N1012*O1012*P1012</f>
        <v>0</v>
      </c>
      <c r="S1012" s="36">
        <f>H1012*K1012*N1012*O1012*P1012</f>
        <v>0</v>
      </c>
      <c r="T1012" s="36">
        <f>H1012*L1012*N1012*O1012*P1012</f>
        <v>0</v>
      </c>
      <c r="U1012" s="37">
        <f>SUM(Q1012:T1012)</f>
        <v>0</v>
      </c>
      <c r="V1012" s="38">
        <f>(Q1012+R1012+S1012+T1016+T1017+T1018+T1020)*'Прогнозная стоимость РСС ИП '!$M$11+T1015*'Прогнозная стоимость РСС ИП '!$M$10</f>
        <v>0</v>
      </c>
      <c r="W1012" s="39">
        <f>T1012</f>
        <v>0</v>
      </c>
      <c r="X1012" s="39">
        <f>U1012</f>
        <v>0</v>
      </c>
      <c r="Y1012" s="39">
        <f>V1012</f>
        <v>0</v>
      </c>
      <c r="Z1012" s="29"/>
      <c r="AA1012" s="29"/>
      <c r="AB1012" s="29"/>
      <c r="AC1012" s="29"/>
      <c r="AD1012" s="29"/>
    </row>
    <row r="1013" spans="1:30" s="488" customFormat="1" ht="41.25" hidden="1" customHeight="1">
      <c r="A1013" s="492"/>
      <c r="B1013" s="643"/>
      <c r="C1013" s="513"/>
      <c r="D1013" s="514"/>
      <c r="E1013" s="495"/>
      <c r="F1013" s="496"/>
      <c r="G1013" s="646"/>
      <c r="H1013" s="713"/>
      <c r="I1013" s="649"/>
      <c r="J1013" s="650"/>
      <c r="K1013" s="650"/>
      <c r="L1013" s="650"/>
      <c r="M1013" s="651"/>
      <c r="N1013" s="652"/>
      <c r="O1013" s="653"/>
      <c r="P1013" s="654"/>
      <c r="Q1013" s="661"/>
      <c r="R1013" s="662"/>
      <c r="S1013" s="662"/>
      <c r="T1013" s="662"/>
      <c r="U1013" s="663"/>
      <c r="V1013" s="40"/>
      <c r="W1013" s="41"/>
      <c r="X1013" s="41"/>
      <c r="Y1013" s="41"/>
      <c r="Z1013" s="29"/>
      <c r="AA1013" s="29"/>
      <c r="AB1013" s="29"/>
      <c r="AC1013" s="29"/>
      <c r="AD1013" s="29"/>
    </row>
    <row r="1014" spans="1:30" s="488" customFormat="1" ht="41.25" hidden="1" customHeight="1">
      <c r="A1014" s="492"/>
      <c r="B1014" s="643"/>
      <c r="C1014" s="513"/>
      <c r="D1014" s="514"/>
      <c r="E1014" s="664" t="s">
        <v>29</v>
      </c>
      <c r="F1014" s="665"/>
      <c r="G1014" s="665"/>
      <c r="H1014" s="665"/>
      <c r="I1014" s="665"/>
      <c r="J1014" s="665"/>
      <c r="K1014" s="665"/>
      <c r="L1014" s="665"/>
      <c r="M1014" s="666"/>
      <c r="N1014" s="655"/>
      <c r="O1014" s="656"/>
      <c r="P1014" s="657"/>
      <c r="Q1014" s="667"/>
      <c r="R1014" s="689"/>
      <c r="S1014" s="689"/>
      <c r="T1014" s="689"/>
      <c r="U1014" s="690"/>
      <c r="V1014" s="42"/>
      <c r="W1014" s="41"/>
      <c r="X1014" s="41"/>
      <c r="Y1014" s="41"/>
      <c r="Z1014" s="29"/>
      <c r="AA1014" s="29"/>
      <c r="AB1014" s="29"/>
      <c r="AC1014" s="29"/>
      <c r="AD1014" s="29"/>
    </row>
    <row r="1015" spans="1:30" s="488" customFormat="1" ht="41.25" hidden="1" customHeight="1">
      <c r="A1015" s="492"/>
      <c r="B1015" s="643"/>
      <c r="C1015" s="513">
        <v>11</v>
      </c>
      <c r="D1015" s="514"/>
      <c r="E1015" s="670" t="s">
        <v>30</v>
      </c>
      <c r="F1015" s="670"/>
      <c r="G1015" s="670"/>
      <c r="H1015" s="670"/>
      <c r="I1015" s="670"/>
      <c r="J1015" s="670"/>
      <c r="K1015" s="670"/>
      <c r="L1015" s="498">
        <v>390.91</v>
      </c>
      <c r="M1015" s="459">
        <f>L1015</f>
        <v>390.91</v>
      </c>
      <c r="N1015" s="655"/>
      <c r="O1015" s="656"/>
      <c r="P1015" s="657"/>
      <c r="Q1015" s="671"/>
      <c r="R1015" s="672"/>
      <c r="S1015" s="673"/>
      <c r="T1015" s="457">
        <f>H1012*M1015*N1012*O1012*P1012</f>
        <v>0</v>
      </c>
      <c r="U1015" s="458">
        <f>T1015</f>
        <v>0</v>
      </c>
      <c r="V1015" s="42"/>
      <c r="W1015" s="39"/>
      <c r="X1015" s="41"/>
      <c r="Y1015" s="41"/>
      <c r="Z1015" s="43">
        <f>T1015</f>
        <v>0</v>
      </c>
      <c r="AA1015" s="29"/>
      <c r="AB1015" s="29"/>
      <c r="AC1015" s="29"/>
      <c r="AD1015" s="29"/>
    </row>
    <row r="1016" spans="1:30" s="488" customFormat="1" ht="41.25" hidden="1" customHeight="1">
      <c r="A1016" s="492"/>
      <c r="B1016" s="643"/>
      <c r="C1016" s="513"/>
      <c r="D1016" s="514"/>
      <c r="E1016" s="670" t="s">
        <v>31</v>
      </c>
      <c r="F1016" s="670"/>
      <c r="G1016" s="670"/>
      <c r="H1016" s="670"/>
      <c r="I1016" s="670"/>
      <c r="J1016" s="670"/>
      <c r="K1016" s="670"/>
      <c r="L1016" s="498">
        <f>ROUND((I1012+J1012+K1012)*2.14%,2)</f>
        <v>161.72</v>
      </c>
      <c r="M1016" s="459">
        <f>L1016</f>
        <v>161.72</v>
      </c>
      <c r="N1016" s="655"/>
      <c r="O1016" s="656"/>
      <c r="P1016" s="657"/>
      <c r="Q1016" s="671"/>
      <c r="R1016" s="672"/>
      <c r="S1016" s="673"/>
      <c r="T1016" s="457">
        <f>H1012*M1016*N1012*O1012*P1012</f>
        <v>0</v>
      </c>
      <c r="U1016" s="458">
        <f>T1016</f>
        <v>0</v>
      </c>
      <c r="V1016" s="42"/>
      <c r="W1016" s="41"/>
      <c r="X1016" s="39"/>
      <c r="Y1016" s="41"/>
      <c r="Z1016" s="29"/>
      <c r="AA1016" s="43">
        <f>T1016</f>
        <v>0</v>
      </c>
      <c r="AB1016" s="29"/>
      <c r="AC1016" s="29"/>
      <c r="AD1016" s="29"/>
    </row>
    <row r="1017" spans="1:30" s="488" customFormat="1" ht="41.25" hidden="1" customHeight="1">
      <c r="A1017" s="492"/>
      <c r="B1017" s="643"/>
      <c r="C1017" s="515"/>
      <c r="D1017" s="514"/>
      <c r="E1017" s="670" t="s">
        <v>376</v>
      </c>
      <c r="F1017" s="670"/>
      <c r="G1017" s="670"/>
      <c r="H1017" s="670"/>
      <c r="I1017" s="670"/>
      <c r="J1017" s="670"/>
      <c r="K1017" s="670"/>
      <c r="L1017" s="498">
        <f>ROUND((I1012+J1012+K1012+L1015+L1016+L1020)*3%,2)</f>
        <v>252.66</v>
      </c>
      <c r="M1017" s="459">
        <f>L1017</f>
        <v>252.66</v>
      </c>
      <c r="N1017" s="655"/>
      <c r="O1017" s="656"/>
      <c r="P1017" s="657"/>
      <c r="Q1017" s="671"/>
      <c r="R1017" s="672"/>
      <c r="S1017" s="673"/>
      <c r="T1017" s="457">
        <f>H1012*M1017*N1012*O1012*P1012</f>
        <v>0</v>
      </c>
      <c r="U1017" s="458">
        <f>T1017</f>
        <v>0</v>
      </c>
      <c r="V1017" s="42"/>
      <c r="W1017" s="41"/>
      <c r="X1017" s="41"/>
      <c r="Y1017" s="39"/>
      <c r="Z1017" s="29"/>
      <c r="AA1017" s="29"/>
      <c r="AB1017" s="43">
        <f>T1017</f>
        <v>0</v>
      </c>
      <c r="AC1017" s="29"/>
      <c r="AD1017" s="29"/>
    </row>
    <row r="1018" spans="1:30" s="488" customFormat="1" ht="54.75" hidden="1" customHeight="1">
      <c r="A1018" s="492"/>
      <c r="B1018" s="643"/>
      <c r="C1018" s="515"/>
      <c r="D1018" s="514"/>
      <c r="E1018" s="670" t="s">
        <v>377</v>
      </c>
      <c r="F1018" s="670"/>
      <c r="G1018" s="670"/>
      <c r="H1018" s="670"/>
      <c r="I1018" s="670"/>
      <c r="J1018" s="670"/>
      <c r="K1018" s="670"/>
      <c r="L1018" s="498">
        <f>870.54-K1012-L1015-L1016-L1020</f>
        <v>0</v>
      </c>
      <c r="M1018" s="459">
        <f>L1018</f>
        <v>0</v>
      </c>
      <c r="N1018" s="655"/>
      <c r="O1018" s="656"/>
      <c r="P1018" s="657"/>
      <c r="Q1018" s="671"/>
      <c r="R1018" s="672"/>
      <c r="S1018" s="673"/>
      <c r="T1018" s="457">
        <f>H1012*M1018*N1012*O1012*P1012</f>
        <v>0</v>
      </c>
      <c r="U1018" s="458">
        <f>T1018</f>
        <v>0</v>
      </c>
      <c r="V1018" s="42"/>
      <c r="W1018" s="41"/>
      <c r="X1018" s="41"/>
      <c r="Y1018" s="41"/>
      <c r="Z1018" s="44"/>
      <c r="AA1018" s="29"/>
      <c r="AB1018" s="29"/>
      <c r="AC1018" s="44">
        <f>T1018</f>
        <v>0</v>
      </c>
      <c r="AD1018" s="29"/>
    </row>
    <row r="1019" spans="1:30" s="488" customFormat="1" ht="45" hidden="1" customHeight="1">
      <c r="A1019" s="492"/>
      <c r="B1019" s="643"/>
      <c r="C1019" s="515"/>
      <c r="D1019" s="514"/>
      <c r="E1019" s="674"/>
      <c r="F1019" s="675"/>
      <c r="G1019" s="675"/>
      <c r="H1019" s="675"/>
      <c r="I1019" s="675"/>
      <c r="J1019" s="675"/>
      <c r="K1019" s="675"/>
      <c r="L1019" s="675"/>
      <c r="M1019" s="676"/>
      <c r="N1019" s="655"/>
      <c r="O1019" s="656"/>
      <c r="P1019" s="657"/>
      <c r="Q1019" s="677"/>
      <c r="R1019" s="678"/>
      <c r="S1019" s="678"/>
      <c r="T1019" s="678"/>
      <c r="U1019" s="679"/>
      <c r="V1019" s="45"/>
      <c r="W1019" s="41"/>
      <c r="X1019" s="41"/>
      <c r="Y1019" s="41"/>
      <c r="Z1019" s="29"/>
      <c r="AA1019" s="44"/>
      <c r="AB1019" s="29"/>
      <c r="AC1019" s="29"/>
      <c r="AD1019" s="29"/>
    </row>
    <row r="1020" spans="1:30" s="488" customFormat="1" ht="45" hidden="1" customHeight="1" thickBot="1">
      <c r="A1020" s="492"/>
      <c r="B1020" s="644"/>
      <c r="C1020" s="516"/>
      <c r="D1020" s="517"/>
      <c r="E1020" s="680" t="s">
        <v>369</v>
      </c>
      <c r="F1020" s="680" t="s">
        <v>306</v>
      </c>
      <c r="G1020" s="680"/>
      <c r="H1020" s="680"/>
      <c r="I1020" s="680"/>
      <c r="J1020" s="680"/>
      <c r="K1020" s="680"/>
      <c r="L1020" s="499">
        <f>ROUND((I1012+J1012+K1012+L1015)*3.93%,2)</f>
        <v>312.35000000000002</v>
      </c>
      <c r="M1020" s="46">
        <f>L1020</f>
        <v>312.35000000000002</v>
      </c>
      <c r="N1020" s="658"/>
      <c r="O1020" s="659"/>
      <c r="P1020" s="660"/>
      <c r="Q1020" s="681"/>
      <c r="R1020" s="682"/>
      <c r="S1020" s="683"/>
      <c r="T1020" s="500">
        <f>H1012*M1020*N1012*O1012*P1012</f>
        <v>0</v>
      </c>
      <c r="U1020" s="47">
        <f>T1020</f>
        <v>0</v>
      </c>
      <c r="V1020" s="48"/>
      <c r="W1020" s="41"/>
      <c r="X1020" s="41"/>
      <c r="Y1020" s="41"/>
      <c r="Z1020" s="29"/>
      <c r="AA1020" s="29"/>
      <c r="AB1020" s="44"/>
      <c r="AC1020" s="29"/>
      <c r="AD1020" s="44">
        <f>T1020</f>
        <v>0</v>
      </c>
    </row>
    <row r="1021" spans="1:30" s="488" customFormat="1" ht="150" hidden="1" customHeight="1">
      <c r="A1021" s="492"/>
      <c r="B1021" s="642">
        <v>2</v>
      </c>
      <c r="C1021" s="511">
        <v>1</v>
      </c>
      <c r="D1021" s="512"/>
      <c r="E1021" s="493" t="s">
        <v>573</v>
      </c>
      <c r="F1021" s="487" t="s">
        <v>574</v>
      </c>
      <c r="G1021" s="645" t="s">
        <v>357</v>
      </c>
      <c r="H1021" s="712">
        <v>0</v>
      </c>
      <c r="I1021" s="494">
        <v>0</v>
      </c>
      <c r="J1021" s="494">
        <v>5264.14</v>
      </c>
      <c r="K1021" s="494">
        <v>12.59</v>
      </c>
      <c r="L1021" s="494">
        <f>SUM(L1023:L1029)</f>
        <v>886.31</v>
      </c>
      <c r="M1021" s="33">
        <f>SUM(I1021:L1021)</f>
        <v>6163.0400000000009</v>
      </c>
      <c r="N1021" s="501">
        <v>1</v>
      </c>
      <c r="O1021" s="502">
        <v>1</v>
      </c>
      <c r="P1021" s="37">
        <v>1</v>
      </c>
      <c r="Q1021" s="34">
        <f>H1021*I1021*N1021*O1021*P1021</f>
        <v>0</v>
      </c>
      <c r="R1021" s="35">
        <f>H1021*J1021*N1021*O1021*P1021</f>
        <v>0</v>
      </c>
      <c r="S1021" s="36">
        <f>H1021*K1021*N1021*O1021*P1021</f>
        <v>0</v>
      </c>
      <c r="T1021" s="36">
        <f>H1021*L1021*N1021*O1021*P1021</f>
        <v>0</v>
      </c>
      <c r="U1021" s="37">
        <f>SUM(Q1021:T1021)</f>
        <v>0</v>
      </c>
      <c r="V1021" s="38">
        <f>(Q1021+R1021+S1021+T1025+T1026+T1027+T1029)*'Прогнозная стоимость РСС ИП '!$M$11+T1024*'Прогнозная стоимость РСС ИП '!$M$10</f>
        <v>0</v>
      </c>
      <c r="W1021" s="39">
        <f>T1021</f>
        <v>0</v>
      </c>
      <c r="X1021" s="39">
        <f>U1021</f>
        <v>0</v>
      </c>
      <c r="Y1021" s="39">
        <f>V1021</f>
        <v>0</v>
      </c>
      <c r="Z1021" s="29"/>
      <c r="AA1021" s="29"/>
      <c r="AB1021" s="29"/>
      <c r="AC1021" s="29"/>
      <c r="AD1021" s="29"/>
    </row>
    <row r="1022" spans="1:30" s="488" customFormat="1" ht="41.25" hidden="1" customHeight="1">
      <c r="A1022" s="492"/>
      <c r="B1022" s="643"/>
      <c r="C1022" s="513"/>
      <c r="D1022" s="514"/>
      <c r="E1022" s="495"/>
      <c r="F1022" s="496"/>
      <c r="G1022" s="646"/>
      <c r="H1022" s="713"/>
      <c r="I1022" s="649"/>
      <c r="J1022" s="650"/>
      <c r="K1022" s="650"/>
      <c r="L1022" s="650"/>
      <c r="M1022" s="651"/>
      <c r="N1022" s="652"/>
      <c r="O1022" s="653"/>
      <c r="P1022" s="654"/>
      <c r="Q1022" s="661"/>
      <c r="R1022" s="662"/>
      <c r="S1022" s="662"/>
      <c r="T1022" s="662"/>
      <c r="U1022" s="663"/>
      <c r="V1022" s="40"/>
      <c r="W1022" s="41"/>
      <c r="X1022" s="41"/>
      <c r="Y1022" s="41"/>
      <c r="Z1022" s="29"/>
      <c r="AA1022" s="29"/>
      <c r="AB1022" s="29"/>
      <c r="AC1022" s="29"/>
      <c r="AD1022" s="29"/>
    </row>
    <row r="1023" spans="1:30" s="488" customFormat="1" ht="41.25" hidden="1" customHeight="1">
      <c r="A1023" s="492"/>
      <c r="B1023" s="643"/>
      <c r="C1023" s="513"/>
      <c r="D1023" s="514"/>
      <c r="E1023" s="664" t="s">
        <v>29</v>
      </c>
      <c r="F1023" s="665"/>
      <c r="G1023" s="665"/>
      <c r="H1023" s="665"/>
      <c r="I1023" s="665"/>
      <c r="J1023" s="665"/>
      <c r="K1023" s="665"/>
      <c r="L1023" s="665"/>
      <c r="M1023" s="666"/>
      <c r="N1023" s="655"/>
      <c r="O1023" s="656"/>
      <c r="P1023" s="657"/>
      <c r="Q1023" s="667"/>
      <c r="R1023" s="689"/>
      <c r="S1023" s="689"/>
      <c r="T1023" s="689"/>
      <c r="U1023" s="690"/>
      <c r="V1023" s="42"/>
      <c r="W1023" s="41"/>
      <c r="X1023" s="41"/>
      <c r="Y1023" s="41"/>
      <c r="Z1023" s="29"/>
      <c r="AA1023" s="29"/>
      <c r="AB1023" s="29"/>
      <c r="AC1023" s="29"/>
      <c r="AD1023" s="29"/>
    </row>
    <row r="1024" spans="1:30" s="488" customFormat="1" ht="41.25" hidden="1" customHeight="1">
      <c r="A1024" s="492"/>
      <c r="B1024" s="643"/>
      <c r="C1024" s="513">
        <v>11</v>
      </c>
      <c r="D1024" s="514"/>
      <c r="E1024" s="670" t="s">
        <v>30</v>
      </c>
      <c r="F1024" s="670"/>
      <c r="G1024" s="670"/>
      <c r="H1024" s="670"/>
      <c r="I1024" s="670"/>
      <c r="J1024" s="670"/>
      <c r="K1024" s="670"/>
      <c r="L1024" s="498">
        <v>371.89</v>
      </c>
      <c r="M1024" s="459">
        <f>L1024</f>
        <v>371.89</v>
      </c>
      <c r="N1024" s="655"/>
      <c r="O1024" s="656"/>
      <c r="P1024" s="657"/>
      <c r="Q1024" s="671"/>
      <c r="R1024" s="672"/>
      <c r="S1024" s="673"/>
      <c r="T1024" s="457">
        <f>H1021*M1024*N1021*O1021*P1021</f>
        <v>0</v>
      </c>
      <c r="U1024" s="458">
        <f>T1024</f>
        <v>0</v>
      </c>
      <c r="V1024" s="42"/>
      <c r="W1024" s="39"/>
      <c r="X1024" s="41"/>
      <c r="Y1024" s="41"/>
      <c r="Z1024" s="43">
        <f>T1024</f>
        <v>0</v>
      </c>
      <c r="AA1024" s="29"/>
      <c r="AB1024" s="29"/>
      <c r="AC1024" s="29"/>
      <c r="AD1024" s="29"/>
    </row>
    <row r="1025" spans="1:30" s="488" customFormat="1" ht="41.25" hidden="1" customHeight="1">
      <c r="A1025" s="492"/>
      <c r="B1025" s="643"/>
      <c r="C1025" s="513"/>
      <c r="D1025" s="514"/>
      <c r="E1025" s="670" t="s">
        <v>31</v>
      </c>
      <c r="F1025" s="670"/>
      <c r="G1025" s="670"/>
      <c r="H1025" s="670"/>
      <c r="I1025" s="670"/>
      <c r="J1025" s="670"/>
      <c r="K1025" s="670"/>
      <c r="L1025" s="498">
        <f>ROUND((I1021+J1021+K1021)*2.14%,2)</f>
        <v>112.92</v>
      </c>
      <c r="M1025" s="459">
        <f>L1025</f>
        <v>112.92</v>
      </c>
      <c r="N1025" s="655"/>
      <c r="O1025" s="656"/>
      <c r="P1025" s="657"/>
      <c r="Q1025" s="671"/>
      <c r="R1025" s="672"/>
      <c r="S1025" s="673"/>
      <c r="T1025" s="457">
        <f>H1021*M1025*N1021*O1021*P1021</f>
        <v>0</v>
      </c>
      <c r="U1025" s="458">
        <f>T1025</f>
        <v>0</v>
      </c>
      <c r="V1025" s="42"/>
      <c r="W1025" s="41"/>
      <c r="X1025" s="39"/>
      <c r="Y1025" s="41"/>
      <c r="Z1025" s="29"/>
      <c r="AA1025" s="43">
        <f>T1025</f>
        <v>0</v>
      </c>
      <c r="AB1025" s="29"/>
      <c r="AC1025" s="29"/>
      <c r="AD1025" s="29"/>
    </row>
    <row r="1026" spans="1:30" s="488" customFormat="1" ht="41.25" hidden="1" customHeight="1">
      <c r="A1026" s="492"/>
      <c r="B1026" s="643"/>
      <c r="C1026" s="515"/>
      <c r="D1026" s="514"/>
      <c r="E1026" s="670" t="s">
        <v>376</v>
      </c>
      <c r="F1026" s="670"/>
      <c r="G1026" s="670"/>
      <c r="H1026" s="670"/>
      <c r="I1026" s="670"/>
      <c r="J1026" s="670"/>
      <c r="K1026" s="670"/>
      <c r="L1026" s="498">
        <f>ROUND((I1021+J1021+K1021+L1024+L1025+L1029)*3%,2)</f>
        <v>179.51</v>
      </c>
      <c r="M1026" s="459">
        <f>L1026</f>
        <v>179.51</v>
      </c>
      <c r="N1026" s="655"/>
      <c r="O1026" s="656"/>
      <c r="P1026" s="657"/>
      <c r="Q1026" s="671"/>
      <c r="R1026" s="672"/>
      <c r="S1026" s="673"/>
      <c r="T1026" s="457">
        <f>H1021*M1026*N1021*O1021*P1021</f>
        <v>0</v>
      </c>
      <c r="U1026" s="458">
        <f>T1026</f>
        <v>0</v>
      </c>
      <c r="V1026" s="42"/>
      <c r="W1026" s="41"/>
      <c r="X1026" s="41"/>
      <c r="Y1026" s="39"/>
      <c r="Z1026" s="29"/>
      <c r="AA1026" s="29"/>
      <c r="AB1026" s="43">
        <f>T1026</f>
        <v>0</v>
      </c>
      <c r="AC1026" s="29"/>
      <c r="AD1026" s="29"/>
    </row>
    <row r="1027" spans="1:30" s="488" customFormat="1" ht="54.75" hidden="1" customHeight="1">
      <c r="A1027" s="492"/>
      <c r="B1027" s="643"/>
      <c r="C1027" s="515"/>
      <c r="D1027" s="514"/>
      <c r="E1027" s="670" t="s">
        <v>377</v>
      </c>
      <c r="F1027" s="670"/>
      <c r="G1027" s="670"/>
      <c r="H1027" s="670"/>
      <c r="I1027" s="670"/>
      <c r="J1027" s="670"/>
      <c r="K1027" s="670"/>
      <c r="L1027" s="498">
        <f>719.39-K1021-L1024-L1025-L1029</f>
        <v>0</v>
      </c>
      <c r="M1027" s="459">
        <f>L1027</f>
        <v>0</v>
      </c>
      <c r="N1027" s="655"/>
      <c r="O1027" s="656"/>
      <c r="P1027" s="657"/>
      <c r="Q1027" s="671"/>
      <c r="R1027" s="672"/>
      <c r="S1027" s="673"/>
      <c r="T1027" s="457">
        <f>H1021*M1027*N1021*O1021*P1021</f>
        <v>0</v>
      </c>
      <c r="U1027" s="458">
        <f>T1027</f>
        <v>0</v>
      </c>
      <c r="V1027" s="42"/>
      <c r="W1027" s="41"/>
      <c r="X1027" s="41"/>
      <c r="Y1027" s="41"/>
      <c r="Z1027" s="44"/>
      <c r="AA1027" s="29"/>
      <c r="AB1027" s="29"/>
      <c r="AC1027" s="44">
        <f>T1027</f>
        <v>0</v>
      </c>
      <c r="AD1027" s="29"/>
    </row>
    <row r="1028" spans="1:30" s="488" customFormat="1" ht="45" hidden="1" customHeight="1">
      <c r="A1028" s="492"/>
      <c r="B1028" s="643"/>
      <c r="C1028" s="515"/>
      <c r="D1028" s="514"/>
      <c r="E1028" s="674"/>
      <c r="F1028" s="675"/>
      <c r="G1028" s="675"/>
      <c r="H1028" s="675"/>
      <c r="I1028" s="675"/>
      <c r="J1028" s="675"/>
      <c r="K1028" s="675"/>
      <c r="L1028" s="675"/>
      <c r="M1028" s="676"/>
      <c r="N1028" s="655"/>
      <c r="O1028" s="656"/>
      <c r="P1028" s="657"/>
      <c r="Q1028" s="677"/>
      <c r="R1028" s="678"/>
      <c r="S1028" s="678"/>
      <c r="T1028" s="678"/>
      <c r="U1028" s="679"/>
      <c r="V1028" s="45"/>
      <c r="W1028" s="41"/>
      <c r="X1028" s="41"/>
      <c r="Y1028" s="41"/>
      <c r="Z1028" s="29"/>
      <c r="AA1028" s="44"/>
      <c r="AB1028" s="29"/>
      <c r="AC1028" s="29"/>
      <c r="AD1028" s="29"/>
    </row>
    <row r="1029" spans="1:30" s="488" customFormat="1" ht="45" hidden="1" customHeight="1" thickBot="1">
      <c r="A1029" s="492"/>
      <c r="B1029" s="644"/>
      <c r="C1029" s="516"/>
      <c r="D1029" s="517"/>
      <c r="E1029" s="680" t="s">
        <v>369</v>
      </c>
      <c r="F1029" s="680" t="s">
        <v>306</v>
      </c>
      <c r="G1029" s="680"/>
      <c r="H1029" s="680"/>
      <c r="I1029" s="680"/>
      <c r="J1029" s="680"/>
      <c r="K1029" s="680"/>
      <c r="L1029" s="499">
        <f>ROUND((I1021+J1021+K1021+L1024)*3.93%,2)</f>
        <v>221.99</v>
      </c>
      <c r="M1029" s="46">
        <f>L1029</f>
        <v>221.99</v>
      </c>
      <c r="N1029" s="658"/>
      <c r="O1029" s="659"/>
      <c r="P1029" s="660"/>
      <c r="Q1029" s="681"/>
      <c r="R1029" s="682"/>
      <c r="S1029" s="683"/>
      <c r="T1029" s="500">
        <f>H1021*M1029*N1021*O1021*P1021</f>
        <v>0</v>
      </c>
      <c r="U1029" s="47">
        <f>T1029</f>
        <v>0</v>
      </c>
      <c r="V1029" s="48"/>
      <c r="W1029" s="41"/>
      <c r="X1029" s="41"/>
      <c r="Y1029" s="41"/>
      <c r="Z1029" s="29"/>
      <c r="AA1029" s="29"/>
      <c r="AB1029" s="44"/>
      <c r="AC1029" s="29"/>
      <c r="AD1029" s="44">
        <f>T1029</f>
        <v>0</v>
      </c>
    </row>
    <row r="1030" spans="1:30" s="488" customFormat="1" ht="150" hidden="1" customHeight="1">
      <c r="A1030" s="492"/>
      <c r="B1030" s="642">
        <v>2</v>
      </c>
      <c r="C1030" s="511">
        <v>1</v>
      </c>
      <c r="D1030" s="512"/>
      <c r="E1030" s="493" t="s">
        <v>575</v>
      </c>
      <c r="F1030" s="487" t="s">
        <v>576</v>
      </c>
      <c r="G1030" s="645" t="s">
        <v>357</v>
      </c>
      <c r="H1030" s="712">
        <v>0</v>
      </c>
      <c r="I1030" s="494">
        <v>0</v>
      </c>
      <c r="J1030" s="494">
        <v>5472.29</v>
      </c>
      <c r="K1030" s="494">
        <v>12.59</v>
      </c>
      <c r="L1030" s="494">
        <f>SUM(L1032:L1038)</f>
        <v>906.02</v>
      </c>
      <c r="M1030" s="33">
        <f>SUM(I1030:L1030)</f>
        <v>6390.9</v>
      </c>
      <c r="N1030" s="501">
        <v>1</v>
      </c>
      <c r="O1030" s="502">
        <v>1</v>
      </c>
      <c r="P1030" s="37">
        <v>1</v>
      </c>
      <c r="Q1030" s="34">
        <f>H1030*I1030*N1030*O1030*P1030</f>
        <v>0</v>
      </c>
      <c r="R1030" s="35">
        <f>H1030*J1030*N1030*O1030*P1030</f>
        <v>0</v>
      </c>
      <c r="S1030" s="36">
        <f>H1030*K1030*N1030*O1030*P1030</f>
        <v>0</v>
      </c>
      <c r="T1030" s="36">
        <f>H1030*L1030*N1030*O1030*P1030</f>
        <v>0</v>
      </c>
      <c r="U1030" s="37">
        <f>SUM(Q1030:T1030)</f>
        <v>0</v>
      </c>
      <c r="V1030" s="38">
        <f>(Q1030+R1030+S1030+T1034+T1035+T1036+T1038)*'Прогнозная стоимость РСС ИП '!$M$11+T1033*'Прогнозная стоимость РСС ИП '!$M$10</f>
        <v>0</v>
      </c>
      <c r="W1030" s="39">
        <f>T1030</f>
        <v>0</v>
      </c>
      <c r="X1030" s="39">
        <f>U1030</f>
        <v>0</v>
      </c>
      <c r="Y1030" s="39">
        <f>V1030</f>
        <v>0</v>
      </c>
      <c r="Z1030" s="29"/>
      <c r="AA1030" s="29"/>
      <c r="AB1030" s="29"/>
      <c r="AC1030" s="29"/>
      <c r="AD1030" s="29"/>
    </row>
    <row r="1031" spans="1:30" s="488" customFormat="1" ht="41.25" hidden="1" customHeight="1">
      <c r="A1031" s="492"/>
      <c r="B1031" s="643"/>
      <c r="C1031" s="513"/>
      <c r="D1031" s="514"/>
      <c r="E1031" s="495"/>
      <c r="F1031" s="496"/>
      <c r="G1031" s="646"/>
      <c r="H1031" s="713"/>
      <c r="I1031" s="649"/>
      <c r="J1031" s="650"/>
      <c r="K1031" s="650"/>
      <c r="L1031" s="650"/>
      <c r="M1031" s="651"/>
      <c r="N1031" s="652"/>
      <c r="O1031" s="653"/>
      <c r="P1031" s="654"/>
      <c r="Q1031" s="661"/>
      <c r="R1031" s="662"/>
      <c r="S1031" s="662"/>
      <c r="T1031" s="662"/>
      <c r="U1031" s="663"/>
      <c r="V1031" s="40"/>
      <c r="W1031" s="41"/>
      <c r="X1031" s="41"/>
      <c r="Y1031" s="41"/>
      <c r="Z1031" s="29"/>
      <c r="AA1031" s="29"/>
      <c r="AB1031" s="29"/>
      <c r="AC1031" s="29"/>
      <c r="AD1031" s="29"/>
    </row>
    <row r="1032" spans="1:30" s="488" customFormat="1" ht="41.25" hidden="1" customHeight="1">
      <c r="A1032" s="492"/>
      <c r="B1032" s="643"/>
      <c r="C1032" s="513"/>
      <c r="D1032" s="514"/>
      <c r="E1032" s="664" t="s">
        <v>29</v>
      </c>
      <c r="F1032" s="665"/>
      <c r="G1032" s="665"/>
      <c r="H1032" s="665"/>
      <c r="I1032" s="665"/>
      <c r="J1032" s="665"/>
      <c r="K1032" s="665"/>
      <c r="L1032" s="665"/>
      <c r="M1032" s="666"/>
      <c r="N1032" s="655"/>
      <c r="O1032" s="656"/>
      <c r="P1032" s="657"/>
      <c r="Q1032" s="667"/>
      <c r="R1032" s="689"/>
      <c r="S1032" s="689"/>
      <c r="T1032" s="689"/>
      <c r="U1032" s="690"/>
      <c r="V1032" s="42"/>
      <c r="W1032" s="41"/>
      <c r="X1032" s="41"/>
      <c r="Y1032" s="41"/>
      <c r="Z1032" s="29"/>
      <c r="AA1032" s="29"/>
      <c r="AB1032" s="29"/>
      <c r="AC1032" s="29"/>
      <c r="AD1032" s="29"/>
    </row>
    <row r="1033" spans="1:30" s="488" customFormat="1" ht="41.25" hidden="1" customHeight="1">
      <c r="A1033" s="492"/>
      <c r="B1033" s="643"/>
      <c r="C1033" s="513">
        <v>11</v>
      </c>
      <c r="D1033" s="514"/>
      <c r="E1033" s="670" t="s">
        <v>30</v>
      </c>
      <c r="F1033" s="670"/>
      <c r="G1033" s="670"/>
      <c r="H1033" s="670"/>
      <c r="I1033" s="670"/>
      <c r="J1033" s="670"/>
      <c r="K1033" s="670"/>
      <c r="L1033" s="498">
        <v>372.31</v>
      </c>
      <c r="M1033" s="459">
        <f>L1033</f>
        <v>372.31</v>
      </c>
      <c r="N1033" s="655"/>
      <c r="O1033" s="656"/>
      <c r="P1033" s="657"/>
      <c r="Q1033" s="671"/>
      <c r="R1033" s="672"/>
      <c r="S1033" s="673"/>
      <c r="T1033" s="457">
        <f>H1030*M1033*N1030*O1030*P1030</f>
        <v>0</v>
      </c>
      <c r="U1033" s="458">
        <f>T1033</f>
        <v>0</v>
      </c>
      <c r="V1033" s="42"/>
      <c r="W1033" s="39"/>
      <c r="X1033" s="41"/>
      <c r="Y1033" s="41"/>
      <c r="Z1033" s="43">
        <f>T1033</f>
        <v>0</v>
      </c>
      <c r="AA1033" s="29"/>
      <c r="AB1033" s="29"/>
      <c r="AC1033" s="29"/>
      <c r="AD1033" s="29"/>
    </row>
    <row r="1034" spans="1:30" s="488" customFormat="1" ht="41.25" hidden="1" customHeight="1">
      <c r="A1034" s="492"/>
      <c r="B1034" s="643"/>
      <c r="C1034" s="513"/>
      <c r="D1034" s="514"/>
      <c r="E1034" s="670" t="s">
        <v>31</v>
      </c>
      <c r="F1034" s="670"/>
      <c r="G1034" s="670"/>
      <c r="H1034" s="670"/>
      <c r="I1034" s="670"/>
      <c r="J1034" s="670"/>
      <c r="K1034" s="670"/>
      <c r="L1034" s="498">
        <f>ROUND((I1030+J1030+K1030)*2.14%,2)</f>
        <v>117.38</v>
      </c>
      <c r="M1034" s="459">
        <f>L1034</f>
        <v>117.38</v>
      </c>
      <c r="N1034" s="655"/>
      <c r="O1034" s="656"/>
      <c r="P1034" s="657"/>
      <c r="Q1034" s="671"/>
      <c r="R1034" s="672"/>
      <c r="S1034" s="673"/>
      <c r="T1034" s="457">
        <f>H1030*M1034*N1030*O1030*P1030</f>
        <v>0</v>
      </c>
      <c r="U1034" s="458">
        <f>T1034</f>
        <v>0</v>
      </c>
      <c r="V1034" s="42"/>
      <c r="W1034" s="41"/>
      <c r="X1034" s="39"/>
      <c r="Y1034" s="41"/>
      <c r="Z1034" s="29"/>
      <c r="AA1034" s="43">
        <f>T1034</f>
        <v>0</v>
      </c>
      <c r="AB1034" s="29"/>
      <c r="AC1034" s="29"/>
      <c r="AD1034" s="29"/>
    </row>
    <row r="1035" spans="1:30" s="488" customFormat="1" ht="41.25" hidden="1" customHeight="1">
      <c r="A1035" s="492"/>
      <c r="B1035" s="643"/>
      <c r="C1035" s="515"/>
      <c r="D1035" s="514"/>
      <c r="E1035" s="670" t="s">
        <v>376</v>
      </c>
      <c r="F1035" s="670"/>
      <c r="G1035" s="670"/>
      <c r="H1035" s="670"/>
      <c r="I1035" s="670"/>
      <c r="J1035" s="670"/>
      <c r="K1035" s="670"/>
      <c r="L1035" s="498">
        <f>ROUND((I1030+J1030+K1030+L1033+L1034+L1038)*3%,2)</f>
        <v>186.14</v>
      </c>
      <c r="M1035" s="459">
        <f>L1035</f>
        <v>186.14</v>
      </c>
      <c r="N1035" s="655"/>
      <c r="O1035" s="656"/>
      <c r="P1035" s="657"/>
      <c r="Q1035" s="671"/>
      <c r="R1035" s="672"/>
      <c r="S1035" s="673"/>
      <c r="T1035" s="457">
        <f>H1030*M1035*N1030*O1030*P1030</f>
        <v>0</v>
      </c>
      <c r="U1035" s="458">
        <f>T1035</f>
        <v>0</v>
      </c>
      <c r="V1035" s="42"/>
      <c r="W1035" s="41"/>
      <c r="X1035" s="41"/>
      <c r="Y1035" s="39"/>
      <c r="Z1035" s="29"/>
      <c r="AA1035" s="29"/>
      <c r="AB1035" s="43">
        <f>T1035</f>
        <v>0</v>
      </c>
      <c r="AC1035" s="29"/>
      <c r="AD1035" s="29"/>
    </row>
    <row r="1036" spans="1:30" s="488" customFormat="1" ht="54.75" hidden="1" customHeight="1">
      <c r="A1036" s="492"/>
      <c r="B1036" s="643"/>
      <c r="C1036" s="515"/>
      <c r="D1036" s="514"/>
      <c r="E1036" s="670" t="s">
        <v>377</v>
      </c>
      <c r="F1036" s="670"/>
      <c r="G1036" s="670"/>
      <c r="H1036" s="670"/>
      <c r="I1036" s="670"/>
      <c r="J1036" s="670"/>
      <c r="K1036" s="670"/>
      <c r="L1036" s="498">
        <f>732.47-K1030-L1033-L1034-L1038</f>
        <v>0</v>
      </c>
      <c r="M1036" s="459">
        <f>L1036</f>
        <v>0</v>
      </c>
      <c r="N1036" s="655"/>
      <c r="O1036" s="656"/>
      <c r="P1036" s="657"/>
      <c r="Q1036" s="671"/>
      <c r="R1036" s="672"/>
      <c r="S1036" s="673"/>
      <c r="T1036" s="457">
        <f>H1030*M1036*N1030*O1030*P1030</f>
        <v>0</v>
      </c>
      <c r="U1036" s="458">
        <f>T1036</f>
        <v>0</v>
      </c>
      <c r="V1036" s="42"/>
      <c r="W1036" s="41"/>
      <c r="X1036" s="41"/>
      <c r="Y1036" s="41"/>
      <c r="Z1036" s="44"/>
      <c r="AA1036" s="29"/>
      <c r="AB1036" s="29"/>
      <c r="AC1036" s="44">
        <f>T1036</f>
        <v>0</v>
      </c>
      <c r="AD1036" s="29"/>
    </row>
    <row r="1037" spans="1:30" s="488" customFormat="1" ht="45" hidden="1" customHeight="1">
      <c r="A1037" s="492"/>
      <c r="B1037" s="643"/>
      <c r="C1037" s="515"/>
      <c r="D1037" s="514"/>
      <c r="E1037" s="674"/>
      <c r="F1037" s="675"/>
      <c r="G1037" s="675"/>
      <c r="H1037" s="675"/>
      <c r="I1037" s="675"/>
      <c r="J1037" s="675"/>
      <c r="K1037" s="675"/>
      <c r="L1037" s="675"/>
      <c r="M1037" s="676"/>
      <c r="N1037" s="655"/>
      <c r="O1037" s="656"/>
      <c r="P1037" s="657"/>
      <c r="Q1037" s="677"/>
      <c r="R1037" s="678"/>
      <c r="S1037" s="678"/>
      <c r="T1037" s="678"/>
      <c r="U1037" s="679"/>
      <c r="V1037" s="45"/>
      <c r="W1037" s="41"/>
      <c r="X1037" s="41"/>
      <c r="Y1037" s="41"/>
      <c r="Z1037" s="29"/>
      <c r="AA1037" s="44"/>
      <c r="AB1037" s="29"/>
      <c r="AC1037" s="29"/>
      <c r="AD1037" s="29"/>
    </row>
    <row r="1038" spans="1:30" s="488" customFormat="1" ht="45" hidden="1" customHeight="1" thickBot="1">
      <c r="A1038" s="492"/>
      <c r="B1038" s="644"/>
      <c r="C1038" s="516"/>
      <c r="D1038" s="517"/>
      <c r="E1038" s="680" t="s">
        <v>369</v>
      </c>
      <c r="F1038" s="680" t="s">
        <v>306</v>
      </c>
      <c r="G1038" s="680"/>
      <c r="H1038" s="680"/>
      <c r="I1038" s="680"/>
      <c r="J1038" s="680"/>
      <c r="K1038" s="680"/>
      <c r="L1038" s="499">
        <f>ROUND((I1030+J1030+K1030+L1033)*3.93%,2)</f>
        <v>230.19</v>
      </c>
      <c r="M1038" s="46">
        <f>L1038</f>
        <v>230.19</v>
      </c>
      <c r="N1038" s="658"/>
      <c r="O1038" s="659"/>
      <c r="P1038" s="660"/>
      <c r="Q1038" s="681"/>
      <c r="R1038" s="682"/>
      <c r="S1038" s="683"/>
      <c r="T1038" s="500">
        <f>H1030*M1038*N1030*O1030*P1030</f>
        <v>0</v>
      </c>
      <c r="U1038" s="47">
        <f>T1038</f>
        <v>0</v>
      </c>
      <c r="V1038" s="48"/>
      <c r="W1038" s="41"/>
      <c r="X1038" s="41"/>
      <c r="Y1038" s="41"/>
      <c r="Z1038" s="29"/>
      <c r="AA1038" s="29"/>
      <c r="AB1038" s="44"/>
      <c r="AC1038" s="29"/>
      <c r="AD1038" s="44">
        <f>T1038</f>
        <v>0</v>
      </c>
    </row>
    <row r="1039" spans="1:30" s="488" customFormat="1" ht="150" hidden="1" customHeight="1">
      <c r="A1039" s="492"/>
      <c r="B1039" s="642">
        <v>2</v>
      </c>
      <c r="C1039" s="511">
        <v>1</v>
      </c>
      <c r="D1039" s="512"/>
      <c r="E1039" s="493" t="s">
        <v>577</v>
      </c>
      <c r="F1039" s="487" t="s">
        <v>578</v>
      </c>
      <c r="G1039" s="645" t="s">
        <v>357</v>
      </c>
      <c r="H1039" s="712">
        <v>0</v>
      </c>
      <c r="I1039" s="494">
        <v>0</v>
      </c>
      <c r="J1039" s="494">
        <v>5668.47</v>
      </c>
      <c r="K1039" s="494">
        <v>12.59</v>
      </c>
      <c r="L1039" s="494">
        <f>SUM(L1041:L1047)</f>
        <v>924.57999999999993</v>
      </c>
      <c r="M1039" s="33">
        <f>SUM(I1039:L1039)</f>
        <v>6605.64</v>
      </c>
      <c r="N1039" s="501">
        <v>1</v>
      </c>
      <c r="O1039" s="502">
        <v>1</v>
      </c>
      <c r="P1039" s="37">
        <v>1</v>
      </c>
      <c r="Q1039" s="34">
        <f>H1039*I1039*N1039*O1039*P1039</f>
        <v>0</v>
      </c>
      <c r="R1039" s="35">
        <f>H1039*J1039*N1039*O1039*P1039</f>
        <v>0</v>
      </c>
      <c r="S1039" s="36">
        <f>H1039*K1039*N1039*O1039*P1039</f>
        <v>0</v>
      </c>
      <c r="T1039" s="36">
        <f>H1039*L1039*N1039*O1039*P1039</f>
        <v>0</v>
      </c>
      <c r="U1039" s="37">
        <f>SUM(Q1039:T1039)</f>
        <v>0</v>
      </c>
      <c r="V1039" s="38">
        <f>(Q1039+R1039+S1039+T1043+T1044+T1045+T1047)*'Прогнозная стоимость РСС ИП '!$M$11+T1042*'Прогнозная стоимость РСС ИП '!$M$10</f>
        <v>0</v>
      </c>
      <c r="W1039" s="39">
        <f>T1039</f>
        <v>0</v>
      </c>
      <c r="X1039" s="39">
        <f>U1039</f>
        <v>0</v>
      </c>
      <c r="Y1039" s="39">
        <f>V1039</f>
        <v>0</v>
      </c>
      <c r="Z1039" s="29"/>
      <c r="AA1039" s="29"/>
      <c r="AB1039" s="29"/>
      <c r="AC1039" s="29"/>
      <c r="AD1039" s="29"/>
    </row>
    <row r="1040" spans="1:30" s="488" customFormat="1" ht="41.25" hidden="1" customHeight="1">
      <c r="A1040" s="492"/>
      <c r="B1040" s="643"/>
      <c r="C1040" s="513"/>
      <c r="D1040" s="514"/>
      <c r="E1040" s="495"/>
      <c r="F1040" s="496"/>
      <c r="G1040" s="646"/>
      <c r="H1040" s="713"/>
      <c r="I1040" s="649"/>
      <c r="J1040" s="650"/>
      <c r="K1040" s="650"/>
      <c r="L1040" s="650"/>
      <c r="M1040" s="651"/>
      <c r="N1040" s="652"/>
      <c r="O1040" s="653"/>
      <c r="P1040" s="654"/>
      <c r="Q1040" s="661"/>
      <c r="R1040" s="662"/>
      <c r="S1040" s="662"/>
      <c r="T1040" s="662"/>
      <c r="U1040" s="663"/>
      <c r="V1040" s="40"/>
      <c r="W1040" s="41"/>
      <c r="X1040" s="41"/>
      <c r="Y1040" s="41"/>
      <c r="Z1040" s="29"/>
      <c r="AA1040" s="29"/>
      <c r="AB1040" s="29"/>
      <c r="AC1040" s="29"/>
      <c r="AD1040" s="29"/>
    </row>
    <row r="1041" spans="1:30" s="488" customFormat="1" ht="41.25" hidden="1" customHeight="1">
      <c r="A1041" s="492"/>
      <c r="B1041" s="643"/>
      <c r="C1041" s="513"/>
      <c r="D1041" s="514"/>
      <c r="E1041" s="664" t="s">
        <v>29</v>
      </c>
      <c r="F1041" s="665"/>
      <c r="G1041" s="665"/>
      <c r="H1041" s="665"/>
      <c r="I1041" s="665"/>
      <c r="J1041" s="665"/>
      <c r="K1041" s="665"/>
      <c r="L1041" s="665"/>
      <c r="M1041" s="666"/>
      <c r="N1041" s="655"/>
      <c r="O1041" s="656"/>
      <c r="P1041" s="657"/>
      <c r="Q1041" s="667"/>
      <c r="R1041" s="689"/>
      <c r="S1041" s="689"/>
      <c r="T1041" s="689"/>
      <c r="U1041" s="690"/>
      <c r="V1041" s="42"/>
      <c r="W1041" s="41"/>
      <c r="X1041" s="41"/>
      <c r="Y1041" s="41"/>
      <c r="Z1041" s="29"/>
      <c r="AA1041" s="29"/>
      <c r="AB1041" s="29"/>
      <c r="AC1041" s="29"/>
      <c r="AD1041" s="29"/>
    </row>
    <row r="1042" spans="1:30" s="488" customFormat="1" ht="41.25" hidden="1" customHeight="1">
      <c r="A1042" s="492"/>
      <c r="B1042" s="643"/>
      <c r="C1042" s="513">
        <v>11</v>
      </c>
      <c r="D1042" s="514"/>
      <c r="E1042" s="670" t="s">
        <v>30</v>
      </c>
      <c r="F1042" s="670"/>
      <c r="G1042" s="670"/>
      <c r="H1042" s="670"/>
      <c r="I1042" s="670"/>
      <c r="J1042" s="670"/>
      <c r="K1042" s="670"/>
      <c r="L1042" s="498">
        <v>372.7</v>
      </c>
      <c r="M1042" s="459">
        <f>L1042</f>
        <v>372.7</v>
      </c>
      <c r="N1042" s="655"/>
      <c r="O1042" s="656"/>
      <c r="P1042" s="657"/>
      <c r="Q1042" s="671"/>
      <c r="R1042" s="672"/>
      <c r="S1042" s="673"/>
      <c r="T1042" s="457">
        <f>H1039*M1042*N1039*O1039*P1039</f>
        <v>0</v>
      </c>
      <c r="U1042" s="458">
        <f>T1042</f>
        <v>0</v>
      </c>
      <c r="V1042" s="42"/>
      <c r="W1042" s="39"/>
      <c r="X1042" s="41"/>
      <c r="Y1042" s="41"/>
      <c r="Z1042" s="43">
        <f>T1042</f>
        <v>0</v>
      </c>
      <c r="AA1042" s="29"/>
      <c r="AB1042" s="29"/>
      <c r="AC1042" s="29"/>
      <c r="AD1042" s="29"/>
    </row>
    <row r="1043" spans="1:30" s="488" customFormat="1" ht="41.25" hidden="1" customHeight="1">
      <c r="A1043" s="492"/>
      <c r="B1043" s="643"/>
      <c r="C1043" s="513"/>
      <c r="D1043" s="514"/>
      <c r="E1043" s="670" t="s">
        <v>31</v>
      </c>
      <c r="F1043" s="670"/>
      <c r="G1043" s="670"/>
      <c r="H1043" s="670"/>
      <c r="I1043" s="670"/>
      <c r="J1043" s="670"/>
      <c r="K1043" s="670"/>
      <c r="L1043" s="498">
        <f>ROUND((I1039+J1039+K1039)*2.14%,2)</f>
        <v>121.57</v>
      </c>
      <c r="M1043" s="459">
        <f>L1043</f>
        <v>121.57</v>
      </c>
      <c r="N1043" s="655"/>
      <c r="O1043" s="656"/>
      <c r="P1043" s="657"/>
      <c r="Q1043" s="671"/>
      <c r="R1043" s="672"/>
      <c r="S1043" s="673"/>
      <c r="T1043" s="457">
        <f>H1039*M1043*N1039*O1039*P1039</f>
        <v>0</v>
      </c>
      <c r="U1043" s="458">
        <f>T1043</f>
        <v>0</v>
      </c>
      <c r="V1043" s="42"/>
      <c r="W1043" s="41"/>
      <c r="X1043" s="39"/>
      <c r="Y1043" s="41"/>
      <c r="Z1043" s="29"/>
      <c r="AA1043" s="43">
        <f>T1043</f>
        <v>0</v>
      </c>
      <c r="AB1043" s="29"/>
      <c r="AC1043" s="29"/>
      <c r="AD1043" s="29"/>
    </row>
    <row r="1044" spans="1:30" s="488" customFormat="1" ht="41.25" hidden="1" customHeight="1">
      <c r="A1044" s="492"/>
      <c r="B1044" s="643"/>
      <c r="C1044" s="515"/>
      <c r="D1044" s="514"/>
      <c r="E1044" s="670" t="s">
        <v>376</v>
      </c>
      <c r="F1044" s="670"/>
      <c r="G1044" s="670"/>
      <c r="H1044" s="670"/>
      <c r="I1044" s="670"/>
      <c r="J1044" s="670"/>
      <c r="K1044" s="670"/>
      <c r="L1044" s="498">
        <f>ROUND((I1039+J1039+K1039+L1042+L1043+L1047)*3%,2)</f>
        <v>192.4</v>
      </c>
      <c r="M1044" s="459">
        <f>L1044</f>
        <v>192.4</v>
      </c>
      <c r="N1044" s="655"/>
      <c r="O1044" s="656"/>
      <c r="P1044" s="657"/>
      <c r="Q1044" s="671"/>
      <c r="R1044" s="672"/>
      <c r="S1044" s="673"/>
      <c r="T1044" s="457">
        <f>H1039*M1044*N1039*O1039*P1039</f>
        <v>0</v>
      </c>
      <c r="U1044" s="458">
        <f>T1044</f>
        <v>0</v>
      </c>
      <c r="V1044" s="42"/>
      <c r="W1044" s="41"/>
      <c r="X1044" s="41"/>
      <c r="Y1044" s="39"/>
      <c r="Z1044" s="29"/>
      <c r="AA1044" s="29"/>
      <c r="AB1044" s="43">
        <f>T1044</f>
        <v>0</v>
      </c>
      <c r="AC1044" s="29"/>
      <c r="AD1044" s="29"/>
    </row>
    <row r="1045" spans="1:30" s="488" customFormat="1" ht="54.75" hidden="1" customHeight="1">
      <c r="A1045" s="492"/>
      <c r="B1045" s="643"/>
      <c r="C1045" s="515"/>
      <c r="D1045" s="514"/>
      <c r="E1045" s="670" t="s">
        <v>377</v>
      </c>
      <c r="F1045" s="670"/>
      <c r="G1045" s="670"/>
      <c r="H1045" s="670"/>
      <c r="I1045" s="670"/>
      <c r="J1045" s="670"/>
      <c r="K1045" s="670"/>
      <c r="L1045" s="498">
        <f>744.77-K1039-L1042-L1043-L1047</f>
        <v>0</v>
      </c>
      <c r="M1045" s="459">
        <f>L1045</f>
        <v>0</v>
      </c>
      <c r="N1045" s="655"/>
      <c r="O1045" s="656"/>
      <c r="P1045" s="657"/>
      <c r="Q1045" s="671"/>
      <c r="R1045" s="672"/>
      <c r="S1045" s="673"/>
      <c r="T1045" s="457">
        <f>H1039*M1045*N1039*O1039*P1039</f>
        <v>0</v>
      </c>
      <c r="U1045" s="458">
        <f>T1045</f>
        <v>0</v>
      </c>
      <c r="V1045" s="42"/>
      <c r="W1045" s="41"/>
      <c r="X1045" s="41"/>
      <c r="Y1045" s="41"/>
      <c r="Z1045" s="44"/>
      <c r="AA1045" s="29"/>
      <c r="AB1045" s="29"/>
      <c r="AC1045" s="44">
        <f>T1045</f>
        <v>0</v>
      </c>
      <c r="AD1045" s="29"/>
    </row>
    <row r="1046" spans="1:30" s="488" customFormat="1" ht="45" hidden="1" customHeight="1">
      <c r="A1046" s="492"/>
      <c r="B1046" s="643"/>
      <c r="C1046" s="515"/>
      <c r="D1046" s="514"/>
      <c r="E1046" s="674"/>
      <c r="F1046" s="675"/>
      <c r="G1046" s="675"/>
      <c r="H1046" s="675"/>
      <c r="I1046" s="675"/>
      <c r="J1046" s="675"/>
      <c r="K1046" s="675"/>
      <c r="L1046" s="675"/>
      <c r="M1046" s="676"/>
      <c r="N1046" s="655"/>
      <c r="O1046" s="656"/>
      <c r="P1046" s="657"/>
      <c r="Q1046" s="677"/>
      <c r="R1046" s="678"/>
      <c r="S1046" s="678"/>
      <c r="T1046" s="678"/>
      <c r="U1046" s="679"/>
      <c r="V1046" s="45"/>
      <c r="W1046" s="41"/>
      <c r="X1046" s="41"/>
      <c r="Y1046" s="41"/>
      <c r="Z1046" s="29"/>
      <c r="AA1046" s="44"/>
      <c r="AB1046" s="29"/>
      <c r="AC1046" s="29"/>
      <c r="AD1046" s="29"/>
    </row>
    <row r="1047" spans="1:30" s="488" customFormat="1" ht="45" hidden="1" customHeight="1" thickBot="1">
      <c r="A1047" s="492"/>
      <c r="B1047" s="644"/>
      <c r="C1047" s="516"/>
      <c r="D1047" s="517"/>
      <c r="E1047" s="680" t="s">
        <v>369</v>
      </c>
      <c r="F1047" s="680" t="s">
        <v>306</v>
      </c>
      <c r="G1047" s="680"/>
      <c r="H1047" s="680"/>
      <c r="I1047" s="680"/>
      <c r="J1047" s="680"/>
      <c r="K1047" s="680"/>
      <c r="L1047" s="499">
        <f>ROUND((I1039+J1039+K1039+L1042)*3.93%,2)</f>
        <v>237.91</v>
      </c>
      <c r="M1047" s="46">
        <f>L1047</f>
        <v>237.91</v>
      </c>
      <c r="N1047" s="658"/>
      <c r="O1047" s="659"/>
      <c r="P1047" s="660"/>
      <c r="Q1047" s="681"/>
      <c r="R1047" s="682"/>
      <c r="S1047" s="683"/>
      <c r="T1047" s="500">
        <f>H1039*M1047*N1039*O1039*P1039</f>
        <v>0</v>
      </c>
      <c r="U1047" s="47">
        <f>T1047</f>
        <v>0</v>
      </c>
      <c r="V1047" s="48"/>
      <c r="W1047" s="41"/>
      <c r="X1047" s="41"/>
      <c r="Y1047" s="41"/>
      <c r="Z1047" s="29"/>
      <c r="AA1047" s="29"/>
      <c r="AB1047" s="44"/>
      <c r="AC1047" s="29"/>
      <c r="AD1047" s="44">
        <f>T1047</f>
        <v>0</v>
      </c>
    </row>
    <row r="1048" spans="1:30" s="488" customFormat="1" ht="150" hidden="1" customHeight="1">
      <c r="A1048" s="492"/>
      <c r="B1048" s="642">
        <v>2</v>
      </c>
      <c r="C1048" s="511">
        <v>1</v>
      </c>
      <c r="D1048" s="512"/>
      <c r="E1048" s="493" t="s">
        <v>579</v>
      </c>
      <c r="F1048" s="487" t="s">
        <v>580</v>
      </c>
      <c r="G1048" s="645" t="s">
        <v>357</v>
      </c>
      <c r="H1048" s="712">
        <v>0</v>
      </c>
      <c r="I1048" s="494">
        <v>0</v>
      </c>
      <c r="J1048" s="494">
        <v>5993.56</v>
      </c>
      <c r="K1048" s="494">
        <v>12.59</v>
      </c>
      <c r="L1048" s="494">
        <f>SUM(L1050:L1056)</f>
        <v>955.36</v>
      </c>
      <c r="M1048" s="33">
        <f>SUM(I1048:L1048)</f>
        <v>6961.51</v>
      </c>
      <c r="N1048" s="501">
        <v>1</v>
      </c>
      <c r="O1048" s="502">
        <v>1</v>
      </c>
      <c r="P1048" s="37">
        <v>1</v>
      </c>
      <c r="Q1048" s="34">
        <f>H1048*I1048*N1048*O1048*P1048</f>
        <v>0</v>
      </c>
      <c r="R1048" s="35">
        <f>H1048*J1048*N1048*O1048*P1048</f>
        <v>0</v>
      </c>
      <c r="S1048" s="36">
        <f>H1048*K1048*N1048*O1048*P1048</f>
        <v>0</v>
      </c>
      <c r="T1048" s="36">
        <f>H1048*L1048*N1048*O1048*P1048</f>
        <v>0</v>
      </c>
      <c r="U1048" s="37">
        <f>SUM(Q1048:T1048)</f>
        <v>0</v>
      </c>
      <c r="V1048" s="38">
        <f>(Q1048+R1048+S1048+T1052+T1053+T1054+T1056)*'Прогнозная стоимость РСС ИП '!$M$11+T1051*'Прогнозная стоимость РСС ИП '!$M$10</f>
        <v>0</v>
      </c>
      <c r="W1048" s="39">
        <f>T1048</f>
        <v>0</v>
      </c>
      <c r="X1048" s="39">
        <f>U1048</f>
        <v>0</v>
      </c>
      <c r="Y1048" s="39">
        <f>V1048</f>
        <v>0</v>
      </c>
      <c r="Z1048" s="29"/>
      <c r="AA1048" s="29"/>
      <c r="AB1048" s="29"/>
      <c r="AC1048" s="29"/>
      <c r="AD1048" s="29"/>
    </row>
    <row r="1049" spans="1:30" s="488" customFormat="1" ht="41.25" hidden="1" customHeight="1">
      <c r="A1049" s="492"/>
      <c r="B1049" s="643"/>
      <c r="C1049" s="513"/>
      <c r="D1049" s="514"/>
      <c r="E1049" s="495"/>
      <c r="F1049" s="496"/>
      <c r="G1049" s="646"/>
      <c r="H1049" s="713"/>
      <c r="I1049" s="649"/>
      <c r="J1049" s="650"/>
      <c r="K1049" s="650"/>
      <c r="L1049" s="650"/>
      <c r="M1049" s="651"/>
      <c r="N1049" s="652"/>
      <c r="O1049" s="653"/>
      <c r="P1049" s="654"/>
      <c r="Q1049" s="661"/>
      <c r="R1049" s="662"/>
      <c r="S1049" s="662"/>
      <c r="T1049" s="662"/>
      <c r="U1049" s="663"/>
      <c r="V1049" s="40"/>
      <c r="W1049" s="41"/>
      <c r="X1049" s="41"/>
      <c r="Y1049" s="41"/>
      <c r="Z1049" s="29"/>
      <c r="AA1049" s="29"/>
      <c r="AB1049" s="29"/>
      <c r="AC1049" s="29"/>
      <c r="AD1049" s="29"/>
    </row>
    <row r="1050" spans="1:30" s="488" customFormat="1" ht="41.25" hidden="1" customHeight="1">
      <c r="A1050" s="492"/>
      <c r="B1050" s="643"/>
      <c r="C1050" s="513"/>
      <c r="D1050" s="514"/>
      <c r="E1050" s="664" t="s">
        <v>29</v>
      </c>
      <c r="F1050" s="665"/>
      <c r="G1050" s="665"/>
      <c r="H1050" s="665"/>
      <c r="I1050" s="665"/>
      <c r="J1050" s="665"/>
      <c r="K1050" s="665"/>
      <c r="L1050" s="665"/>
      <c r="M1050" s="666"/>
      <c r="N1050" s="655"/>
      <c r="O1050" s="656"/>
      <c r="P1050" s="657"/>
      <c r="Q1050" s="667"/>
      <c r="R1050" s="689"/>
      <c r="S1050" s="689"/>
      <c r="T1050" s="689"/>
      <c r="U1050" s="690"/>
      <c r="V1050" s="42"/>
      <c r="W1050" s="41"/>
      <c r="X1050" s="41"/>
      <c r="Y1050" s="41"/>
      <c r="Z1050" s="29"/>
      <c r="AA1050" s="29"/>
      <c r="AB1050" s="29"/>
      <c r="AC1050" s="29"/>
      <c r="AD1050" s="29"/>
    </row>
    <row r="1051" spans="1:30" s="488" customFormat="1" ht="41.25" hidden="1" customHeight="1">
      <c r="A1051" s="492"/>
      <c r="B1051" s="643"/>
      <c r="C1051" s="513">
        <v>11</v>
      </c>
      <c r="D1051" s="514"/>
      <c r="E1051" s="670" t="s">
        <v>30</v>
      </c>
      <c r="F1051" s="670"/>
      <c r="G1051" s="670"/>
      <c r="H1051" s="670"/>
      <c r="I1051" s="670"/>
      <c r="J1051" s="670"/>
      <c r="K1051" s="670"/>
      <c r="L1051" s="498">
        <v>373.35</v>
      </c>
      <c r="M1051" s="459">
        <f>L1051</f>
        <v>373.35</v>
      </c>
      <c r="N1051" s="655"/>
      <c r="O1051" s="656"/>
      <c r="P1051" s="657"/>
      <c r="Q1051" s="671"/>
      <c r="R1051" s="672"/>
      <c r="S1051" s="673"/>
      <c r="T1051" s="457">
        <f>H1048*M1051*N1048*O1048*P1048</f>
        <v>0</v>
      </c>
      <c r="U1051" s="458">
        <f>T1051</f>
        <v>0</v>
      </c>
      <c r="V1051" s="42"/>
      <c r="W1051" s="39"/>
      <c r="X1051" s="41"/>
      <c r="Y1051" s="41"/>
      <c r="Z1051" s="43">
        <f>T1051</f>
        <v>0</v>
      </c>
      <c r="AA1051" s="29"/>
      <c r="AB1051" s="29"/>
      <c r="AC1051" s="29"/>
      <c r="AD1051" s="29"/>
    </row>
    <row r="1052" spans="1:30" s="488" customFormat="1" ht="41.25" hidden="1" customHeight="1">
      <c r="A1052" s="492"/>
      <c r="B1052" s="643"/>
      <c r="C1052" s="513"/>
      <c r="D1052" s="514"/>
      <c r="E1052" s="670" t="s">
        <v>31</v>
      </c>
      <c r="F1052" s="670"/>
      <c r="G1052" s="670"/>
      <c r="H1052" s="670"/>
      <c r="I1052" s="670"/>
      <c r="J1052" s="670"/>
      <c r="K1052" s="670"/>
      <c r="L1052" s="498">
        <f>ROUND((I1048+J1048+K1048)*2.14%,2)</f>
        <v>128.53</v>
      </c>
      <c r="M1052" s="459">
        <f>L1052</f>
        <v>128.53</v>
      </c>
      <c r="N1052" s="655"/>
      <c r="O1052" s="656"/>
      <c r="P1052" s="657"/>
      <c r="Q1052" s="671"/>
      <c r="R1052" s="672"/>
      <c r="S1052" s="673"/>
      <c r="T1052" s="457">
        <f>H1048*M1052*N1048*O1048*P1048</f>
        <v>0</v>
      </c>
      <c r="U1052" s="458">
        <f>T1052</f>
        <v>0</v>
      </c>
      <c r="V1052" s="42"/>
      <c r="W1052" s="41"/>
      <c r="X1052" s="39"/>
      <c r="Y1052" s="41"/>
      <c r="Z1052" s="29"/>
      <c r="AA1052" s="43">
        <f>T1052</f>
        <v>0</v>
      </c>
      <c r="AB1052" s="29"/>
      <c r="AC1052" s="29"/>
      <c r="AD1052" s="29"/>
    </row>
    <row r="1053" spans="1:30" s="488" customFormat="1" ht="41.25" hidden="1" customHeight="1">
      <c r="A1053" s="492"/>
      <c r="B1053" s="643"/>
      <c r="C1053" s="515"/>
      <c r="D1053" s="514"/>
      <c r="E1053" s="670" t="s">
        <v>376</v>
      </c>
      <c r="F1053" s="670"/>
      <c r="G1053" s="670"/>
      <c r="H1053" s="670"/>
      <c r="I1053" s="670"/>
      <c r="J1053" s="670"/>
      <c r="K1053" s="670"/>
      <c r="L1053" s="498">
        <f>ROUND((I1048+J1048+K1048+L1051+L1052+L1056)*3%,2)+0.01</f>
        <v>202.76999999999998</v>
      </c>
      <c r="M1053" s="459">
        <f>L1053</f>
        <v>202.76999999999998</v>
      </c>
      <c r="N1053" s="655"/>
      <c r="O1053" s="656"/>
      <c r="P1053" s="657"/>
      <c r="Q1053" s="671"/>
      <c r="R1053" s="672"/>
      <c r="S1053" s="673"/>
      <c r="T1053" s="457">
        <f>H1048*M1053*N1048*O1048*P1048</f>
        <v>0</v>
      </c>
      <c r="U1053" s="458">
        <f>T1053</f>
        <v>0</v>
      </c>
      <c r="V1053" s="42"/>
      <c r="W1053" s="41"/>
      <c r="X1053" s="41"/>
      <c r="Y1053" s="39"/>
      <c r="Z1053" s="29"/>
      <c r="AA1053" s="29"/>
      <c r="AB1053" s="43">
        <f>T1053</f>
        <v>0</v>
      </c>
      <c r="AC1053" s="29"/>
      <c r="AD1053" s="29"/>
    </row>
    <row r="1054" spans="1:30" s="488" customFormat="1" ht="54.75" hidden="1" customHeight="1">
      <c r="A1054" s="492"/>
      <c r="B1054" s="643"/>
      <c r="C1054" s="515"/>
      <c r="D1054" s="514"/>
      <c r="E1054" s="670" t="s">
        <v>377</v>
      </c>
      <c r="F1054" s="670"/>
      <c r="G1054" s="670"/>
      <c r="H1054" s="670"/>
      <c r="I1054" s="670"/>
      <c r="J1054" s="670"/>
      <c r="K1054" s="670"/>
      <c r="L1054" s="498">
        <f>765.18-K1048-L1051-L1052-L1056</f>
        <v>0</v>
      </c>
      <c r="M1054" s="459">
        <f>L1054</f>
        <v>0</v>
      </c>
      <c r="N1054" s="655"/>
      <c r="O1054" s="656"/>
      <c r="P1054" s="657"/>
      <c r="Q1054" s="671"/>
      <c r="R1054" s="672"/>
      <c r="S1054" s="673"/>
      <c r="T1054" s="457">
        <f>H1048*M1054*N1048*O1048*P1048</f>
        <v>0</v>
      </c>
      <c r="U1054" s="458">
        <f>T1054</f>
        <v>0</v>
      </c>
      <c r="V1054" s="42"/>
      <c r="W1054" s="41"/>
      <c r="X1054" s="41"/>
      <c r="Y1054" s="41"/>
      <c r="Z1054" s="44"/>
      <c r="AA1054" s="29"/>
      <c r="AB1054" s="29"/>
      <c r="AC1054" s="44">
        <f>T1054</f>
        <v>0</v>
      </c>
      <c r="AD1054" s="29"/>
    </row>
    <row r="1055" spans="1:30" s="488" customFormat="1" ht="45" hidden="1" customHeight="1">
      <c r="A1055" s="492"/>
      <c r="B1055" s="643"/>
      <c r="C1055" s="515"/>
      <c r="D1055" s="514"/>
      <c r="E1055" s="674"/>
      <c r="F1055" s="675"/>
      <c r="G1055" s="675"/>
      <c r="H1055" s="675"/>
      <c r="I1055" s="675"/>
      <c r="J1055" s="675"/>
      <c r="K1055" s="675"/>
      <c r="L1055" s="675"/>
      <c r="M1055" s="676"/>
      <c r="N1055" s="655"/>
      <c r="O1055" s="656"/>
      <c r="P1055" s="657"/>
      <c r="Q1055" s="677"/>
      <c r="R1055" s="678"/>
      <c r="S1055" s="678"/>
      <c r="T1055" s="678"/>
      <c r="U1055" s="679"/>
      <c r="V1055" s="45"/>
      <c r="W1055" s="41"/>
      <c r="X1055" s="41"/>
      <c r="Y1055" s="41"/>
      <c r="Z1055" s="29"/>
      <c r="AA1055" s="44"/>
      <c r="AB1055" s="29"/>
      <c r="AC1055" s="29"/>
      <c r="AD1055" s="29"/>
    </row>
    <row r="1056" spans="1:30" s="488" customFormat="1" ht="45" hidden="1" customHeight="1" thickBot="1">
      <c r="A1056" s="492"/>
      <c r="B1056" s="644"/>
      <c r="C1056" s="516"/>
      <c r="D1056" s="517"/>
      <c r="E1056" s="680" t="s">
        <v>369</v>
      </c>
      <c r="F1056" s="680" t="s">
        <v>306</v>
      </c>
      <c r="G1056" s="680"/>
      <c r="H1056" s="680"/>
      <c r="I1056" s="680"/>
      <c r="J1056" s="680"/>
      <c r="K1056" s="680"/>
      <c r="L1056" s="499">
        <f>ROUND((I1048+J1048+K1048+L1051)*3.93%,2)</f>
        <v>250.71</v>
      </c>
      <c r="M1056" s="46">
        <f>L1056</f>
        <v>250.71</v>
      </c>
      <c r="N1056" s="658"/>
      <c r="O1056" s="659"/>
      <c r="P1056" s="660"/>
      <c r="Q1056" s="681"/>
      <c r="R1056" s="682"/>
      <c r="S1056" s="683"/>
      <c r="T1056" s="500">
        <f>H1048*M1056*N1048*O1048*P1048</f>
        <v>0</v>
      </c>
      <c r="U1056" s="47">
        <f>T1056</f>
        <v>0</v>
      </c>
      <c r="V1056" s="48"/>
      <c r="W1056" s="41"/>
      <c r="X1056" s="41"/>
      <c r="Y1056" s="41"/>
      <c r="Z1056" s="29"/>
      <c r="AA1056" s="29"/>
      <c r="AB1056" s="44"/>
      <c r="AC1056" s="29"/>
      <c r="AD1056" s="44">
        <f>T1056</f>
        <v>0</v>
      </c>
    </row>
    <row r="1057" spans="1:30" s="488" customFormat="1" ht="150" hidden="1" customHeight="1">
      <c r="A1057" s="492"/>
      <c r="B1057" s="642">
        <v>2</v>
      </c>
      <c r="C1057" s="511">
        <v>1</v>
      </c>
      <c r="D1057" s="512"/>
      <c r="E1057" s="493" t="s">
        <v>581</v>
      </c>
      <c r="F1057" s="487" t="s">
        <v>582</v>
      </c>
      <c r="G1057" s="645" t="s">
        <v>357</v>
      </c>
      <c r="H1057" s="712">
        <v>0</v>
      </c>
      <c r="I1057" s="494">
        <v>0</v>
      </c>
      <c r="J1057" s="494">
        <v>6247.04</v>
      </c>
      <c r="K1057" s="494">
        <v>12.59</v>
      </c>
      <c r="L1057" s="494">
        <f>SUM(L1059:L1065)</f>
        <v>979.36000000000013</v>
      </c>
      <c r="M1057" s="33">
        <f>SUM(I1057:L1057)</f>
        <v>7238.99</v>
      </c>
      <c r="N1057" s="501">
        <v>1</v>
      </c>
      <c r="O1057" s="502">
        <v>1</v>
      </c>
      <c r="P1057" s="37">
        <v>1</v>
      </c>
      <c r="Q1057" s="34">
        <f>H1057*I1057*N1057*O1057*P1057</f>
        <v>0</v>
      </c>
      <c r="R1057" s="35">
        <f>H1057*J1057*N1057*O1057*P1057</f>
        <v>0</v>
      </c>
      <c r="S1057" s="36">
        <f>H1057*K1057*N1057*O1057*P1057</f>
        <v>0</v>
      </c>
      <c r="T1057" s="36">
        <f>H1057*L1057*N1057*O1057*P1057</f>
        <v>0</v>
      </c>
      <c r="U1057" s="37">
        <f>SUM(Q1057:T1057)</f>
        <v>0</v>
      </c>
      <c r="V1057" s="38">
        <f>(Q1057+R1057+S1057+T1061+T1062+T1063+T1065)*'Прогнозная стоимость РСС ИП '!$M$11+T1060*'Прогнозная стоимость РСС ИП '!$M$10</f>
        <v>0</v>
      </c>
      <c r="W1057" s="39">
        <f>T1057</f>
        <v>0</v>
      </c>
      <c r="X1057" s="39">
        <f>U1057</f>
        <v>0</v>
      </c>
      <c r="Y1057" s="39">
        <f>V1057</f>
        <v>0</v>
      </c>
      <c r="Z1057" s="29"/>
      <c r="AA1057" s="29"/>
      <c r="AB1057" s="29"/>
      <c r="AC1057" s="29"/>
      <c r="AD1057" s="29"/>
    </row>
    <row r="1058" spans="1:30" s="488" customFormat="1" ht="41.25" hidden="1" customHeight="1">
      <c r="A1058" s="492"/>
      <c r="B1058" s="643"/>
      <c r="C1058" s="513"/>
      <c r="D1058" s="514"/>
      <c r="E1058" s="495"/>
      <c r="F1058" s="496"/>
      <c r="G1058" s="646"/>
      <c r="H1058" s="713"/>
      <c r="I1058" s="649"/>
      <c r="J1058" s="650"/>
      <c r="K1058" s="650"/>
      <c r="L1058" s="650"/>
      <c r="M1058" s="651"/>
      <c r="N1058" s="652"/>
      <c r="O1058" s="653"/>
      <c r="P1058" s="654"/>
      <c r="Q1058" s="661"/>
      <c r="R1058" s="662"/>
      <c r="S1058" s="662"/>
      <c r="T1058" s="662"/>
      <c r="U1058" s="663"/>
      <c r="V1058" s="40"/>
      <c r="W1058" s="41"/>
      <c r="X1058" s="41"/>
      <c r="Y1058" s="41"/>
      <c r="Z1058" s="29"/>
      <c r="AA1058" s="29"/>
      <c r="AB1058" s="29"/>
      <c r="AC1058" s="29"/>
      <c r="AD1058" s="29"/>
    </row>
    <row r="1059" spans="1:30" s="488" customFormat="1" ht="41.25" hidden="1" customHeight="1">
      <c r="A1059" s="492"/>
      <c r="B1059" s="643"/>
      <c r="C1059" s="513"/>
      <c r="D1059" s="514"/>
      <c r="E1059" s="664" t="s">
        <v>29</v>
      </c>
      <c r="F1059" s="665"/>
      <c r="G1059" s="665"/>
      <c r="H1059" s="665"/>
      <c r="I1059" s="665"/>
      <c r="J1059" s="665"/>
      <c r="K1059" s="665"/>
      <c r="L1059" s="665"/>
      <c r="M1059" s="666"/>
      <c r="N1059" s="655"/>
      <c r="O1059" s="656"/>
      <c r="P1059" s="657"/>
      <c r="Q1059" s="667"/>
      <c r="R1059" s="689"/>
      <c r="S1059" s="689"/>
      <c r="T1059" s="689"/>
      <c r="U1059" s="690"/>
      <c r="V1059" s="42"/>
      <c r="W1059" s="41"/>
      <c r="X1059" s="41"/>
      <c r="Y1059" s="41"/>
      <c r="Z1059" s="29"/>
      <c r="AA1059" s="29"/>
      <c r="AB1059" s="29"/>
      <c r="AC1059" s="29"/>
      <c r="AD1059" s="29"/>
    </row>
    <row r="1060" spans="1:30" s="488" customFormat="1" ht="41.25" hidden="1" customHeight="1">
      <c r="A1060" s="492"/>
      <c r="B1060" s="643"/>
      <c r="C1060" s="513">
        <v>11</v>
      </c>
      <c r="D1060" s="514"/>
      <c r="E1060" s="670" t="s">
        <v>30</v>
      </c>
      <c r="F1060" s="670"/>
      <c r="G1060" s="670"/>
      <c r="H1060" s="670"/>
      <c r="I1060" s="670"/>
      <c r="J1060" s="670"/>
      <c r="K1060" s="670"/>
      <c r="L1060" s="498">
        <v>373.86</v>
      </c>
      <c r="M1060" s="459">
        <f>L1060</f>
        <v>373.86</v>
      </c>
      <c r="N1060" s="655"/>
      <c r="O1060" s="656"/>
      <c r="P1060" s="657"/>
      <c r="Q1060" s="671"/>
      <c r="R1060" s="672"/>
      <c r="S1060" s="673"/>
      <c r="T1060" s="457">
        <f>H1057*M1060*N1057*O1057*P1057</f>
        <v>0</v>
      </c>
      <c r="U1060" s="458">
        <f>T1060</f>
        <v>0</v>
      </c>
      <c r="V1060" s="42"/>
      <c r="W1060" s="39"/>
      <c r="X1060" s="41"/>
      <c r="Y1060" s="41"/>
      <c r="Z1060" s="43">
        <f>T1060</f>
        <v>0</v>
      </c>
      <c r="AA1060" s="29"/>
      <c r="AB1060" s="29"/>
      <c r="AC1060" s="29"/>
      <c r="AD1060" s="29"/>
    </row>
    <row r="1061" spans="1:30" s="488" customFormat="1" ht="41.25" hidden="1" customHeight="1">
      <c r="A1061" s="492"/>
      <c r="B1061" s="643"/>
      <c r="C1061" s="513"/>
      <c r="D1061" s="514"/>
      <c r="E1061" s="670" t="s">
        <v>31</v>
      </c>
      <c r="F1061" s="670"/>
      <c r="G1061" s="670"/>
      <c r="H1061" s="670"/>
      <c r="I1061" s="670"/>
      <c r="J1061" s="670"/>
      <c r="K1061" s="670"/>
      <c r="L1061" s="498">
        <f>ROUND((I1057+J1057+K1057)*2.14%,2)</f>
        <v>133.96</v>
      </c>
      <c r="M1061" s="459">
        <f>L1061</f>
        <v>133.96</v>
      </c>
      <c r="N1061" s="655"/>
      <c r="O1061" s="656"/>
      <c r="P1061" s="657"/>
      <c r="Q1061" s="671"/>
      <c r="R1061" s="672"/>
      <c r="S1061" s="673"/>
      <c r="T1061" s="457">
        <f>H1057*M1061*N1057*O1057*P1057</f>
        <v>0</v>
      </c>
      <c r="U1061" s="458">
        <f>T1061</f>
        <v>0</v>
      </c>
      <c r="V1061" s="42"/>
      <c r="W1061" s="41"/>
      <c r="X1061" s="39"/>
      <c r="Y1061" s="41"/>
      <c r="Z1061" s="29"/>
      <c r="AA1061" s="43">
        <f>T1061</f>
        <v>0</v>
      </c>
      <c r="AB1061" s="29"/>
      <c r="AC1061" s="29"/>
      <c r="AD1061" s="29"/>
    </row>
    <row r="1062" spans="1:30" s="488" customFormat="1" ht="41.25" hidden="1" customHeight="1">
      <c r="A1062" s="492"/>
      <c r="B1062" s="643"/>
      <c r="C1062" s="515"/>
      <c r="D1062" s="514"/>
      <c r="E1062" s="670" t="s">
        <v>376</v>
      </c>
      <c r="F1062" s="670"/>
      <c r="G1062" s="670"/>
      <c r="H1062" s="670"/>
      <c r="I1062" s="670"/>
      <c r="J1062" s="670"/>
      <c r="K1062" s="670"/>
      <c r="L1062" s="498">
        <f>ROUND((I1057+J1057+K1057+L1060+L1061+L1065)*3%,2)</f>
        <v>210.84</v>
      </c>
      <c r="M1062" s="459">
        <f>L1062</f>
        <v>210.84</v>
      </c>
      <c r="N1062" s="655"/>
      <c r="O1062" s="656"/>
      <c r="P1062" s="657"/>
      <c r="Q1062" s="671"/>
      <c r="R1062" s="672"/>
      <c r="S1062" s="673"/>
      <c r="T1062" s="457">
        <f>H1057*M1062*N1057*O1057*P1057</f>
        <v>0</v>
      </c>
      <c r="U1062" s="458">
        <f>T1062</f>
        <v>0</v>
      </c>
      <c r="V1062" s="42"/>
      <c r="W1062" s="41"/>
      <c r="X1062" s="41"/>
      <c r="Y1062" s="39"/>
      <c r="Z1062" s="29"/>
      <c r="AA1062" s="29"/>
      <c r="AB1062" s="43">
        <f>T1062</f>
        <v>0</v>
      </c>
      <c r="AC1062" s="29"/>
      <c r="AD1062" s="29"/>
    </row>
    <row r="1063" spans="1:30" s="488" customFormat="1" ht="54.75" hidden="1" customHeight="1">
      <c r="A1063" s="492"/>
      <c r="B1063" s="643"/>
      <c r="C1063" s="515"/>
      <c r="D1063" s="514"/>
      <c r="E1063" s="670" t="s">
        <v>377</v>
      </c>
      <c r="F1063" s="670"/>
      <c r="G1063" s="670"/>
      <c r="H1063" s="670"/>
      <c r="I1063" s="670"/>
      <c r="J1063" s="670"/>
      <c r="K1063" s="670"/>
      <c r="L1063" s="498">
        <f>781.11-K1057-L1060-L1061-L1065</f>
        <v>0</v>
      </c>
      <c r="M1063" s="459">
        <f>L1063</f>
        <v>0</v>
      </c>
      <c r="N1063" s="655"/>
      <c r="O1063" s="656"/>
      <c r="P1063" s="657"/>
      <c r="Q1063" s="671"/>
      <c r="R1063" s="672"/>
      <c r="S1063" s="673"/>
      <c r="T1063" s="457">
        <f>H1057*M1063*N1057*O1057*P1057</f>
        <v>0</v>
      </c>
      <c r="U1063" s="458">
        <f>T1063</f>
        <v>0</v>
      </c>
      <c r="V1063" s="42"/>
      <c r="W1063" s="41"/>
      <c r="X1063" s="41"/>
      <c r="Y1063" s="41"/>
      <c r="Z1063" s="44"/>
      <c r="AA1063" s="29"/>
      <c r="AB1063" s="29"/>
      <c r="AC1063" s="44">
        <f>T1063</f>
        <v>0</v>
      </c>
      <c r="AD1063" s="29"/>
    </row>
    <row r="1064" spans="1:30" s="488" customFormat="1" ht="45" hidden="1" customHeight="1">
      <c r="A1064" s="492"/>
      <c r="B1064" s="643"/>
      <c r="C1064" s="515"/>
      <c r="D1064" s="514"/>
      <c r="E1064" s="674"/>
      <c r="F1064" s="675"/>
      <c r="G1064" s="675"/>
      <c r="H1064" s="675"/>
      <c r="I1064" s="675"/>
      <c r="J1064" s="675"/>
      <c r="K1064" s="675"/>
      <c r="L1064" s="675"/>
      <c r="M1064" s="676"/>
      <c r="N1064" s="655"/>
      <c r="O1064" s="656"/>
      <c r="P1064" s="657"/>
      <c r="Q1064" s="677"/>
      <c r="R1064" s="678"/>
      <c r="S1064" s="678"/>
      <c r="T1064" s="678"/>
      <c r="U1064" s="679"/>
      <c r="V1064" s="45"/>
      <c r="W1064" s="41"/>
      <c r="X1064" s="41"/>
      <c r="Y1064" s="41"/>
      <c r="Z1064" s="29"/>
      <c r="AA1064" s="44"/>
      <c r="AB1064" s="29"/>
      <c r="AC1064" s="29"/>
      <c r="AD1064" s="29"/>
    </row>
    <row r="1065" spans="1:30" s="488" customFormat="1" ht="45" hidden="1" customHeight="1" thickBot="1">
      <c r="A1065" s="492"/>
      <c r="B1065" s="644"/>
      <c r="C1065" s="516"/>
      <c r="D1065" s="517"/>
      <c r="E1065" s="680" t="s">
        <v>369</v>
      </c>
      <c r="F1065" s="680" t="s">
        <v>306</v>
      </c>
      <c r="G1065" s="680"/>
      <c r="H1065" s="680"/>
      <c r="I1065" s="680"/>
      <c r="J1065" s="680"/>
      <c r="K1065" s="680"/>
      <c r="L1065" s="499">
        <f>ROUND((I1057+J1057+K1057+L1060)*3.93%,2)</f>
        <v>260.7</v>
      </c>
      <c r="M1065" s="46">
        <f>L1065</f>
        <v>260.7</v>
      </c>
      <c r="N1065" s="658"/>
      <c r="O1065" s="659"/>
      <c r="P1065" s="660"/>
      <c r="Q1065" s="681"/>
      <c r="R1065" s="682"/>
      <c r="S1065" s="683"/>
      <c r="T1065" s="500">
        <f>H1057*M1065*N1057*O1057*P1057</f>
        <v>0</v>
      </c>
      <c r="U1065" s="47">
        <f>T1065</f>
        <v>0</v>
      </c>
      <c r="V1065" s="48"/>
      <c r="W1065" s="41"/>
      <c r="X1065" s="41"/>
      <c r="Y1065" s="41"/>
      <c r="Z1065" s="29"/>
      <c r="AA1065" s="29"/>
      <c r="AB1065" s="44"/>
      <c r="AC1065" s="29"/>
      <c r="AD1065" s="44">
        <f>T1065</f>
        <v>0</v>
      </c>
    </row>
    <row r="1066" spans="1:30" s="488" customFormat="1" ht="150" hidden="1" customHeight="1">
      <c r="A1066" s="492"/>
      <c r="B1066" s="642">
        <v>2</v>
      </c>
      <c r="C1066" s="511">
        <v>1</v>
      </c>
      <c r="D1066" s="512"/>
      <c r="E1066" s="493" t="s">
        <v>583</v>
      </c>
      <c r="F1066" s="487" t="s">
        <v>584</v>
      </c>
      <c r="G1066" s="645" t="s">
        <v>357</v>
      </c>
      <c r="H1066" s="712">
        <v>0</v>
      </c>
      <c r="I1066" s="494">
        <v>0</v>
      </c>
      <c r="J1066" s="494">
        <v>6802.3</v>
      </c>
      <c r="K1066" s="494">
        <v>12.59</v>
      </c>
      <c r="L1066" s="494">
        <f>SUM(L1068:L1074)</f>
        <v>1031.9100000000001</v>
      </c>
      <c r="M1066" s="33">
        <f>SUM(I1066:L1066)</f>
        <v>7846.8</v>
      </c>
      <c r="N1066" s="501">
        <v>1</v>
      </c>
      <c r="O1066" s="502">
        <v>1</v>
      </c>
      <c r="P1066" s="37">
        <v>1</v>
      </c>
      <c r="Q1066" s="34">
        <f>H1066*I1066*N1066*O1066*P1066</f>
        <v>0</v>
      </c>
      <c r="R1066" s="35">
        <f>H1066*J1066*N1066*O1066*P1066</f>
        <v>0</v>
      </c>
      <c r="S1066" s="36">
        <f>H1066*K1066*N1066*O1066*P1066</f>
        <v>0</v>
      </c>
      <c r="T1066" s="36">
        <f>H1066*L1066*N1066*O1066*P1066</f>
        <v>0</v>
      </c>
      <c r="U1066" s="37">
        <f>SUM(Q1066:T1066)</f>
        <v>0</v>
      </c>
      <c r="V1066" s="38">
        <f>(Q1066+R1066+S1066+T1070+T1071+T1072+T1074)*'Прогнозная стоимость РСС ИП '!$M$11+T1069*'Прогнозная стоимость РСС ИП '!$M$10</f>
        <v>0</v>
      </c>
      <c r="W1066" s="39">
        <f>T1066</f>
        <v>0</v>
      </c>
      <c r="X1066" s="39">
        <f>U1066</f>
        <v>0</v>
      </c>
      <c r="Y1066" s="39">
        <f>V1066</f>
        <v>0</v>
      </c>
      <c r="Z1066" s="29"/>
      <c r="AA1066" s="29"/>
      <c r="AB1066" s="29"/>
      <c r="AC1066" s="29"/>
      <c r="AD1066" s="29"/>
    </row>
    <row r="1067" spans="1:30" s="488" customFormat="1" ht="41.25" hidden="1" customHeight="1">
      <c r="A1067" s="492"/>
      <c r="B1067" s="643"/>
      <c r="C1067" s="513"/>
      <c r="D1067" s="514"/>
      <c r="E1067" s="495"/>
      <c r="F1067" s="496"/>
      <c r="G1067" s="646"/>
      <c r="H1067" s="713"/>
      <c r="I1067" s="649"/>
      <c r="J1067" s="650"/>
      <c r="K1067" s="650"/>
      <c r="L1067" s="650"/>
      <c r="M1067" s="651"/>
      <c r="N1067" s="652"/>
      <c r="O1067" s="653"/>
      <c r="P1067" s="654"/>
      <c r="Q1067" s="661"/>
      <c r="R1067" s="662"/>
      <c r="S1067" s="662"/>
      <c r="T1067" s="662"/>
      <c r="U1067" s="663"/>
      <c r="V1067" s="40"/>
      <c r="W1067" s="41"/>
      <c r="X1067" s="41"/>
      <c r="Y1067" s="41"/>
      <c r="Z1067" s="29"/>
      <c r="AA1067" s="29"/>
      <c r="AB1067" s="29"/>
      <c r="AC1067" s="29"/>
      <c r="AD1067" s="29"/>
    </row>
    <row r="1068" spans="1:30" s="488" customFormat="1" ht="41.25" hidden="1" customHeight="1">
      <c r="A1068" s="492"/>
      <c r="B1068" s="643"/>
      <c r="C1068" s="513"/>
      <c r="D1068" s="514"/>
      <c r="E1068" s="664" t="s">
        <v>29</v>
      </c>
      <c r="F1068" s="665"/>
      <c r="G1068" s="665"/>
      <c r="H1068" s="665"/>
      <c r="I1068" s="665"/>
      <c r="J1068" s="665"/>
      <c r="K1068" s="665"/>
      <c r="L1068" s="665"/>
      <c r="M1068" s="666"/>
      <c r="N1068" s="655"/>
      <c r="O1068" s="656"/>
      <c r="P1068" s="657"/>
      <c r="Q1068" s="667"/>
      <c r="R1068" s="689"/>
      <c r="S1068" s="689"/>
      <c r="T1068" s="689"/>
      <c r="U1068" s="690"/>
      <c r="V1068" s="42"/>
      <c r="W1068" s="41"/>
      <c r="X1068" s="41"/>
      <c r="Y1068" s="41"/>
      <c r="Z1068" s="29"/>
      <c r="AA1068" s="29"/>
      <c r="AB1068" s="29"/>
      <c r="AC1068" s="29"/>
      <c r="AD1068" s="29"/>
    </row>
    <row r="1069" spans="1:30" s="488" customFormat="1" ht="41.25" hidden="1" customHeight="1">
      <c r="A1069" s="492"/>
      <c r="B1069" s="643"/>
      <c r="C1069" s="513">
        <v>11</v>
      </c>
      <c r="D1069" s="514"/>
      <c r="E1069" s="670" t="s">
        <v>30</v>
      </c>
      <c r="F1069" s="670"/>
      <c r="G1069" s="670"/>
      <c r="H1069" s="670"/>
      <c r="I1069" s="670"/>
      <c r="J1069" s="670"/>
      <c r="K1069" s="670"/>
      <c r="L1069" s="498">
        <v>374.97</v>
      </c>
      <c r="M1069" s="459">
        <f>L1069</f>
        <v>374.97</v>
      </c>
      <c r="N1069" s="655"/>
      <c r="O1069" s="656"/>
      <c r="P1069" s="657"/>
      <c r="Q1069" s="671"/>
      <c r="R1069" s="672"/>
      <c r="S1069" s="673"/>
      <c r="T1069" s="457">
        <f>H1066*M1069*N1066*O1066*P1066</f>
        <v>0</v>
      </c>
      <c r="U1069" s="458">
        <f>T1069</f>
        <v>0</v>
      </c>
      <c r="V1069" s="42"/>
      <c r="W1069" s="39"/>
      <c r="X1069" s="41"/>
      <c r="Y1069" s="41"/>
      <c r="Z1069" s="43">
        <f>T1069</f>
        <v>0</v>
      </c>
      <c r="AA1069" s="29"/>
      <c r="AB1069" s="29"/>
      <c r="AC1069" s="29"/>
      <c r="AD1069" s="29"/>
    </row>
    <row r="1070" spans="1:30" s="488" customFormat="1" ht="41.25" hidden="1" customHeight="1">
      <c r="A1070" s="492"/>
      <c r="B1070" s="643"/>
      <c r="C1070" s="513"/>
      <c r="D1070" s="514"/>
      <c r="E1070" s="670" t="s">
        <v>31</v>
      </c>
      <c r="F1070" s="670"/>
      <c r="G1070" s="670"/>
      <c r="H1070" s="670"/>
      <c r="I1070" s="670"/>
      <c r="J1070" s="670"/>
      <c r="K1070" s="670"/>
      <c r="L1070" s="498">
        <f>ROUND((I1066+J1066+K1066)*2.14%,2)</f>
        <v>145.84</v>
      </c>
      <c r="M1070" s="459">
        <f>L1070</f>
        <v>145.84</v>
      </c>
      <c r="N1070" s="655"/>
      <c r="O1070" s="656"/>
      <c r="P1070" s="657"/>
      <c r="Q1070" s="671"/>
      <c r="R1070" s="672"/>
      <c r="S1070" s="673"/>
      <c r="T1070" s="457">
        <f>H1066*M1070*N1066*O1066*P1066</f>
        <v>0</v>
      </c>
      <c r="U1070" s="458">
        <f>T1070</f>
        <v>0</v>
      </c>
      <c r="V1070" s="42"/>
      <c r="W1070" s="41"/>
      <c r="X1070" s="39"/>
      <c r="Y1070" s="41"/>
      <c r="Z1070" s="29"/>
      <c r="AA1070" s="43">
        <f>T1070</f>
        <v>0</v>
      </c>
      <c r="AB1070" s="29"/>
      <c r="AC1070" s="29"/>
      <c r="AD1070" s="29"/>
    </row>
    <row r="1071" spans="1:30" s="488" customFormat="1" ht="41.25" hidden="1" customHeight="1">
      <c r="A1071" s="492"/>
      <c r="B1071" s="643"/>
      <c r="C1071" s="515"/>
      <c r="D1071" s="514"/>
      <c r="E1071" s="670" t="s">
        <v>376</v>
      </c>
      <c r="F1071" s="670"/>
      <c r="G1071" s="670"/>
      <c r="H1071" s="670"/>
      <c r="I1071" s="670"/>
      <c r="J1071" s="670"/>
      <c r="K1071" s="670"/>
      <c r="L1071" s="498">
        <f>ROUND((I1066+J1066+K1066+L1069+L1070+L1074)*3%,2)-0.01</f>
        <v>228.54000000000002</v>
      </c>
      <c r="M1071" s="459">
        <f>L1071</f>
        <v>228.54000000000002</v>
      </c>
      <c r="N1071" s="655"/>
      <c r="O1071" s="656"/>
      <c r="P1071" s="657"/>
      <c r="Q1071" s="671"/>
      <c r="R1071" s="672"/>
      <c r="S1071" s="673"/>
      <c r="T1071" s="457">
        <f>H1066*M1071*N1066*O1066*P1066</f>
        <v>0</v>
      </c>
      <c r="U1071" s="458">
        <f>T1071</f>
        <v>0</v>
      </c>
      <c r="V1071" s="42"/>
      <c r="W1071" s="41"/>
      <c r="X1071" s="41"/>
      <c r="Y1071" s="39"/>
      <c r="Z1071" s="29"/>
      <c r="AA1071" s="29"/>
      <c r="AB1071" s="43">
        <f>T1071</f>
        <v>0</v>
      </c>
      <c r="AC1071" s="29"/>
      <c r="AD1071" s="29"/>
    </row>
    <row r="1072" spans="1:30" s="488" customFormat="1" ht="54.75" hidden="1" customHeight="1">
      <c r="A1072" s="492"/>
      <c r="B1072" s="643"/>
      <c r="C1072" s="515"/>
      <c r="D1072" s="514"/>
      <c r="E1072" s="670" t="s">
        <v>377</v>
      </c>
      <c r="F1072" s="670"/>
      <c r="G1072" s="670"/>
      <c r="H1072" s="670"/>
      <c r="I1072" s="670"/>
      <c r="J1072" s="670"/>
      <c r="K1072" s="670"/>
      <c r="L1072" s="498">
        <f>815.96-K1066-L1069-L1070-L1074</f>
        <v>0</v>
      </c>
      <c r="M1072" s="459">
        <f>L1072</f>
        <v>0</v>
      </c>
      <c r="N1072" s="655"/>
      <c r="O1072" s="656"/>
      <c r="P1072" s="657"/>
      <c r="Q1072" s="671"/>
      <c r="R1072" s="672"/>
      <c r="S1072" s="673"/>
      <c r="T1072" s="457">
        <f>H1066*M1072*N1066*O1066*P1066</f>
        <v>0</v>
      </c>
      <c r="U1072" s="458">
        <f>T1072</f>
        <v>0</v>
      </c>
      <c r="V1072" s="42"/>
      <c r="W1072" s="41"/>
      <c r="X1072" s="41"/>
      <c r="Y1072" s="41"/>
      <c r="Z1072" s="44"/>
      <c r="AA1072" s="29"/>
      <c r="AB1072" s="29"/>
      <c r="AC1072" s="44">
        <f>T1072</f>
        <v>0</v>
      </c>
      <c r="AD1072" s="29"/>
    </row>
    <row r="1073" spans="1:30" s="488" customFormat="1" ht="45" hidden="1" customHeight="1">
      <c r="A1073" s="492"/>
      <c r="B1073" s="643"/>
      <c r="C1073" s="515"/>
      <c r="D1073" s="514"/>
      <c r="E1073" s="674"/>
      <c r="F1073" s="675"/>
      <c r="G1073" s="675"/>
      <c r="H1073" s="675"/>
      <c r="I1073" s="675"/>
      <c r="J1073" s="675"/>
      <c r="K1073" s="675"/>
      <c r="L1073" s="675"/>
      <c r="M1073" s="676"/>
      <c r="N1073" s="655"/>
      <c r="O1073" s="656"/>
      <c r="P1073" s="657"/>
      <c r="Q1073" s="677"/>
      <c r="R1073" s="678"/>
      <c r="S1073" s="678"/>
      <c r="T1073" s="678"/>
      <c r="U1073" s="679"/>
      <c r="V1073" s="45"/>
      <c r="W1073" s="41"/>
      <c r="X1073" s="41"/>
      <c r="Y1073" s="41"/>
      <c r="Z1073" s="29"/>
      <c r="AA1073" s="44"/>
      <c r="AB1073" s="29"/>
      <c r="AC1073" s="29"/>
      <c r="AD1073" s="29"/>
    </row>
    <row r="1074" spans="1:30" s="488" customFormat="1" ht="45" hidden="1" customHeight="1" thickBot="1">
      <c r="A1074" s="492"/>
      <c r="B1074" s="644"/>
      <c r="C1074" s="516"/>
      <c r="D1074" s="517"/>
      <c r="E1074" s="680" t="s">
        <v>369</v>
      </c>
      <c r="F1074" s="680" t="s">
        <v>306</v>
      </c>
      <c r="G1074" s="680"/>
      <c r="H1074" s="680"/>
      <c r="I1074" s="680"/>
      <c r="J1074" s="680"/>
      <c r="K1074" s="680"/>
      <c r="L1074" s="499">
        <f>ROUND((I1066+J1066+K1066+L1069)*3.93%,2)</f>
        <v>282.56</v>
      </c>
      <c r="M1074" s="46">
        <f>L1074</f>
        <v>282.56</v>
      </c>
      <c r="N1074" s="658"/>
      <c r="O1074" s="659"/>
      <c r="P1074" s="660"/>
      <c r="Q1074" s="681"/>
      <c r="R1074" s="682"/>
      <c r="S1074" s="683"/>
      <c r="T1074" s="500">
        <f>H1066*M1074*N1066*O1066*P1066</f>
        <v>0</v>
      </c>
      <c r="U1074" s="47">
        <f>T1074</f>
        <v>0</v>
      </c>
      <c r="V1074" s="48"/>
      <c r="W1074" s="41"/>
      <c r="X1074" s="41"/>
      <c r="Y1074" s="41"/>
      <c r="Z1074" s="29"/>
      <c r="AA1074" s="29"/>
      <c r="AB1074" s="44"/>
      <c r="AC1074" s="29"/>
      <c r="AD1074" s="44">
        <f>T1074</f>
        <v>0</v>
      </c>
    </row>
    <row r="1075" spans="1:30" s="488" customFormat="1" ht="150" hidden="1" customHeight="1">
      <c r="A1075" s="492"/>
      <c r="B1075" s="642">
        <v>2</v>
      </c>
      <c r="C1075" s="511">
        <v>1</v>
      </c>
      <c r="D1075" s="512"/>
      <c r="E1075" s="493" t="s">
        <v>585</v>
      </c>
      <c r="F1075" s="487" t="s">
        <v>586</v>
      </c>
      <c r="G1075" s="645" t="s">
        <v>357</v>
      </c>
      <c r="H1075" s="712">
        <v>0</v>
      </c>
      <c r="I1075" s="494">
        <v>0</v>
      </c>
      <c r="J1075" s="494">
        <v>7045.72</v>
      </c>
      <c r="K1075" s="494">
        <v>25.18</v>
      </c>
      <c r="L1075" s="494">
        <f>SUM(L1077:L1083)</f>
        <v>1172.2</v>
      </c>
      <c r="M1075" s="33">
        <f>SUM(I1075:L1075)</f>
        <v>8243.1</v>
      </c>
      <c r="N1075" s="501">
        <v>1</v>
      </c>
      <c r="O1075" s="502">
        <v>1</v>
      </c>
      <c r="P1075" s="37">
        <v>1</v>
      </c>
      <c r="Q1075" s="34">
        <f>H1075*I1075*N1075*O1075*P1075</f>
        <v>0</v>
      </c>
      <c r="R1075" s="35">
        <f>H1075*J1075*N1075*O1075*P1075</f>
        <v>0</v>
      </c>
      <c r="S1075" s="36">
        <f>H1075*K1075*N1075*O1075*P1075</f>
        <v>0</v>
      </c>
      <c r="T1075" s="36">
        <f>H1075*L1075*N1075*O1075*P1075</f>
        <v>0</v>
      </c>
      <c r="U1075" s="37">
        <f>SUM(Q1075:T1075)</f>
        <v>0</v>
      </c>
      <c r="V1075" s="38">
        <f>(Q1075+R1075+S1075+T1079+T1080+T1081+T1083)*'Прогнозная стоимость РСС ИП '!$M$11+T1078*'Прогнозная стоимость РСС ИП '!$M$10</f>
        <v>0</v>
      </c>
      <c r="W1075" s="39">
        <f>T1075</f>
        <v>0</v>
      </c>
      <c r="X1075" s="39">
        <f>U1075</f>
        <v>0</v>
      </c>
      <c r="Y1075" s="39">
        <f>V1075</f>
        <v>0</v>
      </c>
      <c r="Z1075" s="29"/>
      <c r="AA1075" s="29"/>
      <c r="AB1075" s="29"/>
      <c r="AC1075" s="29"/>
      <c r="AD1075" s="29"/>
    </row>
    <row r="1076" spans="1:30" s="488" customFormat="1" ht="41.25" hidden="1" customHeight="1">
      <c r="A1076" s="492"/>
      <c r="B1076" s="643"/>
      <c r="C1076" s="513"/>
      <c r="D1076" s="514"/>
      <c r="E1076" s="495"/>
      <c r="F1076" s="496"/>
      <c r="G1076" s="646"/>
      <c r="H1076" s="713"/>
      <c r="I1076" s="649"/>
      <c r="J1076" s="650"/>
      <c r="K1076" s="650"/>
      <c r="L1076" s="650"/>
      <c r="M1076" s="651"/>
      <c r="N1076" s="652"/>
      <c r="O1076" s="653"/>
      <c r="P1076" s="654"/>
      <c r="Q1076" s="661"/>
      <c r="R1076" s="662"/>
      <c r="S1076" s="662"/>
      <c r="T1076" s="662"/>
      <c r="U1076" s="663"/>
      <c r="V1076" s="40"/>
      <c r="W1076" s="41"/>
      <c r="X1076" s="41"/>
      <c r="Y1076" s="41"/>
      <c r="Z1076" s="29"/>
      <c r="AA1076" s="29"/>
      <c r="AB1076" s="29"/>
      <c r="AC1076" s="29"/>
      <c r="AD1076" s="29"/>
    </row>
    <row r="1077" spans="1:30" s="488" customFormat="1" ht="41.25" hidden="1" customHeight="1">
      <c r="A1077" s="492"/>
      <c r="B1077" s="643"/>
      <c r="C1077" s="513"/>
      <c r="D1077" s="514"/>
      <c r="E1077" s="664" t="s">
        <v>29</v>
      </c>
      <c r="F1077" s="665"/>
      <c r="G1077" s="665"/>
      <c r="H1077" s="665"/>
      <c r="I1077" s="665"/>
      <c r="J1077" s="665"/>
      <c r="K1077" s="665"/>
      <c r="L1077" s="665"/>
      <c r="M1077" s="666"/>
      <c r="N1077" s="655"/>
      <c r="O1077" s="656"/>
      <c r="P1077" s="657"/>
      <c r="Q1077" s="667"/>
      <c r="R1077" s="689"/>
      <c r="S1077" s="689"/>
      <c r="T1077" s="689"/>
      <c r="U1077" s="690"/>
      <c r="V1077" s="42"/>
      <c r="W1077" s="41"/>
      <c r="X1077" s="41"/>
      <c r="Y1077" s="41"/>
      <c r="Z1077" s="29"/>
      <c r="AA1077" s="29"/>
      <c r="AB1077" s="29"/>
      <c r="AC1077" s="29"/>
      <c r="AD1077" s="29"/>
    </row>
    <row r="1078" spans="1:30" s="488" customFormat="1" ht="41.25" hidden="1" customHeight="1">
      <c r="A1078" s="492"/>
      <c r="B1078" s="643"/>
      <c r="C1078" s="513">
        <v>11</v>
      </c>
      <c r="D1078" s="514"/>
      <c r="E1078" s="670" t="s">
        <v>30</v>
      </c>
      <c r="F1078" s="670"/>
      <c r="G1078" s="670"/>
      <c r="H1078" s="670"/>
      <c r="I1078" s="670"/>
      <c r="J1078" s="670"/>
      <c r="K1078" s="670"/>
      <c r="L1078" s="498">
        <v>483.89</v>
      </c>
      <c r="M1078" s="459">
        <f>L1078</f>
        <v>483.89</v>
      </c>
      <c r="N1078" s="655"/>
      <c r="O1078" s="656"/>
      <c r="P1078" s="657"/>
      <c r="Q1078" s="671"/>
      <c r="R1078" s="672"/>
      <c r="S1078" s="673"/>
      <c r="T1078" s="457">
        <f>H1075*M1078*N1075*O1075*P1075</f>
        <v>0</v>
      </c>
      <c r="U1078" s="458">
        <f>T1078</f>
        <v>0</v>
      </c>
      <c r="V1078" s="42"/>
      <c r="W1078" s="39"/>
      <c r="X1078" s="41"/>
      <c r="Y1078" s="41"/>
      <c r="Z1078" s="43">
        <f>T1078</f>
        <v>0</v>
      </c>
      <c r="AA1078" s="29"/>
      <c r="AB1078" s="29"/>
      <c r="AC1078" s="29"/>
      <c r="AD1078" s="29"/>
    </row>
    <row r="1079" spans="1:30" s="488" customFormat="1" ht="41.25" hidden="1" customHeight="1">
      <c r="A1079" s="492"/>
      <c r="B1079" s="643"/>
      <c r="C1079" s="513"/>
      <c r="D1079" s="514"/>
      <c r="E1079" s="670" t="s">
        <v>31</v>
      </c>
      <c r="F1079" s="670"/>
      <c r="G1079" s="670"/>
      <c r="H1079" s="670"/>
      <c r="I1079" s="670"/>
      <c r="J1079" s="670"/>
      <c r="K1079" s="670"/>
      <c r="L1079" s="498">
        <f>ROUND((I1075+J1075+K1075)*2.14%,2)</f>
        <v>151.32</v>
      </c>
      <c r="M1079" s="459">
        <f>L1079</f>
        <v>151.32</v>
      </c>
      <c r="N1079" s="655"/>
      <c r="O1079" s="656"/>
      <c r="P1079" s="657"/>
      <c r="Q1079" s="671"/>
      <c r="R1079" s="672"/>
      <c r="S1079" s="673"/>
      <c r="T1079" s="457">
        <f>H1075*M1079*N1075*O1075*P1075</f>
        <v>0</v>
      </c>
      <c r="U1079" s="458">
        <f>T1079</f>
        <v>0</v>
      </c>
      <c r="V1079" s="42"/>
      <c r="W1079" s="41"/>
      <c r="X1079" s="39"/>
      <c r="Y1079" s="41"/>
      <c r="Z1079" s="29"/>
      <c r="AA1079" s="43">
        <f>T1079</f>
        <v>0</v>
      </c>
      <c r="AB1079" s="29"/>
      <c r="AC1079" s="29"/>
      <c r="AD1079" s="29"/>
    </row>
    <row r="1080" spans="1:30" s="488" customFormat="1" ht="41.25" hidden="1" customHeight="1">
      <c r="A1080" s="492"/>
      <c r="B1080" s="643"/>
      <c r="C1080" s="515"/>
      <c r="D1080" s="514"/>
      <c r="E1080" s="670" t="s">
        <v>376</v>
      </c>
      <c r="F1080" s="670"/>
      <c r="G1080" s="670"/>
      <c r="H1080" s="670"/>
      <c r="I1080" s="670"/>
      <c r="J1080" s="670"/>
      <c r="K1080" s="670"/>
      <c r="L1080" s="498">
        <f>ROUND((I1075+J1075+K1075+L1078+L1079+L1083)*3%,2)</f>
        <v>240.09</v>
      </c>
      <c r="M1080" s="459">
        <f>L1080</f>
        <v>240.09</v>
      </c>
      <c r="N1080" s="655"/>
      <c r="O1080" s="656"/>
      <c r="P1080" s="657"/>
      <c r="Q1080" s="671"/>
      <c r="R1080" s="672"/>
      <c r="S1080" s="673"/>
      <c r="T1080" s="457">
        <f>H1075*M1080*N1075*O1075*P1075</f>
        <v>0</v>
      </c>
      <c r="U1080" s="458">
        <f>T1080</f>
        <v>0</v>
      </c>
      <c r="V1080" s="42"/>
      <c r="W1080" s="41"/>
      <c r="X1080" s="41"/>
      <c r="Y1080" s="39"/>
      <c r="Z1080" s="29"/>
      <c r="AA1080" s="29"/>
      <c r="AB1080" s="43">
        <f>T1080</f>
        <v>0</v>
      </c>
      <c r="AC1080" s="29"/>
      <c r="AD1080" s="29"/>
    </row>
    <row r="1081" spans="1:30" s="488" customFormat="1" ht="54.75" hidden="1" customHeight="1">
      <c r="A1081" s="492"/>
      <c r="B1081" s="643"/>
      <c r="C1081" s="515"/>
      <c r="D1081" s="514"/>
      <c r="E1081" s="670" t="s">
        <v>377</v>
      </c>
      <c r="F1081" s="670"/>
      <c r="G1081" s="670"/>
      <c r="H1081" s="670"/>
      <c r="I1081" s="670"/>
      <c r="J1081" s="670"/>
      <c r="K1081" s="670"/>
      <c r="L1081" s="498">
        <f>957.29-K1075-L1078-L1079-L1083</f>
        <v>0</v>
      </c>
      <c r="M1081" s="459">
        <f>L1081</f>
        <v>0</v>
      </c>
      <c r="N1081" s="655"/>
      <c r="O1081" s="656"/>
      <c r="P1081" s="657"/>
      <c r="Q1081" s="671"/>
      <c r="R1081" s="672"/>
      <c r="S1081" s="673"/>
      <c r="T1081" s="457">
        <f>H1075*M1081*N1075*O1075*P1075</f>
        <v>0</v>
      </c>
      <c r="U1081" s="458">
        <f>T1081</f>
        <v>0</v>
      </c>
      <c r="V1081" s="42"/>
      <c r="W1081" s="41"/>
      <c r="X1081" s="41"/>
      <c r="Y1081" s="41"/>
      <c r="Z1081" s="44"/>
      <c r="AA1081" s="29"/>
      <c r="AB1081" s="29"/>
      <c r="AC1081" s="44">
        <f>T1081</f>
        <v>0</v>
      </c>
      <c r="AD1081" s="29"/>
    </row>
    <row r="1082" spans="1:30" s="488" customFormat="1" ht="45" hidden="1" customHeight="1">
      <c r="A1082" s="492"/>
      <c r="B1082" s="643"/>
      <c r="C1082" s="515"/>
      <c r="D1082" s="514"/>
      <c r="E1082" s="674"/>
      <c r="F1082" s="675"/>
      <c r="G1082" s="675"/>
      <c r="H1082" s="675"/>
      <c r="I1082" s="675"/>
      <c r="J1082" s="675"/>
      <c r="K1082" s="675"/>
      <c r="L1082" s="675"/>
      <c r="M1082" s="676"/>
      <c r="N1082" s="655"/>
      <c r="O1082" s="656"/>
      <c r="P1082" s="657"/>
      <c r="Q1082" s="677"/>
      <c r="R1082" s="678"/>
      <c r="S1082" s="678"/>
      <c r="T1082" s="678"/>
      <c r="U1082" s="679"/>
      <c r="V1082" s="45"/>
      <c r="W1082" s="41"/>
      <c r="X1082" s="41"/>
      <c r="Y1082" s="41"/>
      <c r="Z1082" s="29"/>
      <c r="AA1082" s="44"/>
      <c r="AB1082" s="29"/>
      <c r="AC1082" s="29"/>
      <c r="AD1082" s="29"/>
    </row>
    <row r="1083" spans="1:30" s="488" customFormat="1" ht="45" hidden="1" customHeight="1" thickBot="1">
      <c r="A1083" s="492"/>
      <c r="B1083" s="644"/>
      <c r="C1083" s="516"/>
      <c r="D1083" s="517"/>
      <c r="E1083" s="680" t="s">
        <v>369</v>
      </c>
      <c r="F1083" s="680" t="s">
        <v>306</v>
      </c>
      <c r="G1083" s="680"/>
      <c r="H1083" s="680"/>
      <c r="I1083" s="680"/>
      <c r="J1083" s="680"/>
      <c r="K1083" s="680"/>
      <c r="L1083" s="499">
        <f>ROUND((I1075+J1075+K1075+L1078)*3.93%,2)</f>
        <v>296.89999999999998</v>
      </c>
      <c r="M1083" s="46">
        <f>L1083</f>
        <v>296.89999999999998</v>
      </c>
      <c r="N1083" s="658"/>
      <c r="O1083" s="659"/>
      <c r="P1083" s="660"/>
      <c r="Q1083" s="681"/>
      <c r="R1083" s="682"/>
      <c r="S1083" s="683"/>
      <c r="T1083" s="500">
        <f>H1075*M1083*N1075*O1075*P1075</f>
        <v>0</v>
      </c>
      <c r="U1083" s="47">
        <f>T1083</f>
        <v>0</v>
      </c>
      <c r="V1083" s="48"/>
      <c r="W1083" s="41"/>
      <c r="X1083" s="41"/>
      <c r="Y1083" s="41"/>
      <c r="Z1083" s="29"/>
      <c r="AA1083" s="29"/>
      <c r="AB1083" s="44"/>
      <c r="AC1083" s="29"/>
      <c r="AD1083" s="44">
        <f>T1083</f>
        <v>0</v>
      </c>
    </row>
    <row r="1084" spans="1:30" s="488" customFormat="1" ht="150" hidden="1" customHeight="1">
      <c r="A1084" s="492"/>
      <c r="B1084" s="642">
        <v>2</v>
      </c>
      <c r="C1084" s="511">
        <v>1</v>
      </c>
      <c r="D1084" s="512"/>
      <c r="E1084" s="493" t="s">
        <v>587</v>
      </c>
      <c r="F1084" s="487" t="s">
        <v>588</v>
      </c>
      <c r="G1084" s="645" t="s">
        <v>357</v>
      </c>
      <c r="H1084" s="712">
        <v>0</v>
      </c>
      <c r="I1084" s="494">
        <v>0</v>
      </c>
      <c r="J1084" s="494">
        <v>7462.03</v>
      </c>
      <c r="K1084" s="494">
        <v>25.18</v>
      </c>
      <c r="L1084" s="494">
        <f>SUM(L1086:L1092)</f>
        <v>1211.6100000000001</v>
      </c>
      <c r="M1084" s="33">
        <f>SUM(I1084:L1084)</f>
        <v>8698.82</v>
      </c>
      <c r="N1084" s="501">
        <v>1</v>
      </c>
      <c r="O1084" s="502">
        <v>1</v>
      </c>
      <c r="P1084" s="37">
        <v>1</v>
      </c>
      <c r="Q1084" s="34">
        <f>H1084*I1084*N1084*O1084*P1084</f>
        <v>0</v>
      </c>
      <c r="R1084" s="35">
        <f>H1084*J1084*N1084*O1084*P1084</f>
        <v>0</v>
      </c>
      <c r="S1084" s="36">
        <f>H1084*K1084*N1084*O1084*P1084</f>
        <v>0</v>
      </c>
      <c r="T1084" s="36">
        <f>H1084*L1084*N1084*O1084*P1084</f>
        <v>0</v>
      </c>
      <c r="U1084" s="37">
        <f>SUM(Q1084:T1084)</f>
        <v>0</v>
      </c>
      <c r="V1084" s="38">
        <f>(Q1084+R1084+S1084+T1088+T1089+T1090+T1092)*'Прогнозная стоимость РСС ИП '!$M$11+T1087*'Прогнозная стоимость РСС ИП '!$M$10</f>
        <v>0</v>
      </c>
      <c r="W1084" s="39">
        <f>T1084</f>
        <v>0</v>
      </c>
      <c r="X1084" s="39">
        <f>U1084</f>
        <v>0</v>
      </c>
      <c r="Y1084" s="39">
        <f>V1084</f>
        <v>0</v>
      </c>
      <c r="Z1084" s="29"/>
      <c r="AA1084" s="29"/>
      <c r="AB1084" s="29"/>
      <c r="AC1084" s="29"/>
      <c r="AD1084" s="29"/>
    </row>
    <row r="1085" spans="1:30" s="488" customFormat="1" ht="41.25" hidden="1" customHeight="1">
      <c r="A1085" s="492"/>
      <c r="B1085" s="643"/>
      <c r="C1085" s="513"/>
      <c r="D1085" s="514"/>
      <c r="E1085" s="495"/>
      <c r="F1085" s="496"/>
      <c r="G1085" s="646"/>
      <c r="H1085" s="713"/>
      <c r="I1085" s="649"/>
      <c r="J1085" s="650"/>
      <c r="K1085" s="650"/>
      <c r="L1085" s="650"/>
      <c r="M1085" s="651"/>
      <c r="N1085" s="652"/>
      <c r="O1085" s="653"/>
      <c r="P1085" s="654"/>
      <c r="Q1085" s="661"/>
      <c r="R1085" s="662"/>
      <c r="S1085" s="662"/>
      <c r="T1085" s="662"/>
      <c r="U1085" s="663"/>
      <c r="V1085" s="40"/>
      <c r="W1085" s="41"/>
      <c r="X1085" s="41"/>
      <c r="Y1085" s="41"/>
      <c r="Z1085" s="29"/>
      <c r="AA1085" s="29"/>
      <c r="AB1085" s="29"/>
      <c r="AC1085" s="29"/>
      <c r="AD1085" s="29"/>
    </row>
    <row r="1086" spans="1:30" s="488" customFormat="1" ht="41.25" hidden="1" customHeight="1">
      <c r="A1086" s="492"/>
      <c r="B1086" s="643"/>
      <c r="C1086" s="513"/>
      <c r="D1086" s="514"/>
      <c r="E1086" s="664" t="s">
        <v>29</v>
      </c>
      <c r="F1086" s="665"/>
      <c r="G1086" s="665"/>
      <c r="H1086" s="665"/>
      <c r="I1086" s="665"/>
      <c r="J1086" s="665"/>
      <c r="K1086" s="665"/>
      <c r="L1086" s="665"/>
      <c r="M1086" s="666"/>
      <c r="N1086" s="655"/>
      <c r="O1086" s="656"/>
      <c r="P1086" s="657"/>
      <c r="Q1086" s="667"/>
      <c r="R1086" s="689"/>
      <c r="S1086" s="689"/>
      <c r="T1086" s="689"/>
      <c r="U1086" s="690"/>
      <c r="V1086" s="42"/>
      <c r="W1086" s="41"/>
      <c r="X1086" s="41"/>
      <c r="Y1086" s="41"/>
      <c r="Z1086" s="29"/>
      <c r="AA1086" s="29"/>
      <c r="AB1086" s="29"/>
      <c r="AC1086" s="29"/>
      <c r="AD1086" s="29"/>
    </row>
    <row r="1087" spans="1:30" s="488" customFormat="1" ht="41.25" hidden="1" customHeight="1">
      <c r="A1087" s="492"/>
      <c r="B1087" s="643"/>
      <c r="C1087" s="513">
        <v>11</v>
      </c>
      <c r="D1087" s="514"/>
      <c r="E1087" s="670" t="s">
        <v>30</v>
      </c>
      <c r="F1087" s="670"/>
      <c r="G1087" s="670"/>
      <c r="H1087" s="670"/>
      <c r="I1087" s="670"/>
      <c r="J1087" s="670"/>
      <c r="K1087" s="670"/>
      <c r="L1087" s="498">
        <v>484.72</v>
      </c>
      <c r="M1087" s="459">
        <f>L1087</f>
        <v>484.72</v>
      </c>
      <c r="N1087" s="655"/>
      <c r="O1087" s="656"/>
      <c r="P1087" s="657"/>
      <c r="Q1087" s="671"/>
      <c r="R1087" s="672"/>
      <c r="S1087" s="673"/>
      <c r="T1087" s="457">
        <f>H1084*M1087*N1084*O1084*P1084</f>
        <v>0</v>
      </c>
      <c r="U1087" s="458">
        <f>T1087</f>
        <v>0</v>
      </c>
      <c r="V1087" s="42"/>
      <c r="W1087" s="39"/>
      <c r="X1087" s="41"/>
      <c r="Y1087" s="41"/>
      <c r="Z1087" s="43">
        <f>T1087</f>
        <v>0</v>
      </c>
      <c r="AA1087" s="29"/>
      <c r="AB1087" s="29"/>
      <c r="AC1087" s="29"/>
      <c r="AD1087" s="29"/>
    </row>
    <row r="1088" spans="1:30" s="488" customFormat="1" ht="41.25" hidden="1" customHeight="1">
      <c r="A1088" s="492"/>
      <c r="B1088" s="643"/>
      <c r="C1088" s="513"/>
      <c r="D1088" s="514"/>
      <c r="E1088" s="670" t="s">
        <v>31</v>
      </c>
      <c r="F1088" s="670"/>
      <c r="G1088" s="670"/>
      <c r="H1088" s="670"/>
      <c r="I1088" s="670"/>
      <c r="J1088" s="670"/>
      <c r="K1088" s="670"/>
      <c r="L1088" s="498">
        <f>ROUND((I1084+J1084+K1084)*2.14%,2)</f>
        <v>160.22999999999999</v>
      </c>
      <c r="M1088" s="459">
        <f>L1088</f>
        <v>160.22999999999999</v>
      </c>
      <c r="N1088" s="655"/>
      <c r="O1088" s="656"/>
      <c r="P1088" s="657"/>
      <c r="Q1088" s="671"/>
      <c r="R1088" s="672"/>
      <c r="S1088" s="673"/>
      <c r="T1088" s="457">
        <f>H1084*M1088*N1084*O1084*P1084</f>
        <v>0</v>
      </c>
      <c r="U1088" s="458">
        <f>T1088</f>
        <v>0</v>
      </c>
      <c r="V1088" s="42"/>
      <c r="W1088" s="41"/>
      <c r="X1088" s="39"/>
      <c r="Y1088" s="41"/>
      <c r="Z1088" s="29"/>
      <c r="AA1088" s="43">
        <f>T1088</f>
        <v>0</v>
      </c>
      <c r="AB1088" s="29"/>
      <c r="AC1088" s="29"/>
      <c r="AD1088" s="29"/>
    </row>
    <row r="1089" spans="1:30" s="488" customFormat="1" ht="41.25" hidden="1" customHeight="1">
      <c r="A1089" s="492"/>
      <c r="B1089" s="643"/>
      <c r="C1089" s="515"/>
      <c r="D1089" s="514"/>
      <c r="E1089" s="670" t="s">
        <v>376</v>
      </c>
      <c r="F1089" s="670"/>
      <c r="G1089" s="670"/>
      <c r="H1089" s="670"/>
      <c r="I1089" s="670"/>
      <c r="J1089" s="670"/>
      <c r="K1089" s="670"/>
      <c r="L1089" s="498">
        <f>ROUND((I1084+J1084+K1084+L1087+L1088+L1092)*3%,2)</f>
        <v>253.36</v>
      </c>
      <c r="M1089" s="459">
        <f>L1089</f>
        <v>253.36</v>
      </c>
      <c r="N1089" s="655"/>
      <c r="O1089" s="656"/>
      <c r="P1089" s="657"/>
      <c r="Q1089" s="671"/>
      <c r="R1089" s="672"/>
      <c r="S1089" s="673"/>
      <c r="T1089" s="457">
        <f>H1084*M1089*N1084*O1084*P1084</f>
        <v>0</v>
      </c>
      <c r="U1089" s="458">
        <f>T1089</f>
        <v>0</v>
      </c>
      <c r="V1089" s="42"/>
      <c r="W1089" s="41"/>
      <c r="X1089" s="41"/>
      <c r="Y1089" s="39"/>
      <c r="Z1089" s="29"/>
      <c r="AA1089" s="29"/>
      <c r="AB1089" s="43">
        <f>T1089</f>
        <v>0</v>
      </c>
      <c r="AC1089" s="29"/>
      <c r="AD1089" s="29"/>
    </row>
    <row r="1090" spans="1:30" s="488" customFormat="1" ht="54.75" hidden="1" customHeight="1">
      <c r="A1090" s="492"/>
      <c r="B1090" s="643"/>
      <c r="C1090" s="515"/>
      <c r="D1090" s="514"/>
      <c r="E1090" s="670" t="s">
        <v>377</v>
      </c>
      <c r="F1090" s="670"/>
      <c r="G1090" s="670"/>
      <c r="H1090" s="670"/>
      <c r="I1090" s="670"/>
      <c r="J1090" s="670"/>
      <c r="K1090" s="670"/>
      <c r="L1090" s="498">
        <f>983.43-K1084-L1087-L1088-L1092</f>
        <v>0</v>
      </c>
      <c r="M1090" s="459">
        <f>L1090</f>
        <v>0</v>
      </c>
      <c r="N1090" s="655"/>
      <c r="O1090" s="656"/>
      <c r="P1090" s="657"/>
      <c r="Q1090" s="671"/>
      <c r="R1090" s="672"/>
      <c r="S1090" s="673"/>
      <c r="T1090" s="457">
        <f>H1084*M1090*N1084*O1084*P1084</f>
        <v>0</v>
      </c>
      <c r="U1090" s="458">
        <f>T1090</f>
        <v>0</v>
      </c>
      <c r="V1090" s="42"/>
      <c r="W1090" s="41"/>
      <c r="X1090" s="41"/>
      <c r="Y1090" s="41"/>
      <c r="Z1090" s="44"/>
      <c r="AA1090" s="29"/>
      <c r="AB1090" s="29"/>
      <c r="AC1090" s="44">
        <f>T1090</f>
        <v>0</v>
      </c>
      <c r="AD1090" s="29"/>
    </row>
    <row r="1091" spans="1:30" s="488" customFormat="1" ht="45" hidden="1" customHeight="1">
      <c r="A1091" s="492"/>
      <c r="B1091" s="643"/>
      <c r="C1091" s="515"/>
      <c r="D1091" s="514"/>
      <c r="E1091" s="674"/>
      <c r="F1091" s="675"/>
      <c r="G1091" s="675"/>
      <c r="H1091" s="675"/>
      <c r="I1091" s="675"/>
      <c r="J1091" s="675"/>
      <c r="K1091" s="675"/>
      <c r="L1091" s="675"/>
      <c r="M1091" s="676"/>
      <c r="N1091" s="655"/>
      <c r="O1091" s="656"/>
      <c r="P1091" s="657"/>
      <c r="Q1091" s="677"/>
      <c r="R1091" s="678"/>
      <c r="S1091" s="678"/>
      <c r="T1091" s="678"/>
      <c r="U1091" s="679"/>
      <c r="V1091" s="45"/>
      <c r="W1091" s="41"/>
      <c r="X1091" s="41"/>
      <c r="Y1091" s="41"/>
      <c r="Z1091" s="29"/>
      <c r="AA1091" s="44"/>
      <c r="AB1091" s="29"/>
      <c r="AC1091" s="29"/>
      <c r="AD1091" s="29"/>
    </row>
    <row r="1092" spans="1:30" s="488" customFormat="1" ht="45" hidden="1" customHeight="1" thickBot="1">
      <c r="A1092" s="492"/>
      <c r="B1092" s="644"/>
      <c r="C1092" s="516"/>
      <c r="D1092" s="517"/>
      <c r="E1092" s="680" t="s">
        <v>369</v>
      </c>
      <c r="F1092" s="680" t="s">
        <v>306</v>
      </c>
      <c r="G1092" s="680"/>
      <c r="H1092" s="680"/>
      <c r="I1092" s="680"/>
      <c r="J1092" s="680"/>
      <c r="K1092" s="680"/>
      <c r="L1092" s="499">
        <f>ROUND((I1084+J1084+K1084+L1087)*3.93%,2)</f>
        <v>313.3</v>
      </c>
      <c r="M1092" s="46">
        <f>L1092</f>
        <v>313.3</v>
      </c>
      <c r="N1092" s="658"/>
      <c r="O1092" s="659"/>
      <c r="P1092" s="660"/>
      <c r="Q1092" s="681"/>
      <c r="R1092" s="682"/>
      <c r="S1092" s="683"/>
      <c r="T1092" s="500">
        <f>H1084*M1092*N1084*O1084*P1084</f>
        <v>0</v>
      </c>
      <c r="U1092" s="47">
        <f>T1092</f>
        <v>0</v>
      </c>
      <c r="V1092" s="48"/>
      <c r="W1092" s="41"/>
      <c r="X1092" s="41"/>
      <c r="Y1092" s="41"/>
      <c r="Z1092" s="29"/>
      <c r="AA1092" s="29"/>
      <c r="AB1092" s="44"/>
      <c r="AC1092" s="29"/>
      <c r="AD1092" s="44">
        <f>T1092</f>
        <v>0</v>
      </c>
    </row>
    <row r="1093" spans="1:30" s="488" customFormat="1" ht="150" hidden="1" customHeight="1">
      <c r="A1093" s="492"/>
      <c r="B1093" s="642">
        <v>2</v>
      </c>
      <c r="C1093" s="511">
        <v>1</v>
      </c>
      <c r="D1093" s="512"/>
      <c r="E1093" s="493" t="s">
        <v>589</v>
      </c>
      <c r="F1093" s="487" t="s">
        <v>590</v>
      </c>
      <c r="G1093" s="645" t="s">
        <v>357</v>
      </c>
      <c r="H1093" s="712">
        <v>0</v>
      </c>
      <c r="I1093" s="494">
        <v>0</v>
      </c>
      <c r="J1093" s="494">
        <v>7854.4</v>
      </c>
      <c r="K1093" s="494">
        <v>25.18</v>
      </c>
      <c r="L1093" s="494">
        <f>SUM(L1095:L1101)</f>
        <v>1248.75</v>
      </c>
      <c r="M1093" s="33">
        <f>SUM(I1093:L1093)</f>
        <v>9128.33</v>
      </c>
      <c r="N1093" s="501">
        <v>1</v>
      </c>
      <c r="O1093" s="502">
        <v>1</v>
      </c>
      <c r="P1093" s="37">
        <v>1</v>
      </c>
      <c r="Q1093" s="34">
        <f>H1093*I1093*N1093*O1093*P1093</f>
        <v>0</v>
      </c>
      <c r="R1093" s="35">
        <f>H1093*J1093*N1093*O1093*P1093</f>
        <v>0</v>
      </c>
      <c r="S1093" s="36">
        <f>H1093*K1093*N1093*O1093*P1093</f>
        <v>0</v>
      </c>
      <c r="T1093" s="36">
        <f>H1093*L1093*N1093*O1093*P1093</f>
        <v>0</v>
      </c>
      <c r="U1093" s="37">
        <f>SUM(Q1093:T1093)</f>
        <v>0</v>
      </c>
      <c r="V1093" s="38">
        <f>(Q1093+R1093+S1093+T1097+T1098+T1099+T1101)*'Прогнозная стоимость РСС ИП '!$M$11+T1096*'Прогнозная стоимость РСС ИП '!$M$10</f>
        <v>0</v>
      </c>
      <c r="W1093" s="39">
        <f>T1093</f>
        <v>0</v>
      </c>
      <c r="X1093" s="39">
        <f>U1093</f>
        <v>0</v>
      </c>
      <c r="Y1093" s="39">
        <f>V1093</f>
        <v>0</v>
      </c>
      <c r="Z1093" s="29"/>
      <c r="AA1093" s="29"/>
      <c r="AB1093" s="29"/>
      <c r="AC1093" s="29"/>
      <c r="AD1093" s="29"/>
    </row>
    <row r="1094" spans="1:30" s="488" customFormat="1" ht="41.25" hidden="1" customHeight="1">
      <c r="A1094" s="492"/>
      <c r="B1094" s="643"/>
      <c r="C1094" s="513"/>
      <c r="D1094" s="514"/>
      <c r="E1094" s="495"/>
      <c r="F1094" s="496"/>
      <c r="G1094" s="646"/>
      <c r="H1094" s="713"/>
      <c r="I1094" s="649"/>
      <c r="J1094" s="650"/>
      <c r="K1094" s="650"/>
      <c r="L1094" s="650"/>
      <c r="M1094" s="651"/>
      <c r="N1094" s="652"/>
      <c r="O1094" s="653"/>
      <c r="P1094" s="654"/>
      <c r="Q1094" s="661"/>
      <c r="R1094" s="662"/>
      <c r="S1094" s="662"/>
      <c r="T1094" s="662"/>
      <c r="U1094" s="663"/>
      <c r="V1094" s="40"/>
      <c r="W1094" s="41"/>
      <c r="X1094" s="41"/>
      <c r="Y1094" s="41"/>
      <c r="Z1094" s="29"/>
      <c r="AA1094" s="29"/>
      <c r="AB1094" s="29"/>
      <c r="AC1094" s="29"/>
      <c r="AD1094" s="29"/>
    </row>
    <row r="1095" spans="1:30" s="488" customFormat="1" ht="41.25" hidden="1" customHeight="1">
      <c r="A1095" s="492"/>
      <c r="B1095" s="643"/>
      <c r="C1095" s="513"/>
      <c r="D1095" s="514"/>
      <c r="E1095" s="664" t="s">
        <v>29</v>
      </c>
      <c r="F1095" s="665"/>
      <c r="G1095" s="665"/>
      <c r="H1095" s="665"/>
      <c r="I1095" s="665"/>
      <c r="J1095" s="665"/>
      <c r="K1095" s="665"/>
      <c r="L1095" s="665"/>
      <c r="M1095" s="666"/>
      <c r="N1095" s="655"/>
      <c r="O1095" s="656"/>
      <c r="P1095" s="657"/>
      <c r="Q1095" s="667"/>
      <c r="R1095" s="689"/>
      <c r="S1095" s="689"/>
      <c r="T1095" s="689"/>
      <c r="U1095" s="690"/>
      <c r="V1095" s="42"/>
      <c r="W1095" s="41"/>
      <c r="X1095" s="41"/>
      <c r="Y1095" s="41"/>
      <c r="Z1095" s="29"/>
      <c r="AA1095" s="29"/>
      <c r="AB1095" s="29"/>
      <c r="AC1095" s="29"/>
      <c r="AD1095" s="29"/>
    </row>
    <row r="1096" spans="1:30" s="488" customFormat="1" ht="41.25" hidden="1" customHeight="1">
      <c r="A1096" s="492"/>
      <c r="B1096" s="643"/>
      <c r="C1096" s="513">
        <v>11</v>
      </c>
      <c r="D1096" s="514"/>
      <c r="E1096" s="670" t="s">
        <v>30</v>
      </c>
      <c r="F1096" s="670"/>
      <c r="G1096" s="670"/>
      <c r="H1096" s="670"/>
      <c r="I1096" s="670"/>
      <c r="J1096" s="670"/>
      <c r="K1096" s="670"/>
      <c r="L1096" s="498">
        <v>485.51</v>
      </c>
      <c r="M1096" s="459">
        <f>L1096</f>
        <v>485.51</v>
      </c>
      <c r="N1096" s="655"/>
      <c r="O1096" s="656"/>
      <c r="P1096" s="657"/>
      <c r="Q1096" s="671"/>
      <c r="R1096" s="672"/>
      <c r="S1096" s="673"/>
      <c r="T1096" s="457">
        <f>H1093*M1096*N1093*O1093*P1093</f>
        <v>0</v>
      </c>
      <c r="U1096" s="458">
        <f>T1096</f>
        <v>0</v>
      </c>
      <c r="V1096" s="42"/>
      <c r="W1096" s="39"/>
      <c r="X1096" s="41"/>
      <c r="Y1096" s="41"/>
      <c r="Z1096" s="43">
        <f>T1096</f>
        <v>0</v>
      </c>
      <c r="AA1096" s="29"/>
      <c r="AB1096" s="29"/>
      <c r="AC1096" s="29"/>
      <c r="AD1096" s="29"/>
    </row>
    <row r="1097" spans="1:30" s="488" customFormat="1" ht="41.25" hidden="1" customHeight="1">
      <c r="A1097" s="492"/>
      <c r="B1097" s="643"/>
      <c r="C1097" s="513"/>
      <c r="D1097" s="514"/>
      <c r="E1097" s="670" t="s">
        <v>31</v>
      </c>
      <c r="F1097" s="670"/>
      <c r="G1097" s="670"/>
      <c r="H1097" s="670"/>
      <c r="I1097" s="670"/>
      <c r="J1097" s="670"/>
      <c r="K1097" s="670"/>
      <c r="L1097" s="498">
        <f>ROUND((I1093+J1093+K1093)*2.14%,2)</f>
        <v>168.62</v>
      </c>
      <c r="M1097" s="459">
        <f>L1097</f>
        <v>168.62</v>
      </c>
      <c r="N1097" s="655"/>
      <c r="O1097" s="656"/>
      <c r="P1097" s="657"/>
      <c r="Q1097" s="671"/>
      <c r="R1097" s="672"/>
      <c r="S1097" s="673"/>
      <c r="T1097" s="457">
        <f>H1093*M1097*N1093*O1093*P1093</f>
        <v>0</v>
      </c>
      <c r="U1097" s="458">
        <f>T1097</f>
        <v>0</v>
      </c>
      <c r="V1097" s="42"/>
      <c r="W1097" s="41"/>
      <c r="X1097" s="39"/>
      <c r="Y1097" s="41"/>
      <c r="Z1097" s="29"/>
      <c r="AA1097" s="43">
        <f>T1097</f>
        <v>0</v>
      </c>
      <c r="AB1097" s="29"/>
      <c r="AC1097" s="29"/>
      <c r="AD1097" s="29"/>
    </row>
    <row r="1098" spans="1:30" s="488" customFormat="1" ht="41.25" hidden="1" customHeight="1">
      <c r="A1098" s="492"/>
      <c r="B1098" s="643"/>
      <c r="C1098" s="515"/>
      <c r="D1098" s="514"/>
      <c r="E1098" s="670" t="s">
        <v>376</v>
      </c>
      <c r="F1098" s="670"/>
      <c r="G1098" s="670"/>
      <c r="H1098" s="670"/>
      <c r="I1098" s="670"/>
      <c r="J1098" s="670"/>
      <c r="K1098" s="670"/>
      <c r="L1098" s="498">
        <f>ROUND((I1093+J1093+K1093+L1096+L1097+L1101)*3%,2)</f>
        <v>265.87</v>
      </c>
      <c r="M1098" s="459">
        <f>L1098</f>
        <v>265.87</v>
      </c>
      <c r="N1098" s="655"/>
      <c r="O1098" s="656"/>
      <c r="P1098" s="657"/>
      <c r="Q1098" s="671"/>
      <c r="R1098" s="672"/>
      <c r="S1098" s="673"/>
      <c r="T1098" s="457">
        <f>H1093*M1098*N1093*O1093*P1093</f>
        <v>0</v>
      </c>
      <c r="U1098" s="458">
        <f>T1098</f>
        <v>0</v>
      </c>
      <c r="V1098" s="42"/>
      <c r="W1098" s="41"/>
      <c r="X1098" s="41"/>
      <c r="Y1098" s="39"/>
      <c r="Z1098" s="29"/>
      <c r="AA1098" s="29"/>
      <c r="AB1098" s="43">
        <f>T1098</f>
        <v>0</v>
      </c>
      <c r="AC1098" s="29"/>
      <c r="AD1098" s="29"/>
    </row>
    <row r="1099" spans="1:30" s="488" customFormat="1" ht="54.75" hidden="1" customHeight="1">
      <c r="A1099" s="492"/>
      <c r="B1099" s="643"/>
      <c r="C1099" s="515"/>
      <c r="D1099" s="514"/>
      <c r="E1099" s="670" t="s">
        <v>377</v>
      </c>
      <c r="F1099" s="670"/>
      <c r="G1099" s="670"/>
      <c r="H1099" s="670"/>
      <c r="I1099" s="670"/>
      <c r="J1099" s="670"/>
      <c r="K1099" s="670"/>
      <c r="L1099" s="498">
        <f>1008.06-K1093-L1096-L1097-L1101</f>
        <v>0</v>
      </c>
      <c r="M1099" s="459">
        <f>L1099</f>
        <v>0</v>
      </c>
      <c r="N1099" s="655"/>
      <c r="O1099" s="656"/>
      <c r="P1099" s="657"/>
      <c r="Q1099" s="671"/>
      <c r="R1099" s="672"/>
      <c r="S1099" s="673"/>
      <c r="T1099" s="457">
        <f>H1093*M1099*N1093*O1093*P1093</f>
        <v>0</v>
      </c>
      <c r="U1099" s="458">
        <f>T1099</f>
        <v>0</v>
      </c>
      <c r="V1099" s="42"/>
      <c r="W1099" s="41"/>
      <c r="X1099" s="41"/>
      <c r="Y1099" s="41"/>
      <c r="Z1099" s="44"/>
      <c r="AA1099" s="29"/>
      <c r="AB1099" s="29"/>
      <c r="AC1099" s="44">
        <f>T1099</f>
        <v>0</v>
      </c>
      <c r="AD1099" s="29"/>
    </row>
    <row r="1100" spans="1:30" s="488" customFormat="1" ht="45" hidden="1" customHeight="1">
      <c r="A1100" s="492"/>
      <c r="B1100" s="643"/>
      <c r="C1100" s="515"/>
      <c r="D1100" s="514"/>
      <c r="E1100" s="674"/>
      <c r="F1100" s="675"/>
      <c r="G1100" s="675"/>
      <c r="H1100" s="675"/>
      <c r="I1100" s="675"/>
      <c r="J1100" s="675"/>
      <c r="K1100" s="675"/>
      <c r="L1100" s="675"/>
      <c r="M1100" s="676"/>
      <c r="N1100" s="655"/>
      <c r="O1100" s="656"/>
      <c r="P1100" s="657"/>
      <c r="Q1100" s="677"/>
      <c r="R1100" s="678"/>
      <c r="S1100" s="678"/>
      <c r="T1100" s="678"/>
      <c r="U1100" s="679"/>
      <c r="V1100" s="45"/>
      <c r="W1100" s="41"/>
      <c r="X1100" s="41"/>
      <c r="Y1100" s="41"/>
      <c r="Z1100" s="29"/>
      <c r="AA1100" s="44"/>
      <c r="AB1100" s="29"/>
      <c r="AC1100" s="29"/>
      <c r="AD1100" s="29"/>
    </row>
    <row r="1101" spans="1:30" s="488" customFormat="1" ht="45" hidden="1" customHeight="1" thickBot="1">
      <c r="A1101" s="492"/>
      <c r="B1101" s="644"/>
      <c r="C1101" s="516"/>
      <c r="D1101" s="517"/>
      <c r="E1101" s="680" t="s">
        <v>369</v>
      </c>
      <c r="F1101" s="680" t="s">
        <v>306</v>
      </c>
      <c r="G1101" s="680"/>
      <c r="H1101" s="680"/>
      <c r="I1101" s="680"/>
      <c r="J1101" s="680"/>
      <c r="K1101" s="680"/>
      <c r="L1101" s="499">
        <f>ROUND((I1093+J1093+K1093+L1096)*3.93%,2)</f>
        <v>328.75</v>
      </c>
      <c r="M1101" s="46">
        <f>L1101</f>
        <v>328.75</v>
      </c>
      <c r="N1101" s="658"/>
      <c r="O1101" s="659"/>
      <c r="P1101" s="660"/>
      <c r="Q1101" s="681"/>
      <c r="R1101" s="682"/>
      <c r="S1101" s="683"/>
      <c r="T1101" s="500">
        <f>H1093*M1101*N1093*O1093*P1093</f>
        <v>0</v>
      </c>
      <c r="U1101" s="47">
        <f>T1101</f>
        <v>0</v>
      </c>
      <c r="V1101" s="48"/>
      <c r="W1101" s="41"/>
      <c r="X1101" s="41"/>
      <c r="Y1101" s="41"/>
      <c r="Z1101" s="29"/>
      <c r="AA1101" s="29"/>
      <c r="AB1101" s="44"/>
      <c r="AC1101" s="29"/>
      <c r="AD1101" s="44">
        <f>T1101</f>
        <v>0</v>
      </c>
    </row>
    <row r="1102" spans="1:30" s="488" customFormat="1" ht="150" hidden="1" customHeight="1">
      <c r="A1102" s="492"/>
      <c r="B1102" s="642">
        <v>2</v>
      </c>
      <c r="C1102" s="511">
        <v>1</v>
      </c>
      <c r="D1102" s="512"/>
      <c r="E1102" s="493" t="s">
        <v>591</v>
      </c>
      <c r="F1102" s="487" t="s">
        <v>592</v>
      </c>
      <c r="G1102" s="645" t="s">
        <v>357</v>
      </c>
      <c r="H1102" s="712">
        <v>0</v>
      </c>
      <c r="I1102" s="494">
        <v>0</v>
      </c>
      <c r="J1102" s="494">
        <v>8376.23</v>
      </c>
      <c r="K1102" s="494">
        <v>25.18</v>
      </c>
      <c r="L1102" s="494">
        <f>SUM(L1104:L1110)</f>
        <v>1298.1500000000001</v>
      </c>
      <c r="M1102" s="33">
        <f>SUM(I1102:L1102)</f>
        <v>9699.56</v>
      </c>
      <c r="N1102" s="501">
        <v>1</v>
      </c>
      <c r="O1102" s="502">
        <v>1</v>
      </c>
      <c r="P1102" s="37">
        <v>1</v>
      </c>
      <c r="Q1102" s="34">
        <f>H1102*I1102*N1102*O1102*P1102</f>
        <v>0</v>
      </c>
      <c r="R1102" s="35">
        <f>H1102*J1102*N1102*O1102*P1102</f>
        <v>0</v>
      </c>
      <c r="S1102" s="36">
        <f>H1102*K1102*N1102*O1102*P1102</f>
        <v>0</v>
      </c>
      <c r="T1102" s="36">
        <f>H1102*L1102*N1102*O1102*P1102</f>
        <v>0</v>
      </c>
      <c r="U1102" s="37">
        <f>SUM(Q1102:T1102)</f>
        <v>0</v>
      </c>
      <c r="V1102" s="38">
        <f>(Q1102+R1102+S1102+T1106+T1107+T1108+T1110)*'Прогнозная стоимость РСС ИП '!$M$11+T1105*'Прогнозная стоимость РСС ИП '!$M$10</f>
        <v>0</v>
      </c>
      <c r="W1102" s="39">
        <f>T1102</f>
        <v>0</v>
      </c>
      <c r="X1102" s="39">
        <f>U1102</f>
        <v>0</v>
      </c>
      <c r="Y1102" s="39">
        <f>V1102</f>
        <v>0</v>
      </c>
      <c r="Z1102" s="29"/>
      <c r="AA1102" s="29"/>
      <c r="AB1102" s="29"/>
      <c r="AC1102" s="29"/>
      <c r="AD1102" s="29"/>
    </row>
    <row r="1103" spans="1:30" s="488" customFormat="1" ht="41.25" hidden="1" customHeight="1">
      <c r="A1103" s="492"/>
      <c r="B1103" s="643"/>
      <c r="C1103" s="513"/>
      <c r="D1103" s="514"/>
      <c r="E1103" s="495"/>
      <c r="F1103" s="496"/>
      <c r="G1103" s="646"/>
      <c r="H1103" s="713"/>
      <c r="I1103" s="649"/>
      <c r="J1103" s="650"/>
      <c r="K1103" s="650"/>
      <c r="L1103" s="650"/>
      <c r="M1103" s="651"/>
      <c r="N1103" s="652"/>
      <c r="O1103" s="653"/>
      <c r="P1103" s="654"/>
      <c r="Q1103" s="661"/>
      <c r="R1103" s="662"/>
      <c r="S1103" s="662"/>
      <c r="T1103" s="662"/>
      <c r="U1103" s="663"/>
      <c r="V1103" s="40"/>
      <c r="W1103" s="41"/>
      <c r="X1103" s="41"/>
      <c r="Y1103" s="41"/>
      <c r="Z1103" s="29"/>
      <c r="AA1103" s="29"/>
      <c r="AB1103" s="29"/>
      <c r="AC1103" s="29"/>
      <c r="AD1103" s="29"/>
    </row>
    <row r="1104" spans="1:30" s="488" customFormat="1" ht="41.25" hidden="1" customHeight="1">
      <c r="A1104" s="492"/>
      <c r="B1104" s="643"/>
      <c r="C1104" s="513"/>
      <c r="D1104" s="514"/>
      <c r="E1104" s="664" t="s">
        <v>29</v>
      </c>
      <c r="F1104" s="665"/>
      <c r="G1104" s="665"/>
      <c r="H1104" s="665"/>
      <c r="I1104" s="665"/>
      <c r="J1104" s="665"/>
      <c r="K1104" s="665"/>
      <c r="L1104" s="665"/>
      <c r="M1104" s="666"/>
      <c r="N1104" s="655"/>
      <c r="O1104" s="656"/>
      <c r="P1104" s="657"/>
      <c r="Q1104" s="667"/>
      <c r="R1104" s="689"/>
      <c r="S1104" s="689"/>
      <c r="T1104" s="689"/>
      <c r="U1104" s="690"/>
      <c r="V1104" s="42"/>
      <c r="W1104" s="41"/>
      <c r="X1104" s="41"/>
      <c r="Y1104" s="41"/>
      <c r="Z1104" s="29"/>
      <c r="AA1104" s="29"/>
      <c r="AB1104" s="29"/>
      <c r="AC1104" s="29"/>
      <c r="AD1104" s="29"/>
    </row>
    <row r="1105" spans="1:30" s="488" customFormat="1" ht="41.25" hidden="1" customHeight="1">
      <c r="A1105" s="492"/>
      <c r="B1105" s="643"/>
      <c r="C1105" s="513">
        <v>11</v>
      </c>
      <c r="D1105" s="514"/>
      <c r="E1105" s="670" t="s">
        <v>30</v>
      </c>
      <c r="F1105" s="670"/>
      <c r="G1105" s="670"/>
      <c r="H1105" s="670"/>
      <c r="I1105" s="670"/>
      <c r="J1105" s="670"/>
      <c r="K1105" s="670"/>
      <c r="L1105" s="498">
        <v>486.55</v>
      </c>
      <c r="M1105" s="459">
        <f>L1105</f>
        <v>486.55</v>
      </c>
      <c r="N1105" s="655"/>
      <c r="O1105" s="656"/>
      <c r="P1105" s="657"/>
      <c r="Q1105" s="671"/>
      <c r="R1105" s="672"/>
      <c r="S1105" s="673"/>
      <c r="T1105" s="457">
        <f>H1102*M1105*N1102*O1102*P1102</f>
        <v>0</v>
      </c>
      <c r="U1105" s="458">
        <f>T1105</f>
        <v>0</v>
      </c>
      <c r="V1105" s="42"/>
      <c r="W1105" s="39"/>
      <c r="X1105" s="41"/>
      <c r="Y1105" s="41"/>
      <c r="Z1105" s="43">
        <f>T1105</f>
        <v>0</v>
      </c>
      <c r="AA1105" s="29"/>
      <c r="AB1105" s="29"/>
      <c r="AC1105" s="29"/>
      <c r="AD1105" s="29"/>
    </row>
    <row r="1106" spans="1:30" s="488" customFormat="1" ht="41.25" hidden="1" customHeight="1">
      <c r="A1106" s="492"/>
      <c r="B1106" s="643"/>
      <c r="C1106" s="513"/>
      <c r="D1106" s="514"/>
      <c r="E1106" s="670" t="s">
        <v>31</v>
      </c>
      <c r="F1106" s="670"/>
      <c r="G1106" s="670"/>
      <c r="H1106" s="670"/>
      <c r="I1106" s="670"/>
      <c r="J1106" s="670"/>
      <c r="K1106" s="670"/>
      <c r="L1106" s="498">
        <f>ROUND((I1102+J1102+K1102)*2.14%,2)</f>
        <v>179.79</v>
      </c>
      <c r="M1106" s="459">
        <f>L1106</f>
        <v>179.79</v>
      </c>
      <c r="N1106" s="655"/>
      <c r="O1106" s="656"/>
      <c r="P1106" s="657"/>
      <c r="Q1106" s="671"/>
      <c r="R1106" s="672"/>
      <c r="S1106" s="673"/>
      <c r="T1106" s="457">
        <f>H1102*M1106*N1102*O1102*P1102</f>
        <v>0</v>
      </c>
      <c r="U1106" s="458">
        <f>T1106</f>
        <v>0</v>
      </c>
      <c r="V1106" s="42"/>
      <c r="W1106" s="41"/>
      <c r="X1106" s="39"/>
      <c r="Y1106" s="41"/>
      <c r="Z1106" s="29"/>
      <c r="AA1106" s="43">
        <f>T1106</f>
        <v>0</v>
      </c>
      <c r="AB1106" s="29"/>
      <c r="AC1106" s="29"/>
      <c r="AD1106" s="29"/>
    </row>
    <row r="1107" spans="1:30" s="488" customFormat="1" ht="41.25" hidden="1" customHeight="1">
      <c r="A1107" s="492"/>
      <c r="B1107" s="643"/>
      <c r="C1107" s="515"/>
      <c r="D1107" s="514"/>
      <c r="E1107" s="670" t="s">
        <v>376</v>
      </c>
      <c r="F1107" s="670"/>
      <c r="G1107" s="670"/>
      <c r="H1107" s="670"/>
      <c r="I1107" s="670"/>
      <c r="J1107" s="670"/>
      <c r="K1107" s="670"/>
      <c r="L1107" s="498">
        <f>ROUND((I1102+J1102+K1102+L1105+L1106+L1110)*3%,2)</f>
        <v>282.51</v>
      </c>
      <c r="M1107" s="459">
        <f>L1107</f>
        <v>282.51</v>
      </c>
      <c r="N1107" s="655"/>
      <c r="O1107" s="656"/>
      <c r="P1107" s="657"/>
      <c r="Q1107" s="671"/>
      <c r="R1107" s="672"/>
      <c r="S1107" s="673"/>
      <c r="T1107" s="457">
        <f>H1102*M1107*N1102*O1102*P1102</f>
        <v>0</v>
      </c>
      <c r="U1107" s="458">
        <f>T1107</f>
        <v>0</v>
      </c>
      <c r="V1107" s="42"/>
      <c r="W1107" s="41"/>
      <c r="X1107" s="41"/>
      <c r="Y1107" s="39"/>
      <c r="Z1107" s="29"/>
      <c r="AA1107" s="29"/>
      <c r="AB1107" s="43">
        <f>T1107</f>
        <v>0</v>
      </c>
      <c r="AC1107" s="29"/>
      <c r="AD1107" s="29"/>
    </row>
    <row r="1108" spans="1:30" s="488" customFormat="1" ht="54.75" hidden="1" customHeight="1">
      <c r="A1108" s="492"/>
      <c r="B1108" s="643"/>
      <c r="C1108" s="515"/>
      <c r="D1108" s="514"/>
      <c r="E1108" s="670" t="s">
        <v>377</v>
      </c>
      <c r="F1108" s="670"/>
      <c r="G1108" s="670"/>
      <c r="H1108" s="670"/>
      <c r="I1108" s="670"/>
      <c r="J1108" s="670"/>
      <c r="K1108" s="670"/>
      <c r="L1108" s="498">
        <f>1040.82-K1102-L1105-L1106-L1110</f>
        <v>0</v>
      </c>
      <c r="M1108" s="459">
        <f>L1108</f>
        <v>0</v>
      </c>
      <c r="N1108" s="655"/>
      <c r="O1108" s="656"/>
      <c r="P1108" s="657"/>
      <c r="Q1108" s="671"/>
      <c r="R1108" s="672"/>
      <c r="S1108" s="673"/>
      <c r="T1108" s="457">
        <f>H1102*M1108*N1102*O1102*P1102</f>
        <v>0</v>
      </c>
      <c r="U1108" s="458">
        <f>T1108</f>
        <v>0</v>
      </c>
      <c r="V1108" s="42"/>
      <c r="W1108" s="41"/>
      <c r="X1108" s="41"/>
      <c r="Y1108" s="41"/>
      <c r="Z1108" s="44"/>
      <c r="AA1108" s="29"/>
      <c r="AB1108" s="29"/>
      <c r="AC1108" s="44">
        <f>T1108</f>
        <v>0</v>
      </c>
      <c r="AD1108" s="29"/>
    </row>
    <row r="1109" spans="1:30" s="488" customFormat="1" ht="45" hidden="1" customHeight="1">
      <c r="A1109" s="492"/>
      <c r="B1109" s="643"/>
      <c r="C1109" s="515"/>
      <c r="D1109" s="514"/>
      <c r="E1109" s="674"/>
      <c r="F1109" s="675"/>
      <c r="G1109" s="675"/>
      <c r="H1109" s="675"/>
      <c r="I1109" s="675"/>
      <c r="J1109" s="675"/>
      <c r="K1109" s="675"/>
      <c r="L1109" s="675"/>
      <c r="M1109" s="676"/>
      <c r="N1109" s="655"/>
      <c r="O1109" s="656"/>
      <c r="P1109" s="657"/>
      <c r="Q1109" s="677"/>
      <c r="R1109" s="678"/>
      <c r="S1109" s="678"/>
      <c r="T1109" s="678"/>
      <c r="U1109" s="679"/>
      <c r="V1109" s="45"/>
      <c r="W1109" s="41"/>
      <c r="X1109" s="41"/>
      <c r="Y1109" s="41"/>
      <c r="Z1109" s="29"/>
      <c r="AA1109" s="44"/>
      <c r="AB1109" s="29"/>
      <c r="AC1109" s="29"/>
      <c r="AD1109" s="29"/>
    </row>
    <row r="1110" spans="1:30" s="488" customFormat="1" ht="45" hidden="1" customHeight="1" thickBot="1">
      <c r="A1110" s="492"/>
      <c r="B1110" s="644"/>
      <c r="C1110" s="516"/>
      <c r="D1110" s="517"/>
      <c r="E1110" s="680" t="s">
        <v>369</v>
      </c>
      <c r="F1110" s="680" t="s">
        <v>306</v>
      </c>
      <c r="G1110" s="680"/>
      <c r="H1110" s="680"/>
      <c r="I1110" s="680"/>
      <c r="J1110" s="680"/>
      <c r="K1110" s="680"/>
      <c r="L1110" s="499">
        <f>ROUND((I1102+J1102+K1102+L1105)*3.93%,2)</f>
        <v>349.3</v>
      </c>
      <c r="M1110" s="46">
        <f>L1110</f>
        <v>349.3</v>
      </c>
      <c r="N1110" s="658"/>
      <c r="O1110" s="659"/>
      <c r="P1110" s="660"/>
      <c r="Q1110" s="681"/>
      <c r="R1110" s="682"/>
      <c r="S1110" s="683"/>
      <c r="T1110" s="500">
        <f>H1102*M1110*N1102*O1102*P1102</f>
        <v>0</v>
      </c>
      <c r="U1110" s="47">
        <f>T1110</f>
        <v>0</v>
      </c>
      <c r="V1110" s="48"/>
      <c r="W1110" s="41"/>
      <c r="X1110" s="41"/>
      <c r="Y1110" s="41"/>
      <c r="Z1110" s="29"/>
      <c r="AA1110" s="29"/>
      <c r="AB1110" s="44"/>
      <c r="AC1110" s="29"/>
      <c r="AD1110" s="44">
        <f>T1110</f>
        <v>0</v>
      </c>
    </row>
    <row r="1111" spans="1:30" s="488" customFormat="1" ht="150" hidden="1" customHeight="1">
      <c r="A1111" s="492"/>
      <c r="B1111" s="642">
        <v>2</v>
      </c>
      <c r="C1111" s="511">
        <v>1</v>
      </c>
      <c r="D1111" s="512"/>
      <c r="E1111" s="493" t="s">
        <v>593</v>
      </c>
      <c r="F1111" s="487" t="s">
        <v>594</v>
      </c>
      <c r="G1111" s="645" t="s">
        <v>357</v>
      </c>
      <c r="H1111" s="712">
        <v>0</v>
      </c>
      <c r="I1111" s="494">
        <v>0</v>
      </c>
      <c r="J1111" s="494">
        <v>8883.17</v>
      </c>
      <c r="K1111" s="494">
        <v>25.18</v>
      </c>
      <c r="L1111" s="494">
        <f>SUM(L1113:L1119)</f>
        <v>1346.15</v>
      </c>
      <c r="M1111" s="33">
        <f>SUM(I1111:L1111)</f>
        <v>10254.5</v>
      </c>
      <c r="N1111" s="501">
        <v>1</v>
      </c>
      <c r="O1111" s="502">
        <v>1</v>
      </c>
      <c r="P1111" s="37">
        <v>1</v>
      </c>
      <c r="Q1111" s="34">
        <f>H1111*I1111*N1111*O1111*P1111</f>
        <v>0</v>
      </c>
      <c r="R1111" s="35">
        <f>H1111*J1111*N1111*O1111*P1111</f>
        <v>0</v>
      </c>
      <c r="S1111" s="36">
        <f>H1111*K1111*N1111*O1111*P1111</f>
        <v>0</v>
      </c>
      <c r="T1111" s="36">
        <f>H1111*L1111*N1111*O1111*P1111</f>
        <v>0</v>
      </c>
      <c r="U1111" s="37">
        <f>SUM(Q1111:T1111)</f>
        <v>0</v>
      </c>
      <c r="V1111" s="38">
        <f>(Q1111+R1111+S1111+T1115+T1116+T1117+T1119)*'Прогнозная стоимость РСС ИП '!$M$11+T1114*'Прогнозная стоимость РСС ИП '!$M$10</f>
        <v>0</v>
      </c>
      <c r="W1111" s="39">
        <f>T1111</f>
        <v>0</v>
      </c>
      <c r="X1111" s="39">
        <f>U1111</f>
        <v>0</v>
      </c>
      <c r="Y1111" s="39">
        <f>V1111</f>
        <v>0</v>
      </c>
      <c r="Z1111" s="29"/>
      <c r="AA1111" s="29"/>
      <c r="AB1111" s="29"/>
      <c r="AC1111" s="29"/>
      <c r="AD1111" s="29"/>
    </row>
    <row r="1112" spans="1:30" s="488" customFormat="1" ht="41.25" hidden="1" customHeight="1">
      <c r="A1112" s="492"/>
      <c r="B1112" s="643"/>
      <c r="C1112" s="513"/>
      <c r="D1112" s="514"/>
      <c r="E1112" s="495"/>
      <c r="F1112" s="496"/>
      <c r="G1112" s="646"/>
      <c r="H1112" s="713"/>
      <c r="I1112" s="649"/>
      <c r="J1112" s="650"/>
      <c r="K1112" s="650"/>
      <c r="L1112" s="650"/>
      <c r="M1112" s="651"/>
      <c r="N1112" s="652"/>
      <c r="O1112" s="653"/>
      <c r="P1112" s="654"/>
      <c r="Q1112" s="661"/>
      <c r="R1112" s="662"/>
      <c r="S1112" s="662"/>
      <c r="T1112" s="662"/>
      <c r="U1112" s="663"/>
      <c r="V1112" s="40"/>
      <c r="W1112" s="41"/>
      <c r="X1112" s="41"/>
      <c r="Y1112" s="41"/>
      <c r="Z1112" s="29"/>
      <c r="AA1112" s="29"/>
      <c r="AB1112" s="29"/>
      <c r="AC1112" s="29"/>
      <c r="AD1112" s="29"/>
    </row>
    <row r="1113" spans="1:30" s="488" customFormat="1" ht="41.25" hidden="1" customHeight="1">
      <c r="A1113" s="492"/>
      <c r="B1113" s="643"/>
      <c r="C1113" s="513"/>
      <c r="D1113" s="514"/>
      <c r="E1113" s="664" t="s">
        <v>29</v>
      </c>
      <c r="F1113" s="665"/>
      <c r="G1113" s="665"/>
      <c r="H1113" s="665"/>
      <c r="I1113" s="665"/>
      <c r="J1113" s="665"/>
      <c r="K1113" s="665"/>
      <c r="L1113" s="665"/>
      <c r="M1113" s="666"/>
      <c r="N1113" s="655"/>
      <c r="O1113" s="656"/>
      <c r="P1113" s="657"/>
      <c r="Q1113" s="667"/>
      <c r="R1113" s="689"/>
      <c r="S1113" s="689"/>
      <c r="T1113" s="689"/>
      <c r="U1113" s="690"/>
      <c r="V1113" s="42"/>
      <c r="W1113" s="41"/>
      <c r="X1113" s="41"/>
      <c r="Y1113" s="41"/>
      <c r="Z1113" s="29"/>
      <c r="AA1113" s="29"/>
      <c r="AB1113" s="29"/>
      <c r="AC1113" s="29"/>
      <c r="AD1113" s="29"/>
    </row>
    <row r="1114" spans="1:30" s="488" customFormat="1" ht="41.25" hidden="1" customHeight="1">
      <c r="A1114" s="492"/>
      <c r="B1114" s="643"/>
      <c r="C1114" s="513">
        <v>11</v>
      </c>
      <c r="D1114" s="514"/>
      <c r="E1114" s="670" t="s">
        <v>30</v>
      </c>
      <c r="F1114" s="670"/>
      <c r="G1114" s="670"/>
      <c r="H1114" s="670"/>
      <c r="I1114" s="670"/>
      <c r="J1114" s="670"/>
      <c r="K1114" s="670"/>
      <c r="L1114" s="498">
        <v>487.57</v>
      </c>
      <c r="M1114" s="459">
        <f>L1114</f>
        <v>487.57</v>
      </c>
      <c r="N1114" s="655"/>
      <c r="O1114" s="656"/>
      <c r="P1114" s="657"/>
      <c r="Q1114" s="671"/>
      <c r="R1114" s="672"/>
      <c r="S1114" s="673"/>
      <c r="T1114" s="457">
        <f>H1111*M1114*N1111*O1111*P1111</f>
        <v>0</v>
      </c>
      <c r="U1114" s="458">
        <f>T1114</f>
        <v>0</v>
      </c>
      <c r="V1114" s="42"/>
      <c r="W1114" s="39"/>
      <c r="X1114" s="41"/>
      <c r="Y1114" s="41"/>
      <c r="Z1114" s="43">
        <f>T1114</f>
        <v>0</v>
      </c>
      <c r="AA1114" s="29"/>
      <c r="AB1114" s="29"/>
      <c r="AC1114" s="29"/>
      <c r="AD1114" s="29"/>
    </row>
    <row r="1115" spans="1:30" s="488" customFormat="1" ht="41.25" hidden="1" customHeight="1">
      <c r="A1115" s="492"/>
      <c r="B1115" s="643"/>
      <c r="C1115" s="513"/>
      <c r="D1115" s="514"/>
      <c r="E1115" s="670" t="s">
        <v>31</v>
      </c>
      <c r="F1115" s="670"/>
      <c r="G1115" s="670"/>
      <c r="H1115" s="670"/>
      <c r="I1115" s="670"/>
      <c r="J1115" s="670"/>
      <c r="K1115" s="670"/>
      <c r="L1115" s="498">
        <f>ROUND((I1111+J1111+K1111)*2.14%,2)</f>
        <v>190.64</v>
      </c>
      <c r="M1115" s="459">
        <f>L1115</f>
        <v>190.64</v>
      </c>
      <c r="N1115" s="655"/>
      <c r="O1115" s="656"/>
      <c r="P1115" s="657"/>
      <c r="Q1115" s="671"/>
      <c r="R1115" s="672"/>
      <c r="S1115" s="673"/>
      <c r="T1115" s="457">
        <f>H1111*M1115*N1111*O1111*P1111</f>
        <v>0</v>
      </c>
      <c r="U1115" s="458">
        <f>T1115</f>
        <v>0</v>
      </c>
      <c r="V1115" s="42"/>
      <c r="W1115" s="41"/>
      <c r="X1115" s="39"/>
      <c r="Y1115" s="41"/>
      <c r="Z1115" s="29"/>
      <c r="AA1115" s="43">
        <f>T1115</f>
        <v>0</v>
      </c>
      <c r="AB1115" s="29"/>
      <c r="AC1115" s="29"/>
      <c r="AD1115" s="29"/>
    </row>
    <row r="1116" spans="1:30" s="488" customFormat="1" ht="41.25" hidden="1" customHeight="1">
      <c r="A1116" s="492"/>
      <c r="B1116" s="643"/>
      <c r="C1116" s="515"/>
      <c r="D1116" s="514"/>
      <c r="E1116" s="670" t="s">
        <v>376</v>
      </c>
      <c r="F1116" s="670"/>
      <c r="G1116" s="670"/>
      <c r="H1116" s="670"/>
      <c r="I1116" s="670"/>
      <c r="J1116" s="670"/>
      <c r="K1116" s="670"/>
      <c r="L1116" s="498">
        <f>ROUND((I1111+J1111+K1111+L1114+L1115+L1119)*3%,2)+0.01</f>
        <v>298.68</v>
      </c>
      <c r="M1116" s="459">
        <f>L1116</f>
        <v>298.68</v>
      </c>
      <c r="N1116" s="655"/>
      <c r="O1116" s="656"/>
      <c r="P1116" s="657"/>
      <c r="Q1116" s="671"/>
      <c r="R1116" s="672"/>
      <c r="S1116" s="673"/>
      <c r="T1116" s="457">
        <f>H1111*M1116*N1111*O1111*P1111</f>
        <v>0</v>
      </c>
      <c r="U1116" s="458">
        <f>T1116</f>
        <v>0</v>
      </c>
      <c r="V1116" s="42"/>
      <c r="W1116" s="41"/>
      <c r="X1116" s="41"/>
      <c r="Y1116" s="39"/>
      <c r="Z1116" s="29"/>
      <c r="AA1116" s="29"/>
      <c r="AB1116" s="43">
        <f>T1116</f>
        <v>0</v>
      </c>
      <c r="AC1116" s="29"/>
      <c r="AD1116" s="29"/>
    </row>
    <row r="1117" spans="1:30" s="488" customFormat="1" ht="54.75" hidden="1" customHeight="1">
      <c r="A1117" s="492"/>
      <c r="B1117" s="643"/>
      <c r="C1117" s="515"/>
      <c r="D1117" s="514"/>
      <c r="E1117" s="670" t="s">
        <v>377</v>
      </c>
      <c r="F1117" s="670"/>
      <c r="G1117" s="670"/>
      <c r="H1117" s="670"/>
      <c r="I1117" s="670"/>
      <c r="J1117" s="670"/>
      <c r="K1117" s="670"/>
      <c r="L1117" s="498">
        <f>1072.65-K1111-L1114-L1115-L1119</f>
        <v>0</v>
      </c>
      <c r="M1117" s="459">
        <f>L1117</f>
        <v>0</v>
      </c>
      <c r="N1117" s="655"/>
      <c r="O1117" s="656"/>
      <c r="P1117" s="657"/>
      <c r="Q1117" s="671"/>
      <c r="R1117" s="672"/>
      <c r="S1117" s="673"/>
      <c r="T1117" s="457">
        <f>H1111*M1117*N1111*O1111*P1111</f>
        <v>0</v>
      </c>
      <c r="U1117" s="458">
        <f>T1117</f>
        <v>0</v>
      </c>
      <c r="V1117" s="42"/>
      <c r="W1117" s="41"/>
      <c r="X1117" s="41"/>
      <c r="Y1117" s="41"/>
      <c r="Z1117" s="44"/>
      <c r="AA1117" s="29"/>
      <c r="AB1117" s="29"/>
      <c r="AC1117" s="44">
        <f>T1117</f>
        <v>0</v>
      </c>
      <c r="AD1117" s="29"/>
    </row>
    <row r="1118" spans="1:30" s="488" customFormat="1" ht="45" hidden="1" customHeight="1">
      <c r="A1118" s="492"/>
      <c r="B1118" s="643"/>
      <c r="C1118" s="515"/>
      <c r="D1118" s="514"/>
      <c r="E1118" s="674"/>
      <c r="F1118" s="675"/>
      <c r="G1118" s="675"/>
      <c r="H1118" s="675"/>
      <c r="I1118" s="675"/>
      <c r="J1118" s="675"/>
      <c r="K1118" s="675"/>
      <c r="L1118" s="675"/>
      <c r="M1118" s="676"/>
      <c r="N1118" s="655"/>
      <c r="O1118" s="656"/>
      <c r="P1118" s="657"/>
      <c r="Q1118" s="677"/>
      <c r="R1118" s="678"/>
      <c r="S1118" s="678"/>
      <c r="T1118" s="678"/>
      <c r="U1118" s="679"/>
      <c r="V1118" s="45"/>
      <c r="W1118" s="41"/>
      <c r="X1118" s="41"/>
      <c r="Y1118" s="41"/>
      <c r="Z1118" s="29"/>
      <c r="AA1118" s="44"/>
      <c r="AB1118" s="29"/>
      <c r="AC1118" s="29"/>
      <c r="AD1118" s="29"/>
    </row>
    <row r="1119" spans="1:30" s="488" customFormat="1" ht="45" hidden="1" customHeight="1" thickBot="1">
      <c r="A1119" s="492"/>
      <c r="B1119" s="644"/>
      <c r="C1119" s="516"/>
      <c r="D1119" s="517"/>
      <c r="E1119" s="680" t="s">
        <v>369</v>
      </c>
      <c r="F1119" s="680" t="s">
        <v>306</v>
      </c>
      <c r="G1119" s="680"/>
      <c r="H1119" s="680"/>
      <c r="I1119" s="680"/>
      <c r="J1119" s="680"/>
      <c r="K1119" s="680"/>
      <c r="L1119" s="499">
        <f>ROUND((I1111+J1111+K1111+L1114)*3.93%,2)</f>
        <v>369.26</v>
      </c>
      <c r="M1119" s="46">
        <f>L1119</f>
        <v>369.26</v>
      </c>
      <c r="N1119" s="658"/>
      <c r="O1119" s="659"/>
      <c r="P1119" s="660"/>
      <c r="Q1119" s="681"/>
      <c r="R1119" s="682"/>
      <c r="S1119" s="683"/>
      <c r="T1119" s="500">
        <f>H1111*M1119*N1111*O1111*P1111</f>
        <v>0</v>
      </c>
      <c r="U1119" s="47">
        <f>T1119</f>
        <v>0</v>
      </c>
      <c r="V1119" s="48"/>
      <c r="W1119" s="41"/>
      <c r="X1119" s="41"/>
      <c r="Y1119" s="41"/>
      <c r="Z1119" s="29"/>
      <c r="AA1119" s="29"/>
      <c r="AB1119" s="44"/>
      <c r="AC1119" s="29"/>
      <c r="AD1119" s="44">
        <f>T1119</f>
        <v>0</v>
      </c>
    </row>
    <row r="1120" spans="1:30" s="488" customFormat="1" ht="150" hidden="1" customHeight="1">
      <c r="A1120" s="492"/>
      <c r="B1120" s="642">
        <v>2</v>
      </c>
      <c r="C1120" s="511">
        <v>1</v>
      </c>
      <c r="D1120" s="512"/>
      <c r="E1120" s="493" t="s">
        <v>595</v>
      </c>
      <c r="F1120" s="487" t="s">
        <v>596</v>
      </c>
      <c r="G1120" s="645" t="s">
        <v>357</v>
      </c>
      <c r="H1120" s="712">
        <v>0</v>
      </c>
      <c r="I1120" s="494">
        <v>0</v>
      </c>
      <c r="J1120" s="494">
        <v>9848.49</v>
      </c>
      <c r="K1120" s="494">
        <v>25.18</v>
      </c>
      <c r="L1120" s="494">
        <f>SUM(L1122:L1128)</f>
        <v>1437.52</v>
      </c>
      <c r="M1120" s="33">
        <f>SUM(I1120:L1120)</f>
        <v>11311.19</v>
      </c>
      <c r="N1120" s="501">
        <v>1</v>
      </c>
      <c r="O1120" s="502">
        <v>1</v>
      </c>
      <c r="P1120" s="37">
        <v>1</v>
      </c>
      <c r="Q1120" s="34">
        <f>H1120*I1120*N1120*O1120*P1120</f>
        <v>0</v>
      </c>
      <c r="R1120" s="35">
        <f>H1120*J1120*N1120*O1120*P1120</f>
        <v>0</v>
      </c>
      <c r="S1120" s="36">
        <f>H1120*K1120*N1120*O1120*P1120</f>
        <v>0</v>
      </c>
      <c r="T1120" s="36">
        <f>H1120*L1120*N1120*O1120*P1120</f>
        <v>0</v>
      </c>
      <c r="U1120" s="37">
        <f>SUM(Q1120:T1120)</f>
        <v>0</v>
      </c>
      <c r="V1120" s="38">
        <f>(Q1120+R1120+S1120+T1124+T1125+T1126+T1128)*'Прогнозная стоимость РСС ИП '!$M$11+T1123*'Прогнозная стоимость РСС ИП '!$M$10</f>
        <v>0</v>
      </c>
      <c r="W1120" s="39">
        <f>T1120</f>
        <v>0</v>
      </c>
      <c r="X1120" s="39">
        <f>U1120</f>
        <v>0</v>
      </c>
      <c r="Y1120" s="39">
        <f>V1120</f>
        <v>0</v>
      </c>
      <c r="Z1120" s="29"/>
      <c r="AA1120" s="29"/>
      <c r="AB1120" s="29"/>
      <c r="AC1120" s="29"/>
      <c r="AD1120" s="29"/>
    </row>
    <row r="1121" spans="1:30" s="488" customFormat="1" ht="41.25" hidden="1" customHeight="1">
      <c r="A1121" s="492"/>
      <c r="B1121" s="643"/>
      <c r="C1121" s="513"/>
      <c r="D1121" s="514"/>
      <c r="E1121" s="495"/>
      <c r="F1121" s="496"/>
      <c r="G1121" s="646"/>
      <c r="H1121" s="713"/>
      <c r="I1121" s="649"/>
      <c r="J1121" s="650"/>
      <c r="K1121" s="650"/>
      <c r="L1121" s="650"/>
      <c r="M1121" s="651"/>
      <c r="N1121" s="652"/>
      <c r="O1121" s="653"/>
      <c r="P1121" s="654"/>
      <c r="Q1121" s="661"/>
      <c r="R1121" s="662"/>
      <c r="S1121" s="662"/>
      <c r="T1121" s="662"/>
      <c r="U1121" s="663"/>
      <c r="V1121" s="40"/>
      <c r="W1121" s="41"/>
      <c r="X1121" s="41"/>
      <c r="Y1121" s="41"/>
      <c r="Z1121" s="29"/>
      <c r="AA1121" s="29"/>
      <c r="AB1121" s="29"/>
      <c r="AC1121" s="29"/>
      <c r="AD1121" s="29"/>
    </row>
    <row r="1122" spans="1:30" s="488" customFormat="1" ht="41.25" hidden="1" customHeight="1">
      <c r="A1122" s="492"/>
      <c r="B1122" s="643"/>
      <c r="C1122" s="513"/>
      <c r="D1122" s="514"/>
      <c r="E1122" s="664" t="s">
        <v>29</v>
      </c>
      <c r="F1122" s="665"/>
      <c r="G1122" s="665"/>
      <c r="H1122" s="665"/>
      <c r="I1122" s="665"/>
      <c r="J1122" s="665"/>
      <c r="K1122" s="665"/>
      <c r="L1122" s="665"/>
      <c r="M1122" s="666"/>
      <c r="N1122" s="655"/>
      <c r="O1122" s="656"/>
      <c r="P1122" s="657"/>
      <c r="Q1122" s="667"/>
      <c r="R1122" s="689"/>
      <c r="S1122" s="689"/>
      <c r="T1122" s="689"/>
      <c r="U1122" s="690"/>
      <c r="V1122" s="42"/>
      <c r="W1122" s="41"/>
      <c r="X1122" s="41"/>
      <c r="Y1122" s="41"/>
      <c r="Z1122" s="29"/>
      <c r="AA1122" s="29"/>
      <c r="AB1122" s="29"/>
      <c r="AC1122" s="29"/>
      <c r="AD1122" s="29"/>
    </row>
    <row r="1123" spans="1:30" s="488" customFormat="1" ht="41.25" hidden="1" customHeight="1">
      <c r="A1123" s="492"/>
      <c r="B1123" s="643"/>
      <c r="C1123" s="513">
        <v>11</v>
      </c>
      <c r="D1123" s="514"/>
      <c r="E1123" s="670" t="s">
        <v>30</v>
      </c>
      <c r="F1123" s="670"/>
      <c r="G1123" s="670"/>
      <c r="H1123" s="670"/>
      <c r="I1123" s="670"/>
      <c r="J1123" s="670"/>
      <c r="K1123" s="670"/>
      <c r="L1123" s="498">
        <v>489.5</v>
      </c>
      <c r="M1123" s="459">
        <f>L1123</f>
        <v>489.5</v>
      </c>
      <c r="N1123" s="655"/>
      <c r="O1123" s="656"/>
      <c r="P1123" s="657"/>
      <c r="Q1123" s="671"/>
      <c r="R1123" s="672"/>
      <c r="S1123" s="673"/>
      <c r="T1123" s="457">
        <f>H1120*M1123*N1120*O1120*P1120</f>
        <v>0</v>
      </c>
      <c r="U1123" s="458">
        <f>T1123</f>
        <v>0</v>
      </c>
      <c r="V1123" s="42"/>
      <c r="W1123" s="39"/>
      <c r="X1123" s="41"/>
      <c r="Y1123" s="41"/>
      <c r="Z1123" s="43">
        <f>T1123</f>
        <v>0</v>
      </c>
      <c r="AA1123" s="29"/>
      <c r="AB1123" s="29"/>
      <c r="AC1123" s="29"/>
      <c r="AD1123" s="29"/>
    </row>
    <row r="1124" spans="1:30" s="488" customFormat="1" ht="41.25" hidden="1" customHeight="1">
      <c r="A1124" s="492"/>
      <c r="B1124" s="643"/>
      <c r="C1124" s="513"/>
      <c r="D1124" s="514"/>
      <c r="E1124" s="670" t="s">
        <v>31</v>
      </c>
      <c r="F1124" s="670"/>
      <c r="G1124" s="670"/>
      <c r="H1124" s="670"/>
      <c r="I1124" s="670"/>
      <c r="J1124" s="670"/>
      <c r="K1124" s="670"/>
      <c r="L1124" s="498">
        <f>ROUND((I1120+J1120+K1120)*2.14%,2)</f>
        <v>211.3</v>
      </c>
      <c r="M1124" s="459">
        <f>L1124</f>
        <v>211.3</v>
      </c>
      <c r="N1124" s="655"/>
      <c r="O1124" s="656"/>
      <c r="P1124" s="657"/>
      <c r="Q1124" s="671"/>
      <c r="R1124" s="672"/>
      <c r="S1124" s="673"/>
      <c r="T1124" s="457">
        <f>H1120*M1124*N1120*O1120*P1120</f>
        <v>0</v>
      </c>
      <c r="U1124" s="458">
        <f>T1124</f>
        <v>0</v>
      </c>
      <c r="V1124" s="42"/>
      <c r="W1124" s="41"/>
      <c r="X1124" s="39"/>
      <c r="Y1124" s="41"/>
      <c r="Z1124" s="29"/>
      <c r="AA1124" s="43">
        <f>T1124</f>
        <v>0</v>
      </c>
      <c r="AB1124" s="29"/>
      <c r="AC1124" s="29"/>
      <c r="AD1124" s="29"/>
    </row>
    <row r="1125" spans="1:30" s="488" customFormat="1" ht="41.25" hidden="1" customHeight="1">
      <c r="A1125" s="492"/>
      <c r="B1125" s="643"/>
      <c r="C1125" s="515"/>
      <c r="D1125" s="514"/>
      <c r="E1125" s="670" t="s">
        <v>376</v>
      </c>
      <c r="F1125" s="670"/>
      <c r="G1125" s="670"/>
      <c r="H1125" s="670"/>
      <c r="I1125" s="670"/>
      <c r="J1125" s="670"/>
      <c r="K1125" s="670"/>
      <c r="L1125" s="498">
        <f>ROUND((I1120+J1120+K1120+L1123+L1124+L1128)*3%,2)</f>
        <v>329.45</v>
      </c>
      <c r="M1125" s="459">
        <f>L1125</f>
        <v>329.45</v>
      </c>
      <c r="N1125" s="655"/>
      <c r="O1125" s="656"/>
      <c r="P1125" s="657"/>
      <c r="Q1125" s="671"/>
      <c r="R1125" s="672"/>
      <c r="S1125" s="673"/>
      <c r="T1125" s="457">
        <f>H1120*M1125*N1120*O1120*P1120</f>
        <v>0</v>
      </c>
      <c r="U1125" s="458">
        <f>T1125</f>
        <v>0</v>
      </c>
      <c r="V1125" s="42"/>
      <c r="W1125" s="41"/>
      <c r="X1125" s="41"/>
      <c r="Y1125" s="39"/>
      <c r="Z1125" s="29"/>
      <c r="AA1125" s="29"/>
      <c r="AB1125" s="43">
        <f>T1125</f>
        <v>0</v>
      </c>
      <c r="AC1125" s="29"/>
      <c r="AD1125" s="29"/>
    </row>
    <row r="1126" spans="1:30" s="488" customFormat="1" ht="54.75" hidden="1" customHeight="1">
      <c r="A1126" s="492"/>
      <c r="B1126" s="643"/>
      <c r="C1126" s="515"/>
      <c r="D1126" s="514"/>
      <c r="E1126" s="670" t="s">
        <v>377</v>
      </c>
      <c r="F1126" s="670"/>
      <c r="G1126" s="670"/>
      <c r="H1126" s="670"/>
      <c r="I1126" s="670"/>
      <c r="J1126" s="670"/>
      <c r="K1126" s="670"/>
      <c r="L1126" s="498">
        <f>1133.25-K1120-L1123-L1124-L1128</f>
        <v>0</v>
      </c>
      <c r="M1126" s="459">
        <f>L1126</f>
        <v>0</v>
      </c>
      <c r="N1126" s="655"/>
      <c r="O1126" s="656"/>
      <c r="P1126" s="657"/>
      <c r="Q1126" s="671"/>
      <c r="R1126" s="672"/>
      <c r="S1126" s="673"/>
      <c r="T1126" s="457">
        <f>H1120*M1126*N1120*O1120*P1120</f>
        <v>0</v>
      </c>
      <c r="U1126" s="458">
        <f>T1126</f>
        <v>0</v>
      </c>
      <c r="V1126" s="42"/>
      <c r="W1126" s="41"/>
      <c r="X1126" s="41"/>
      <c r="Y1126" s="41"/>
      <c r="Z1126" s="44"/>
      <c r="AA1126" s="29"/>
      <c r="AB1126" s="29"/>
      <c r="AC1126" s="44">
        <f>T1126</f>
        <v>0</v>
      </c>
      <c r="AD1126" s="29"/>
    </row>
    <row r="1127" spans="1:30" s="488" customFormat="1" ht="45" hidden="1" customHeight="1">
      <c r="A1127" s="492"/>
      <c r="B1127" s="643"/>
      <c r="C1127" s="515"/>
      <c r="D1127" s="514"/>
      <c r="E1127" s="674"/>
      <c r="F1127" s="675"/>
      <c r="G1127" s="675"/>
      <c r="H1127" s="675"/>
      <c r="I1127" s="675"/>
      <c r="J1127" s="675"/>
      <c r="K1127" s="675"/>
      <c r="L1127" s="675"/>
      <c r="M1127" s="676"/>
      <c r="N1127" s="655"/>
      <c r="O1127" s="656"/>
      <c r="P1127" s="657"/>
      <c r="Q1127" s="677"/>
      <c r="R1127" s="678"/>
      <c r="S1127" s="678"/>
      <c r="T1127" s="678"/>
      <c r="U1127" s="679"/>
      <c r="V1127" s="45"/>
      <c r="W1127" s="41"/>
      <c r="X1127" s="41"/>
      <c r="Y1127" s="41"/>
      <c r="Z1127" s="29"/>
      <c r="AA1127" s="44"/>
      <c r="AB1127" s="29"/>
      <c r="AC1127" s="29"/>
      <c r="AD1127" s="29"/>
    </row>
    <row r="1128" spans="1:30" s="488" customFormat="1" ht="45" hidden="1" customHeight="1" thickBot="1">
      <c r="A1128" s="492"/>
      <c r="B1128" s="644"/>
      <c r="C1128" s="516"/>
      <c r="D1128" s="517"/>
      <c r="E1128" s="680" t="s">
        <v>369</v>
      </c>
      <c r="F1128" s="680" t="s">
        <v>306</v>
      </c>
      <c r="G1128" s="680"/>
      <c r="H1128" s="680"/>
      <c r="I1128" s="680"/>
      <c r="J1128" s="680"/>
      <c r="K1128" s="680"/>
      <c r="L1128" s="499">
        <f>ROUND((I1120+J1120+K1120+L1123)*3.93%,2)</f>
        <v>407.27</v>
      </c>
      <c r="M1128" s="46">
        <f>L1128</f>
        <v>407.27</v>
      </c>
      <c r="N1128" s="658"/>
      <c r="O1128" s="659"/>
      <c r="P1128" s="660"/>
      <c r="Q1128" s="681"/>
      <c r="R1128" s="682"/>
      <c r="S1128" s="683"/>
      <c r="T1128" s="500">
        <f>H1120*M1128*N1120*O1120*P1120</f>
        <v>0</v>
      </c>
      <c r="U1128" s="47">
        <f>T1128</f>
        <v>0</v>
      </c>
      <c r="V1128" s="48"/>
      <c r="W1128" s="41"/>
      <c r="X1128" s="41"/>
      <c r="Y1128" s="41"/>
      <c r="Z1128" s="29"/>
      <c r="AA1128" s="29"/>
      <c r="AB1128" s="44"/>
      <c r="AC1128" s="29"/>
      <c r="AD1128" s="44">
        <f>T1128</f>
        <v>0</v>
      </c>
    </row>
    <row r="1129" spans="1:30" s="488" customFormat="1" ht="150" hidden="1" customHeight="1">
      <c r="A1129" s="492"/>
      <c r="B1129" s="642">
        <v>2</v>
      </c>
      <c r="C1129" s="511">
        <v>1</v>
      </c>
      <c r="D1129" s="512"/>
      <c r="E1129" s="493" t="s">
        <v>597</v>
      </c>
      <c r="F1129" s="487" t="s">
        <v>598</v>
      </c>
      <c r="G1129" s="645" t="s">
        <v>357</v>
      </c>
      <c r="H1129" s="712">
        <v>0</v>
      </c>
      <c r="I1129" s="494">
        <v>0</v>
      </c>
      <c r="J1129" s="494">
        <v>6904.79</v>
      </c>
      <c r="K1129" s="494">
        <v>12.59</v>
      </c>
      <c r="L1129" s="494">
        <f>SUM(L1131:L1137)</f>
        <v>1041.6100000000001</v>
      </c>
      <c r="M1129" s="33">
        <f>SUM(I1129:L1129)</f>
        <v>7958.99</v>
      </c>
      <c r="N1129" s="501">
        <v>1</v>
      </c>
      <c r="O1129" s="502">
        <v>1</v>
      </c>
      <c r="P1129" s="37">
        <v>1</v>
      </c>
      <c r="Q1129" s="34">
        <f>H1129*I1129*N1129*O1129*P1129</f>
        <v>0</v>
      </c>
      <c r="R1129" s="35">
        <f>H1129*J1129*N1129*O1129*P1129</f>
        <v>0</v>
      </c>
      <c r="S1129" s="36">
        <f>H1129*K1129*N1129*O1129*P1129</f>
        <v>0</v>
      </c>
      <c r="T1129" s="36">
        <f>H1129*L1129*N1129*O1129*P1129</f>
        <v>0</v>
      </c>
      <c r="U1129" s="37">
        <f>SUM(Q1129:T1129)</f>
        <v>0</v>
      </c>
      <c r="V1129" s="38">
        <f>(Q1129+R1129+S1129+T1133+T1134+T1135+T1137)*'Прогнозная стоимость РСС ИП '!$M$11+T1132*'Прогнозная стоимость РСС ИП '!$M$10</f>
        <v>0</v>
      </c>
      <c r="W1129" s="39">
        <f>T1129</f>
        <v>0</v>
      </c>
      <c r="X1129" s="39">
        <f>U1129</f>
        <v>0</v>
      </c>
      <c r="Y1129" s="39">
        <f>V1129</f>
        <v>0</v>
      </c>
      <c r="Z1129" s="29"/>
      <c r="AA1129" s="29"/>
      <c r="AB1129" s="29"/>
      <c r="AC1129" s="29"/>
      <c r="AD1129" s="29"/>
    </row>
    <row r="1130" spans="1:30" s="488" customFormat="1" ht="41.25" hidden="1" customHeight="1">
      <c r="A1130" s="492"/>
      <c r="B1130" s="643"/>
      <c r="C1130" s="513"/>
      <c r="D1130" s="514"/>
      <c r="E1130" s="495"/>
      <c r="F1130" s="496"/>
      <c r="G1130" s="646"/>
      <c r="H1130" s="713"/>
      <c r="I1130" s="649"/>
      <c r="J1130" s="650"/>
      <c r="K1130" s="650"/>
      <c r="L1130" s="650"/>
      <c r="M1130" s="651"/>
      <c r="N1130" s="652"/>
      <c r="O1130" s="653"/>
      <c r="P1130" s="654"/>
      <c r="Q1130" s="661"/>
      <c r="R1130" s="662"/>
      <c r="S1130" s="662"/>
      <c r="T1130" s="662"/>
      <c r="U1130" s="663"/>
      <c r="V1130" s="40"/>
      <c r="W1130" s="41"/>
      <c r="X1130" s="41"/>
      <c r="Y1130" s="41"/>
      <c r="Z1130" s="29"/>
      <c r="AA1130" s="29"/>
      <c r="AB1130" s="29"/>
      <c r="AC1130" s="29"/>
      <c r="AD1130" s="29"/>
    </row>
    <row r="1131" spans="1:30" s="488" customFormat="1" ht="41.25" hidden="1" customHeight="1">
      <c r="A1131" s="492"/>
      <c r="B1131" s="643"/>
      <c r="C1131" s="513"/>
      <c r="D1131" s="514"/>
      <c r="E1131" s="664" t="s">
        <v>29</v>
      </c>
      <c r="F1131" s="665"/>
      <c r="G1131" s="665"/>
      <c r="H1131" s="665"/>
      <c r="I1131" s="665"/>
      <c r="J1131" s="665"/>
      <c r="K1131" s="665"/>
      <c r="L1131" s="665"/>
      <c r="M1131" s="666"/>
      <c r="N1131" s="655"/>
      <c r="O1131" s="656"/>
      <c r="P1131" s="657"/>
      <c r="Q1131" s="667"/>
      <c r="R1131" s="689"/>
      <c r="S1131" s="689"/>
      <c r="T1131" s="689"/>
      <c r="U1131" s="690"/>
      <c r="V1131" s="42"/>
      <c r="W1131" s="41"/>
      <c r="X1131" s="41"/>
      <c r="Y1131" s="41"/>
      <c r="Z1131" s="29"/>
      <c r="AA1131" s="29"/>
      <c r="AB1131" s="29"/>
      <c r="AC1131" s="29"/>
      <c r="AD1131" s="29"/>
    </row>
    <row r="1132" spans="1:30" s="488" customFormat="1" ht="41.25" hidden="1" customHeight="1">
      <c r="A1132" s="492"/>
      <c r="B1132" s="643"/>
      <c r="C1132" s="513">
        <v>11</v>
      </c>
      <c r="D1132" s="514"/>
      <c r="E1132" s="670" t="s">
        <v>30</v>
      </c>
      <c r="F1132" s="670"/>
      <c r="G1132" s="670"/>
      <c r="H1132" s="670"/>
      <c r="I1132" s="670"/>
      <c r="J1132" s="670"/>
      <c r="K1132" s="670"/>
      <c r="L1132" s="498">
        <v>375.17</v>
      </c>
      <c r="M1132" s="459">
        <f>L1132</f>
        <v>375.17</v>
      </c>
      <c r="N1132" s="655"/>
      <c r="O1132" s="656"/>
      <c r="P1132" s="657"/>
      <c r="Q1132" s="671"/>
      <c r="R1132" s="672"/>
      <c r="S1132" s="673"/>
      <c r="T1132" s="457">
        <f>H1129*M1132*N1129*O1129*P1129</f>
        <v>0</v>
      </c>
      <c r="U1132" s="458">
        <f>T1132</f>
        <v>0</v>
      </c>
      <c r="V1132" s="42"/>
      <c r="W1132" s="39"/>
      <c r="X1132" s="41"/>
      <c r="Y1132" s="41"/>
      <c r="Z1132" s="43">
        <f>T1132</f>
        <v>0</v>
      </c>
      <c r="AA1132" s="29"/>
      <c r="AB1132" s="29"/>
      <c r="AC1132" s="29"/>
      <c r="AD1132" s="29"/>
    </row>
    <row r="1133" spans="1:30" s="488" customFormat="1" ht="41.25" hidden="1" customHeight="1">
      <c r="A1133" s="492"/>
      <c r="B1133" s="643"/>
      <c r="C1133" s="513"/>
      <c r="D1133" s="514"/>
      <c r="E1133" s="670" t="s">
        <v>31</v>
      </c>
      <c r="F1133" s="670"/>
      <c r="G1133" s="670"/>
      <c r="H1133" s="670"/>
      <c r="I1133" s="670"/>
      <c r="J1133" s="670"/>
      <c r="K1133" s="670"/>
      <c r="L1133" s="498">
        <f>ROUND((I1129+J1129+K1129)*2.14%,2)</f>
        <v>148.03</v>
      </c>
      <c r="M1133" s="459">
        <f>L1133</f>
        <v>148.03</v>
      </c>
      <c r="N1133" s="655"/>
      <c r="O1133" s="656"/>
      <c r="P1133" s="657"/>
      <c r="Q1133" s="671"/>
      <c r="R1133" s="672"/>
      <c r="S1133" s="673"/>
      <c r="T1133" s="457">
        <f>H1129*M1133*N1129*O1129*P1129</f>
        <v>0</v>
      </c>
      <c r="U1133" s="458">
        <f>T1133</f>
        <v>0</v>
      </c>
      <c r="V1133" s="42"/>
      <c r="W1133" s="41"/>
      <c r="X1133" s="39"/>
      <c r="Y1133" s="41"/>
      <c r="Z1133" s="29"/>
      <c r="AA1133" s="43">
        <f>T1133</f>
        <v>0</v>
      </c>
      <c r="AB1133" s="29"/>
      <c r="AC1133" s="29"/>
      <c r="AD1133" s="29"/>
    </row>
    <row r="1134" spans="1:30" s="488" customFormat="1" ht="41.25" hidden="1" customHeight="1">
      <c r="A1134" s="492"/>
      <c r="B1134" s="643"/>
      <c r="C1134" s="515"/>
      <c r="D1134" s="514"/>
      <c r="E1134" s="670" t="s">
        <v>376</v>
      </c>
      <c r="F1134" s="670"/>
      <c r="G1134" s="670"/>
      <c r="H1134" s="670"/>
      <c r="I1134" s="670"/>
      <c r="J1134" s="670"/>
      <c r="K1134" s="670"/>
      <c r="L1134" s="498">
        <f>ROUND((I1129+J1129+K1129+L1132+L1133+L1137)*3%,2)-0.01</f>
        <v>231.81</v>
      </c>
      <c r="M1134" s="459">
        <f>L1134</f>
        <v>231.81</v>
      </c>
      <c r="N1134" s="655"/>
      <c r="O1134" s="656"/>
      <c r="P1134" s="657"/>
      <c r="Q1134" s="671"/>
      <c r="R1134" s="672"/>
      <c r="S1134" s="673"/>
      <c r="T1134" s="457">
        <f>H1129*M1134*N1129*O1129*P1129</f>
        <v>0</v>
      </c>
      <c r="U1134" s="458">
        <f>T1134</f>
        <v>0</v>
      </c>
      <c r="V1134" s="42"/>
      <c r="W1134" s="41"/>
      <c r="X1134" s="41"/>
      <c r="Y1134" s="39"/>
      <c r="Z1134" s="29"/>
      <c r="AA1134" s="29"/>
      <c r="AB1134" s="43">
        <f>T1134</f>
        <v>0</v>
      </c>
      <c r="AC1134" s="29"/>
      <c r="AD1134" s="29"/>
    </row>
    <row r="1135" spans="1:30" s="488" customFormat="1" ht="54.75" hidden="1" customHeight="1">
      <c r="A1135" s="492"/>
      <c r="B1135" s="643"/>
      <c r="C1135" s="515"/>
      <c r="D1135" s="514"/>
      <c r="E1135" s="670" t="s">
        <v>377</v>
      </c>
      <c r="F1135" s="670"/>
      <c r="G1135" s="670"/>
      <c r="H1135" s="670"/>
      <c r="I1135" s="670"/>
      <c r="J1135" s="670"/>
      <c r="K1135" s="670"/>
      <c r="L1135" s="498">
        <f>822.39-K1129-L1132-L1133-L1137</f>
        <v>0</v>
      </c>
      <c r="M1135" s="459">
        <f>L1135</f>
        <v>0</v>
      </c>
      <c r="N1135" s="655"/>
      <c r="O1135" s="656"/>
      <c r="P1135" s="657"/>
      <c r="Q1135" s="671"/>
      <c r="R1135" s="672"/>
      <c r="S1135" s="673"/>
      <c r="T1135" s="457">
        <f>H1129*M1135*N1129*O1129*P1129</f>
        <v>0</v>
      </c>
      <c r="U1135" s="458">
        <f>T1135</f>
        <v>0</v>
      </c>
      <c r="V1135" s="42"/>
      <c r="W1135" s="41"/>
      <c r="X1135" s="41"/>
      <c r="Y1135" s="41"/>
      <c r="Z1135" s="44"/>
      <c r="AA1135" s="29"/>
      <c r="AB1135" s="29"/>
      <c r="AC1135" s="44">
        <f>T1135</f>
        <v>0</v>
      </c>
      <c r="AD1135" s="29"/>
    </row>
    <row r="1136" spans="1:30" s="488" customFormat="1" ht="45" hidden="1" customHeight="1">
      <c r="A1136" s="492"/>
      <c r="B1136" s="643"/>
      <c r="C1136" s="515"/>
      <c r="D1136" s="514"/>
      <c r="E1136" s="674"/>
      <c r="F1136" s="675"/>
      <c r="G1136" s="675"/>
      <c r="H1136" s="675"/>
      <c r="I1136" s="675"/>
      <c r="J1136" s="675"/>
      <c r="K1136" s="675"/>
      <c r="L1136" s="675"/>
      <c r="M1136" s="676"/>
      <c r="N1136" s="655"/>
      <c r="O1136" s="656"/>
      <c r="P1136" s="657"/>
      <c r="Q1136" s="677"/>
      <c r="R1136" s="678"/>
      <c r="S1136" s="678"/>
      <c r="T1136" s="678"/>
      <c r="U1136" s="679"/>
      <c r="V1136" s="45"/>
      <c r="W1136" s="41"/>
      <c r="X1136" s="41"/>
      <c r="Y1136" s="41"/>
      <c r="Z1136" s="29"/>
      <c r="AA1136" s="44"/>
      <c r="AB1136" s="29"/>
      <c r="AC1136" s="29"/>
      <c r="AD1136" s="29"/>
    </row>
    <row r="1137" spans="1:30" s="488" customFormat="1" ht="45" hidden="1" customHeight="1" thickBot="1">
      <c r="A1137" s="492"/>
      <c r="B1137" s="644"/>
      <c r="C1137" s="516"/>
      <c r="D1137" s="517"/>
      <c r="E1137" s="680" t="s">
        <v>369</v>
      </c>
      <c r="F1137" s="680" t="s">
        <v>306</v>
      </c>
      <c r="G1137" s="680"/>
      <c r="H1137" s="680"/>
      <c r="I1137" s="680"/>
      <c r="J1137" s="680"/>
      <c r="K1137" s="680"/>
      <c r="L1137" s="499">
        <f>ROUND((I1129+J1129+K1129+L1132)*3.93%,2)</f>
        <v>286.60000000000002</v>
      </c>
      <c r="M1137" s="46">
        <f>L1137</f>
        <v>286.60000000000002</v>
      </c>
      <c r="N1137" s="658"/>
      <c r="O1137" s="659"/>
      <c r="P1137" s="660"/>
      <c r="Q1137" s="681"/>
      <c r="R1137" s="682"/>
      <c r="S1137" s="683"/>
      <c r="T1137" s="500">
        <f>H1129*M1137*N1129*O1129*P1129</f>
        <v>0</v>
      </c>
      <c r="U1137" s="47">
        <f>T1137</f>
        <v>0</v>
      </c>
      <c r="V1137" s="48"/>
      <c r="W1137" s="41"/>
      <c r="X1137" s="41"/>
      <c r="Y1137" s="41"/>
      <c r="Z1137" s="29"/>
      <c r="AA1137" s="29"/>
      <c r="AB1137" s="44"/>
      <c r="AC1137" s="29"/>
      <c r="AD1137" s="44">
        <f>T1137</f>
        <v>0</v>
      </c>
    </row>
    <row r="1138" spans="1:30" s="488" customFormat="1" ht="150" hidden="1" customHeight="1">
      <c r="A1138" s="492"/>
      <c r="B1138" s="642">
        <v>2</v>
      </c>
      <c r="C1138" s="511">
        <v>1</v>
      </c>
      <c r="D1138" s="512"/>
      <c r="E1138" s="493" t="s">
        <v>599</v>
      </c>
      <c r="F1138" s="487" t="s">
        <v>600</v>
      </c>
      <c r="G1138" s="645" t="s">
        <v>357</v>
      </c>
      <c r="H1138" s="712">
        <v>0</v>
      </c>
      <c r="I1138" s="494">
        <v>0</v>
      </c>
      <c r="J1138" s="494">
        <v>7256.29</v>
      </c>
      <c r="K1138" s="494">
        <v>12.59</v>
      </c>
      <c r="L1138" s="494">
        <f>SUM(L1140:L1146)</f>
        <v>1074.8900000000001</v>
      </c>
      <c r="M1138" s="33">
        <f>SUM(I1138:L1138)</f>
        <v>8343.77</v>
      </c>
      <c r="N1138" s="501">
        <v>1</v>
      </c>
      <c r="O1138" s="502">
        <v>1</v>
      </c>
      <c r="P1138" s="37">
        <v>1</v>
      </c>
      <c r="Q1138" s="34">
        <f>H1138*I1138*N1138*O1138*P1138</f>
        <v>0</v>
      </c>
      <c r="R1138" s="35">
        <f>H1138*J1138*N1138*O1138*P1138</f>
        <v>0</v>
      </c>
      <c r="S1138" s="36">
        <f>H1138*K1138*N1138*O1138*P1138</f>
        <v>0</v>
      </c>
      <c r="T1138" s="36">
        <f>H1138*L1138*N1138*O1138*P1138</f>
        <v>0</v>
      </c>
      <c r="U1138" s="37">
        <f>SUM(Q1138:T1138)</f>
        <v>0</v>
      </c>
      <c r="V1138" s="38">
        <f>(Q1138+R1138+S1138+T1142+T1143+T1144+T1146)*'Прогнозная стоимость РСС ИП '!$M$11+T1141*'Прогнозная стоимость РСС ИП '!$M$10</f>
        <v>0</v>
      </c>
      <c r="W1138" s="39">
        <f>T1138</f>
        <v>0</v>
      </c>
      <c r="X1138" s="39">
        <f>U1138</f>
        <v>0</v>
      </c>
      <c r="Y1138" s="39">
        <f>V1138</f>
        <v>0</v>
      </c>
      <c r="Z1138" s="29"/>
      <c r="AA1138" s="29"/>
      <c r="AB1138" s="29"/>
      <c r="AC1138" s="29"/>
      <c r="AD1138" s="29"/>
    </row>
    <row r="1139" spans="1:30" s="488" customFormat="1" ht="41.25" hidden="1" customHeight="1">
      <c r="A1139" s="492"/>
      <c r="B1139" s="643"/>
      <c r="C1139" s="513"/>
      <c r="D1139" s="514"/>
      <c r="E1139" s="495"/>
      <c r="F1139" s="496"/>
      <c r="G1139" s="646"/>
      <c r="H1139" s="713"/>
      <c r="I1139" s="649"/>
      <c r="J1139" s="650"/>
      <c r="K1139" s="650"/>
      <c r="L1139" s="650"/>
      <c r="M1139" s="651"/>
      <c r="N1139" s="652"/>
      <c r="O1139" s="653"/>
      <c r="P1139" s="654"/>
      <c r="Q1139" s="661"/>
      <c r="R1139" s="662"/>
      <c r="S1139" s="662"/>
      <c r="T1139" s="662"/>
      <c r="U1139" s="663"/>
      <c r="V1139" s="40"/>
      <c r="W1139" s="41"/>
      <c r="X1139" s="41"/>
      <c r="Y1139" s="41"/>
      <c r="Z1139" s="29"/>
      <c r="AA1139" s="29"/>
      <c r="AB1139" s="29"/>
      <c r="AC1139" s="29"/>
      <c r="AD1139" s="29"/>
    </row>
    <row r="1140" spans="1:30" s="488" customFormat="1" ht="41.25" hidden="1" customHeight="1">
      <c r="A1140" s="492"/>
      <c r="B1140" s="643"/>
      <c r="C1140" s="513"/>
      <c r="D1140" s="514"/>
      <c r="E1140" s="664" t="s">
        <v>29</v>
      </c>
      <c r="F1140" s="665"/>
      <c r="G1140" s="665"/>
      <c r="H1140" s="665"/>
      <c r="I1140" s="665"/>
      <c r="J1140" s="665"/>
      <c r="K1140" s="665"/>
      <c r="L1140" s="665"/>
      <c r="M1140" s="666"/>
      <c r="N1140" s="655"/>
      <c r="O1140" s="656"/>
      <c r="P1140" s="657"/>
      <c r="Q1140" s="667"/>
      <c r="R1140" s="689"/>
      <c r="S1140" s="689"/>
      <c r="T1140" s="689"/>
      <c r="U1140" s="690"/>
      <c r="V1140" s="42"/>
      <c r="W1140" s="41"/>
      <c r="X1140" s="41"/>
      <c r="Y1140" s="41"/>
      <c r="Z1140" s="29"/>
      <c r="AA1140" s="29"/>
      <c r="AB1140" s="29"/>
      <c r="AC1140" s="29"/>
      <c r="AD1140" s="29"/>
    </row>
    <row r="1141" spans="1:30" s="488" customFormat="1" ht="41.25" hidden="1" customHeight="1">
      <c r="A1141" s="492"/>
      <c r="B1141" s="643"/>
      <c r="C1141" s="513">
        <v>11</v>
      </c>
      <c r="D1141" s="514"/>
      <c r="E1141" s="670" t="s">
        <v>30</v>
      </c>
      <c r="F1141" s="670"/>
      <c r="G1141" s="670"/>
      <c r="H1141" s="670"/>
      <c r="I1141" s="670"/>
      <c r="J1141" s="670"/>
      <c r="K1141" s="670"/>
      <c r="L1141" s="498">
        <v>375.88</v>
      </c>
      <c r="M1141" s="459">
        <f>L1141</f>
        <v>375.88</v>
      </c>
      <c r="N1141" s="655"/>
      <c r="O1141" s="656"/>
      <c r="P1141" s="657"/>
      <c r="Q1141" s="671"/>
      <c r="R1141" s="672"/>
      <c r="S1141" s="673"/>
      <c r="T1141" s="457">
        <f>H1138*M1141*N1138*O1138*P1138</f>
        <v>0</v>
      </c>
      <c r="U1141" s="458">
        <f>T1141</f>
        <v>0</v>
      </c>
      <c r="V1141" s="42"/>
      <c r="W1141" s="39"/>
      <c r="X1141" s="41"/>
      <c r="Y1141" s="41"/>
      <c r="Z1141" s="43">
        <f>T1141</f>
        <v>0</v>
      </c>
      <c r="AA1141" s="29"/>
      <c r="AB1141" s="29"/>
      <c r="AC1141" s="29"/>
      <c r="AD1141" s="29"/>
    </row>
    <row r="1142" spans="1:30" s="488" customFormat="1" ht="41.25" hidden="1" customHeight="1">
      <c r="A1142" s="492"/>
      <c r="B1142" s="643"/>
      <c r="C1142" s="513"/>
      <c r="D1142" s="514"/>
      <c r="E1142" s="670" t="s">
        <v>31</v>
      </c>
      <c r="F1142" s="670"/>
      <c r="G1142" s="670"/>
      <c r="H1142" s="670"/>
      <c r="I1142" s="670"/>
      <c r="J1142" s="670"/>
      <c r="K1142" s="670"/>
      <c r="L1142" s="498">
        <f>ROUND((I1138+J1138+K1138)*2.14%,2)</f>
        <v>155.55000000000001</v>
      </c>
      <c r="M1142" s="459">
        <f>L1142</f>
        <v>155.55000000000001</v>
      </c>
      <c r="N1142" s="655"/>
      <c r="O1142" s="656"/>
      <c r="P1142" s="657"/>
      <c r="Q1142" s="671"/>
      <c r="R1142" s="672"/>
      <c r="S1142" s="673"/>
      <c r="T1142" s="457">
        <f>H1138*M1142*N1138*O1138*P1138</f>
        <v>0</v>
      </c>
      <c r="U1142" s="458">
        <f>T1142</f>
        <v>0</v>
      </c>
      <c r="V1142" s="42"/>
      <c r="W1142" s="41"/>
      <c r="X1142" s="39"/>
      <c r="Y1142" s="41"/>
      <c r="Z1142" s="29"/>
      <c r="AA1142" s="43">
        <f>T1142</f>
        <v>0</v>
      </c>
      <c r="AB1142" s="29"/>
      <c r="AC1142" s="29"/>
      <c r="AD1142" s="29"/>
    </row>
    <row r="1143" spans="1:30" s="488" customFormat="1" ht="41.25" hidden="1" customHeight="1">
      <c r="A1143" s="492"/>
      <c r="B1143" s="643"/>
      <c r="C1143" s="515"/>
      <c r="D1143" s="514"/>
      <c r="E1143" s="670" t="s">
        <v>376</v>
      </c>
      <c r="F1143" s="670"/>
      <c r="G1143" s="670"/>
      <c r="H1143" s="670"/>
      <c r="I1143" s="670"/>
      <c r="J1143" s="670"/>
      <c r="K1143" s="670"/>
      <c r="L1143" s="498">
        <f>ROUND((I1138+J1138+K1138+L1141+L1142+L1146)*3%,2)</f>
        <v>243.02</v>
      </c>
      <c r="M1143" s="459">
        <f>L1143</f>
        <v>243.02</v>
      </c>
      <c r="N1143" s="655"/>
      <c r="O1143" s="656"/>
      <c r="P1143" s="657"/>
      <c r="Q1143" s="671"/>
      <c r="R1143" s="672"/>
      <c r="S1143" s="673"/>
      <c r="T1143" s="457">
        <f>H1138*M1143*N1138*O1138*P1138</f>
        <v>0</v>
      </c>
      <c r="U1143" s="458">
        <f>T1143</f>
        <v>0</v>
      </c>
      <c r="V1143" s="42"/>
      <c r="W1143" s="41"/>
      <c r="X1143" s="41"/>
      <c r="Y1143" s="39"/>
      <c r="Z1143" s="29"/>
      <c r="AA1143" s="29"/>
      <c r="AB1143" s="43">
        <f>T1143</f>
        <v>0</v>
      </c>
      <c r="AC1143" s="29"/>
      <c r="AD1143" s="29"/>
    </row>
    <row r="1144" spans="1:30" s="488" customFormat="1" ht="54.75" hidden="1" customHeight="1">
      <c r="A1144" s="492"/>
      <c r="B1144" s="643"/>
      <c r="C1144" s="515"/>
      <c r="D1144" s="514"/>
      <c r="E1144" s="670" t="s">
        <v>377</v>
      </c>
      <c r="F1144" s="670"/>
      <c r="G1144" s="670"/>
      <c r="H1144" s="670"/>
      <c r="I1144" s="670"/>
      <c r="J1144" s="670"/>
      <c r="K1144" s="670"/>
      <c r="L1144" s="498">
        <f>844.46-K1138-L1141-L1142-L1146</f>
        <v>0</v>
      </c>
      <c r="M1144" s="459">
        <f>L1144</f>
        <v>0</v>
      </c>
      <c r="N1144" s="655"/>
      <c r="O1144" s="656"/>
      <c r="P1144" s="657"/>
      <c r="Q1144" s="671"/>
      <c r="R1144" s="672"/>
      <c r="S1144" s="673"/>
      <c r="T1144" s="457">
        <f>H1138*M1144*N1138*O1138*P1138</f>
        <v>0</v>
      </c>
      <c r="U1144" s="458">
        <f>T1144</f>
        <v>0</v>
      </c>
      <c r="V1144" s="42"/>
      <c r="W1144" s="41"/>
      <c r="X1144" s="41"/>
      <c r="Y1144" s="41"/>
      <c r="Z1144" s="44"/>
      <c r="AA1144" s="29"/>
      <c r="AB1144" s="29"/>
      <c r="AC1144" s="44">
        <f>T1144</f>
        <v>0</v>
      </c>
      <c r="AD1144" s="29"/>
    </row>
    <row r="1145" spans="1:30" s="488" customFormat="1" ht="45" hidden="1" customHeight="1">
      <c r="A1145" s="492"/>
      <c r="B1145" s="643"/>
      <c r="C1145" s="515"/>
      <c r="D1145" s="514"/>
      <c r="E1145" s="674"/>
      <c r="F1145" s="675"/>
      <c r="G1145" s="675"/>
      <c r="H1145" s="675"/>
      <c r="I1145" s="675"/>
      <c r="J1145" s="675"/>
      <c r="K1145" s="675"/>
      <c r="L1145" s="675"/>
      <c r="M1145" s="676"/>
      <c r="N1145" s="655"/>
      <c r="O1145" s="656"/>
      <c r="P1145" s="657"/>
      <c r="Q1145" s="677"/>
      <c r="R1145" s="678"/>
      <c r="S1145" s="678"/>
      <c r="T1145" s="678"/>
      <c r="U1145" s="679"/>
      <c r="V1145" s="45"/>
      <c r="W1145" s="41"/>
      <c r="X1145" s="41"/>
      <c r="Y1145" s="41"/>
      <c r="Z1145" s="29"/>
      <c r="AA1145" s="44"/>
      <c r="AB1145" s="29"/>
      <c r="AC1145" s="29"/>
      <c r="AD1145" s="29"/>
    </row>
    <row r="1146" spans="1:30" s="488" customFormat="1" ht="45" hidden="1" customHeight="1" thickBot="1">
      <c r="A1146" s="492"/>
      <c r="B1146" s="644"/>
      <c r="C1146" s="516"/>
      <c r="D1146" s="517"/>
      <c r="E1146" s="680" t="s">
        <v>369</v>
      </c>
      <c r="F1146" s="680" t="s">
        <v>306</v>
      </c>
      <c r="G1146" s="680"/>
      <c r="H1146" s="680"/>
      <c r="I1146" s="680"/>
      <c r="J1146" s="680"/>
      <c r="K1146" s="680"/>
      <c r="L1146" s="499">
        <f>ROUND((I1138+J1138+K1138+L1141)*3.93%,2)</f>
        <v>300.44</v>
      </c>
      <c r="M1146" s="46">
        <f>L1146</f>
        <v>300.44</v>
      </c>
      <c r="N1146" s="658"/>
      <c r="O1146" s="659"/>
      <c r="P1146" s="660"/>
      <c r="Q1146" s="681"/>
      <c r="R1146" s="682"/>
      <c r="S1146" s="683"/>
      <c r="T1146" s="500">
        <f>H1138*M1146*N1138*O1138*P1138</f>
        <v>0</v>
      </c>
      <c r="U1146" s="47">
        <f>T1146</f>
        <v>0</v>
      </c>
      <c r="V1146" s="48"/>
      <c r="W1146" s="41"/>
      <c r="X1146" s="41"/>
      <c r="Y1146" s="41"/>
      <c r="Z1146" s="29"/>
      <c r="AA1146" s="29"/>
      <c r="AB1146" s="44"/>
      <c r="AC1146" s="29"/>
      <c r="AD1146" s="44">
        <f>T1146</f>
        <v>0</v>
      </c>
    </row>
    <row r="1147" spans="1:30" s="488" customFormat="1" ht="150" hidden="1" customHeight="1">
      <c r="A1147" s="492"/>
      <c r="B1147" s="642">
        <v>2</v>
      </c>
      <c r="C1147" s="511">
        <v>1</v>
      </c>
      <c r="D1147" s="512"/>
      <c r="E1147" s="493" t="s">
        <v>601</v>
      </c>
      <c r="F1147" s="487" t="s">
        <v>602</v>
      </c>
      <c r="G1147" s="645" t="s">
        <v>357</v>
      </c>
      <c r="H1147" s="712">
        <v>0</v>
      </c>
      <c r="I1147" s="494">
        <v>0</v>
      </c>
      <c r="J1147" s="494">
        <v>7438.01</v>
      </c>
      <c r="K1147" s="494">
        <v>12.59</v>
      </c>
      <c r="L1147" s="494">
        <f>SUM(L1149:L1155)</f>
        <v>1092.0899999999999</v>
      </c>
      <c r="M1147" s="33">
        <f>SUM(I1147:L1147)</f>
        <v>8542.69</v>
      </c>
      <c r="N1147" s="501">
        <v>1</v>
      </c>
      <c r="O1147" s="502">
        <v>1</v>
      </c>
      <c r="P1147" s="37">
        <v>1</v>
      </c>
      <c r="Q1147" s="34">
        <f>H1147*I1147*N1147*O1147*P1147</f>
        <v>0</v>
      </c>
      <c r="R1147" s="35">
        <f>H1147*J1147*N1147*O1147*P1147</f>
        <v>0</v>
      </c>
      <c r="S1147" s="36">
        <f>H1147*K1147*N1147*O1147*P1147</f>
        <v>0</v>
      </c>
      <c r="T1147" s="36">
        <f>H1147*L1147*N1147*O1147*P1147</f>
        <v>0</v>
      </c>
      <c r="U1147" s="37">
        <f>SUM(Q1147:T1147)</f>
        <v>0</v>
      </c>
      <c r="V1147" s="38">
        <f>(Q1147+R1147+S1147+T1151+T1152+T1153+T1155)*'Прогнозная стоимость РСС ИП '!$M$11+T1150*'Прогнозная стоимость РСС ИП '!$M$10</f>
        <v>0</v>
      </c>
      <c r="W1147" s="39">
        <f>T1147</f>
        <v>0</v>
      </c>
      <c r="X1147" s="39">
        <f>U1147</f>
        <v>0</v>
      </c>
      <c r="Y1147" s="39">
        <f>V1147</f>
        <v>0</v>
      </c>
      <c r="Z1147" s="29"/>
      <c r="AA1147" s="29"/>
      <c r="AB1147" s="29"/>
      <c r="AC1147" s="29"/>
      <c r="AD1147" s="29"/>
    </row>
    <row r="1148" spans="1:30" s="488" customFormat="1" ht="41.25" hidden="1" customHeight="1">
      <c r="A1148" s="492"/>
      <c r="B1148" s="643"/>
      <c r="C1148" s="513"/>
      <c r="D1148" s="514"/>
      <c r="E1148" s="495"/>
      <c r="F1148" s="496"/>
      <c r="G1148" s="646"/>
      <c r="H1148" s="713"/>
      <c r="I1148" s="649"/>
      <c r="J1148" s="650"/>
      <c r="K1148" s="650"/>
      <c r="L1148" s="650"/>
      <c r="M1148" s="651"/>
      <c r="N1148" s="652"/>
      <c r="O1148" s="653"/>
      <c r="P1148" s="654"/>
      <c r="Q1148" s="661"/>
      <c r="R1148" s="662"/>
      <c r="S1148" s="662"/>
      <c r="T1148" s="662"/>
      <c r="U1148" s="663"/>
      <c r="V1148" s="40"/>
      <c r="W1148" s="41"/>
      <c r="X1148" s="41"/>
      <c r="Y1148" s="41"/>
      <c r="Z1148" s="29"/>
      <c r="AA1148" s="29"/>
      <c r="AB1148" s="29"/>
      <c r="AC1148" s="29"/>
      <c r="AD1148" s="29"/>
    </row>
    <row r="1149" spans="1:30" s="488" customFormat="1" ht="41.25" hidden="1" customHeight="1">
      <c r="A1149" s="492"/>
      <c r="B1149" s="643"/>
      <c r="C1149" s="513"/>
      <c r="D1149" s="514"/>
      <c r="E1149" s="664" t="s">
        <v>29</v>
      </c>
      <c r="F1149" s="665"/>
      <c r="G1149" s="665"/>
      <c r="H1149" s="665"/>
      <c r="I1149" s="665"/>
      <c r="J1149" s="665"/>
      <c r="K1149" s="665"/>
      <c r="L1149" s="665"/>
      <c r="M1149" s="666"/>
      <c r="N1149" s="655"/>
      <c r="O1149" s="656"/>
      <c r="P1149" s="657"/>
      <c r="Q1149" s="667"/>
      <c r="R1149" s="689"/>
      <c r="S1149" s="689"/>
      <c r="T1149" s="689"/>
      <c r="U1149" s="690"/>
      <c r="V1149" s="42"/>
      <c r="W1149" s="41"/>
      <c r="X1149" s="41"/>
      <c r="Y1149" s="41"/>
      <c r="Z1149" s="29"/>
      <c r="AA1149" s="29"/>
      <c r="AB1149" s="29"/>
      <c r="AC1149" s="29"/>
      <c r="AD1149" s="29"/>
    </row>
    <row r="1150" spans="1:30" s="488" customFormat="1" ht="41.25" hidden="1" customHeight="1">
      <c r="A1150" s="492"/>
      <c r="B1150" s="643"/>
      <c r="C1150" s="513">
        <v>11</v>
      </c>
      <c r="D1150" s="514"/>
      <c r="E1150" s="670" t="s">
        <v>30</v>
      </c>
      <c r="F1150" s="670"/>
      <c r="G1150" s="670"/>
      <c r="H1150" s="670"/>
      <c r="I1150" s="670"/>
      <c r="J1150" s="670"/>
      <c r="K1150" s="670"/>
      <c r="L1150" s="498">
        <v>376.24</v>
      </c>
      <c r="M1150" s="459">
        <f>L1150</f>
        <v>376.24</v>
      </c>
      <c r="N1150" s="655"/>
      <c r="O1150" s="656"/>
      <c r="P1150" s="657"/>
      <c r="Q1150" s="671"/>
      <c r="R1150" s="672"/>
      <c r="S1150" s="673"/>
      <c r="T1150" s="457">
        <f>H1147*M1150*N1147*O1147*P1147</f>
        <v>0</v>
      </c>
      <c r="U1150" s="458">
        <f>T1150</f>
        <v>0</v>
      </c>
      <c r="V1150" s="42"/>
      <c r="W1150" s="39"/>
      <c r="X1150" s="41"/>
      <c r="Y1150" s="41"/>
      <c r="Z1150" s="43">
        <f>T1150</f>
        <v>0</v>
      </c>
      <c r="AA1150" s="29"/>
      <c r="AB1150" s="29"/>
      <c r="AC1150" s="29"/>
      <c r="AD1150" s="29"/>
    </row>
    <row r="1151" spans="1:30" s="488" customFormat="1" ht="41.25" hidden="1" customHeight="1">
      <c r="A1151" s="492"/>
      <c r="B1151" s="643"/>
      <c r="C1151" s="513"/>
      <c r="D1151" s="514"/>
      <c r="E1151" s="670" t="s">
        <v>31</v>
      </c>
      <c r="F1151" s="670"/>
      <c r="G1151" s="670"/>
      <c r="H1151" s="670"/>
      <c r="I1151" s="670"/>
      <c r="J1151" s="670"/>
      <c r="K1151" s="670"/>
      <c r="L1151" s="498">
        <f>ROUND((I1147+J1147+K1147)*2.14%,2)</f>
        <v>159.44</v>
      </c>
      <c r="M1151" s="459">
        <f>L1151</f>
        <v>159.44</v>
      </c>
      <c r="N1151" s="655"/>
      <c r="O1151" s="656"/>
      <c r="P1151" s="657"/>
      <c r="Q1151" s="671"/>
      <c r="R1151" s="672"/>
      <c r="S1151" s="673"/>
      <c r="T1151" s="457">
        <f>H1147*M1151*N1147*O1147*P1147</f>
        <v>0</v>
      </c>
      <c r="U1151" s="458">
        <f>T1151</f>
        <v>0</v>
      </c>
      <c r="V1151" s="42"/>
      <c r="W1151" s="41"/>
      <c r="X1151" s="39"/>
      <c r="Y1151" s="41"/>
      <c r="Z1151" s="29"/>
      <c r="AA1151" s="43">
        <f>T1151</f>
        <v>0</v>
      </c>
      <c r="AB1151" s="29"/>
      <c r="AC1151" s="29"/>
      <c r="AD1151" s="29"/>
    </row>
    <row r="1152" spans="1:30" s="488" customFormat="1" ht="41.25" hidden="1" customHeight="1">
      <c r="A1152" s="492"/>
      <c r="B1152" s="643"/>
      <c r="C1152" s="515"/>
      <c r="D1152" s="514"/>
      <c r="E1152" s="670" t="s">
        <v>376</v>
      </c>
      <c r="F1152" s="670"/>
      <c r="G1152" s="670"/>
      <c r="H1152" s="670"/>
      <c r="I1152" s="670"/>
      <c r="J1152" s="670"/>
      <c r="K1152" s="670"/>
      <c r="L1152" s="498">
        <f>ROUND((I1147+J1147+K1147+L1150+L1151+L1155)*3%,2)</f>
        <v>248.82</v>
      </c>
      <c r="M1152" s="459">
        <f>L1152</f>
        <v>248.82</v>
      </c>
      <c r="N1152" s="655"/>
      <c r="O1152" s="656"/>
      <c r="P1152" s="657"/>
      <c r="Q1152" s="671"/>
      <c r="R1152" s="672"/>
      <c r="S1152" s="673"/>
      <c r="T1152" s="457">
        <f>H1147*M1152*N1147*O1147*P1147</f>
        <v>0</v>
      </c>
      <c r="U1152" s="458">
        <f>T1152</f>
        <v>0</v>
      </c>
      <c r="V1152" s="42"/>
      <c r="W1152" s="41"/>
      <c r="X1152" s="41"/>
      <c r="Y1152" s="39"/>
      <c r="Z1152" s="29"/>
      <c r="AA1152" s="29"/>
      <c r="AB1152" s="43">
        <f>T1152</f>
        <v>0</v>
      </c>
      <c r="AC1152" s="29"/>
      <c r="AD1152" s="29"/>
    </row>
    <row r="1153" spans="1:30" s="488" customFormat="1" ht="54.75" hidden="1" customHeight="1">
      <c r="A1153" s="492"/>
      <c r="B1153" s="643"/>
      <c r="C1153" s="515"/>
      <c r="D1153" s="514"/>
      <c r="E1153" s="670" t="s">
        <v>377</v>
      </c>
      <c r="F1153" s="670"/>
      <c r="G1153" s="670"/>
      <c r="H1153" s="670"/>
      <c r="I1153" s="670"/>
      <c r="J1153" s="670"/>
      <c r="K1153" s="670"/>
      <c r="L1153" s="498">
        <f>855.86-K1147-L1150-L1151-L1155</f>
        <v>0</v>
      </c>
      <c r="M1153" s="459">
        <f>L1153</f>
        <v>0</v>
      </c>
      <c r="N1153" s="655"/>
      <c r="O1153" s="656"/>
      <c r="P1153" s="657"/>
      <c r="Q1153" s="671"/>
      <c r="R1153" s="672"/>
      <c r="S1153" s="673"/>
      <c r="T1153" s="457">
        <f>H1147*M1153*N1147*O1147*P1147</f>
        <v>0</v>
      </c>
      <c r="U1153" s="458">
        <f>T1153</f>
        <v>0</v>
      </c>
      <c r="V1153" s="42"/>
      <c r="W1153" s="41"/>
      <c r="X1153" s="41"/>
      <c r="Y1153" s="41"/>
      <c r="Z1153" s="44"/>
      <c r="AA1153" s="29"/>
      <c r="AB1153" s="29"/>
      <c r="AC1153" s="44">
        <f>T1153</f>
        <v>0</v>
      </c>
      <c r="AD1153" s="29"/>
    </row>
    <row r="1154" spans="1:30" s="488" customFormat="1" ht="45" hidden="1" customHeight="1">
      <c r="A1154" s="492"/>
      <c r="B1154" s="643"/>
      <c r="C1154" s="515"/>
      <c r="D1154" s="514"/>
      <c r="E1154" s="674"/>
      <c r="F1154" s="675"/>
      <c r="G1154" s="675"/>
      <c r="H1154" s="675"/>
      <c r="I1154" s="675"/>
      <c r="J1154" s="675"/>
      <c r="K1154" s="675"/>
      <c r="L1154" s="675"/>
      <c r="M1154" s="676"/>
      <c r="N1154" s="655"/>
      <c r="O1154" s="656"/>
      <c r="P1154" s="657"/>
      <c r="Q1154" s="677"/>
      <c r="R1154" s="678"/>
      <c r="S1154" s="678"/>
      <c r="T1154" s="678"/>
      <c r="U1154" s="679"/>
      <c r="V1154" s="45"/>
      <c r="W1154" s="41"/>
      <c r="X1154" s="41"/>
      <c r="Y1154" s="41"/>
      <c r="Z1154" s="29"/>
      <c r="AA1154" s="44"/>
      <c r="AB1154" s="29"/>
      <c r="AC1154" s="29"/>
      <c r="AD1154" s="29"/>
    </row>
    <row r="1155" spans="1:30" s="488" customFormat="1" ht="45" hidden="1" customHeight="1" thickBot="1">
      <c r="A1155" s="492"/>
      <c r="B1155" s="644"/>
      <c r="C1155" s="516"/>
      <c r="D1155" s="517"/>
      <c r="E1155" s="680" t="s">
        <v>369</v>
      </c>
      <c r="F1155" s="680" t="s">
        <v>306</v>
      </c>
      <c r="G1155" s="680"/>
      <c r="H1155" s="680"/>
      <c r="I1155" s="680"/>
      <c r="J1155" s="680"/>
      <c r="K1155" s="680"/>
      <c r="L1155" s="499">
        <f>ROUND((I1147+J1147+K1147+L1150)*3.93%,2)</f>
        <v>307.58999999999997</v>
      </c>
      <c r="M1155" s="46">
        <f>L1155</f>
        <v>307.58999999999997</v>
      </c>
      <c r="N1155" s="658"/>
      <c r="O1155" s="659"/>
      <c r="P1155" s="660"/>
      <c r="Q1155" s="681"/>
      <c r="R1155" s="682"/>
      <c r="S1155" s="683"/>
      <c r="T1155" s="500">
        <f>H1147*M1155*N1147*O1147*P1147</f>
        <v>0</v>
      </c>
      <c r="U1155" s="47">
        <f>T1155</f>
        <v>0</v>
      </c>
      <c r="V1155" s="48"/>
      <c r="W1155" s="41"/>
      <c r="X1155" s="41"/>
      <c r="Y1155" s="41"/>
      <c r="Z1155" s="29"/>
      <c r="AA1155" s="29"/>
      <c r="AB1155" s="44"/>
      <c r="AC1155" s="29"/>
      <c r="AD1155" s="44">
        <f>T1155</f>
        <v>0</v>
      </c>
    </row>
    <row r="1156" spans="1:30" s="488" customFormat="1" ht="150" hidden="1" customHeight="1">
      <c r="A1156" s="492"/>
      <c r="B1156" s="642">
        <v>2</v>
      </c>
      <c r="C1156" s="511">
        <v>1</v>
      </c>
      <c r="D1156" s="512"/>
      <c r="E1156" s="493" t="s">
        <v>603</v>
      </c>
      <c r="F1156" s="487" t="s">
        <v>604</v>
      </c>
      <c r="G1156" s="645" t="s">
        <v>357</v>
      </c>
      <c r="H1156" s="712">
        <v>0</v>
      </c>
      <c r="I1156" s="494">
        <v>0</v>
      </c>
      <c r="J1156" s="494">
        <v>7633.31</v>
      </c>
      <c r="K1156" s="494">
        <v>12.59</v>
      </c>
      <c r="L1156" s="494">
        <f>SUM(L1158:L1164)</f>
        <v>1110.58</v>
      </c>
      <c r="M1156" s="33">
        <f>SUM(I1156:L1156)</f>
        <v>8756.48</v>
      </c>
      <c r="N1156" s="501">
        <v>1</v>
      </c>
      <c r="O1156" s="502">
        <v>1</v>
      </c>
      <c r="P1156" s="37">
        <v>1</v>
      </c>
      <c r="Q1156" s="34">
        <f>H1156*I1156*N1156*O1156*P1156</f>
        <v>0</v>
      </c>
      <c r="R1156" s="35">
        <f>H1156*J1156*N1156*O1156*P1156</f>
        <v>0</v>
      </c>
      <c r="S1156" s="36">
        <f>H1156*K1156*N1156*O1156*P1156</f>
        <v>0</v>
      </c>
      <c r="T1156" s="36">
        <f>H1156*L1156*N1156*O1156*P1156</f>
        <v>0</v>
      </c>
      <c r="U1156" s="37">
        <f>SUM(Q1156:T1156)</f>
        <v>0</v>
      </c>
      <c r="V1156" s="38">
        <f>(Q1156+R1156+S1156+T1160+T1161+T1162+T1164)*'Прогнозная стоимость РСС ИП '!$M$11+T1159*'Прогнозная стоимость РСС ИП '!$M$10</f>
        <v>0</v>
      </c>
      <c r="W1156" s="39">
        <f>T1156</f>
        <v>0</v>
      </c>
      <c r="X1156" s="39">
        <f>U1156</f>
        <v>0</v>
      </c>
      <c r="Y1156" s="39">
        <f>V1156</f>
        <v>0</v>
      </c>
      <c r="Z1156" s="29"/>
      <c r="AA1156" s="29"/>
      <c r="AB1156" s="29"/>
      <c r="AC1156" s="29"/>
      <c r="AD1156" s="29"/>
    </row>
    <row r="1157" spans="1:30" s="488" customFormat="1" ht="41.25" hidden="1" customHeight="1">
      <c r="A1157" s="492"/>
      <c r="B1157" s="643"/>
      <c r="C1157" s="513"/>
      <c r="D1157" s="514"/>
      <c r="E1157" s="495"/>
      <c r="F1157" s="496"/>
      <c r="G1157" s="646"/>
      <c r="H1157" s="713"/>
      <c r="I1157" s="649"/>
      <c r="J1157" s="650"/>
      <c r="K1157" s="650"/>
      <c r="L1157" s="650"/>
      <c r="M1157" s="651"/>
      <c r="N1157" s="652"/>
      <c r="O1157" s="653"/>
      <c r="P1157" s="654"/>
      <c r="Q1157" s="661"/>
      <c r="R1157" s="662"/>
      <c r="S1157" s="662"/>
      <c r="T1157" s="662"/>
      <c r="U1157" s="663"/>
      <c r="V1157" s="40"/>
      <c r="W1157" s="41"/>
      <c r="X1157" s="41"/>
      <c r="Y1157" s="41"/>
      <c r="Z1157" s="29"/>
      <c r="AA1157" s="29"/>
      <c r="AB1157" s="29"/>
      <c r="AC1157" s="29"/>
      <c r="AD1157" s="29"/>
    </row>
    <row r="1158" spans="1:30" s="488" customFormat="1" ht="41.25" hidden="1" customHeight="1">
      <c r="A1158" s="492"/>
      <c r="B1158" s="643"/>
      <c r="C1158" s="513"/>
      <c r="D1158" s="514"/>
      <c r="E1158" s="664" t="s">
        <v>29</v>
      </c>
      <c r="F1158" s="665"/>
      <c r="G1158" s="665"/>
      <c r="H1158" s="665"/>
      <c r="I1158" s="665"/>
      <c r="J1158" s="665"/>
      <c r="K1158" s="665"/>
      <c r="L1158" s="665"/>
      <c r="M1158" s="666"/>
      <c r="N1158" s="655"/>
      <c r="O1158" s="656"/>
      <c r="P1158" s="657"/>
      <c r="Q1158" s="667"/>
      <c r="R1158" s="689"/>
      <c r="S1158" s="689"/>
      <c r="T1158" s="689"/>
      <c r="U1158" s="690"/>
      <c r="V1158" s="42"/>
      <c r="W1158" s="41"/>
      <c r="X1158" s="41"/>
      <c r="Y1158" s="41"/>
      <c r="Z1158" s="29"/>
      <c r="AA1158" s="29"/>
      <c r="AB1158" s="29"/>
      <c r="AC1158" s="29"/>
      <c r="AD1158" s="29"/>
    </row>
    <row r="1159" spans="1:30" s="488" customFormat="1" ht="41.25" hidden="1" customHeight="1">
      <c r="A1159" s="492"/>
      <c r="B1159" s="643"/>
      <c r="C1159" s="513">
        <v>11</v>
      </c>
      <c r="D1159" s="514"/>
      <c r="E1159" s="670" t="s">
        <v>30</v>
      </c>
      <c r="F1159" s="670"/>
      <c r="G1159" s="670"/>
      <c r="H1159" s="670"/>
      <c r="I1159" s="670"/>
      <c r="J1159" s="670"/>
      <c r="K1159" s="670"/>
      <c r="L1159" s="498">
        <v>376.63</v>
      </c>
      <c r="M1159" s="459">
        <f>L1159</f>
        <v>376.63</v>
      </c>
      <c r="N1159" s="655"/>
      <c r="O1159" s="656"/>
      <c r="P1159" s="657"/>
      <c r="Q1159" s="671"/>
      <c r="R1159" s="672"/>
      <c r="S1159" s="673"/>
      <c r="T1159" s="457">
        <f>H1156*M1159*N1156*O1156*P1156</f>
        <v>0</v>
      </c>
      <c r="U1159" s="458">
        <f>T1159</f>
        <v>0</v>
      </c>
      <c r="V1159" s="42"/>
      <c r="W1159" s="39"/>
      <c r="X1159" s="41"/>
      <c r="Y1159" s="41"/>
      <c r="Z1159" s="43">
        <f>T1159</f>
        <v>0</v>
      </c>
      <c r="AA1159" s="29"/>
      <c r="AB1159" s="29"/>
      <c r="AC1159" s="29"/>
      <c r="AD1159" s="29"/>
    </row>
    <row r="1160" spans="1:30" s="488" customFormat="1" ht="41.25" hidden="1" customHeight="1">
      <c r="A1160" s="492"/>
      <c r="B1160" s="643"/>
      <c r="C1160" s="513"/>
      <c r="D1160" s="514"/>
      <c r="E1160" s="670" t="s">
        <v>31</v>
      </c>
      <c r="F1160" s="670"/>
      <c r="G1160" s="670"/>
      <c r="H1160" s="670"/>
      <c r="I1160" s="670"/>
      <c r="J1160" s="670"/>
      <c r="K1160" s="670"/>
      <c r="L1160" s="498">
        <f>ROUND((I1156+J1156+K1156)*2.14%,2)</f>
        <v>163.62</v>
      </c>
      <c r="M1160" s="459">
        <f>L1160</f>
        <v>163.62</v>
      </c>
      <c r="N1160" s="655"/>
      <c r="O1160" s="656"/>
      <c r="P1160" s="657"/>
      <c r="Q1160" s="671"/>
      <c r="R1160" s="672"/>
      <c r="S1160" s="673"/>
      <c r="T1160" s="457">
        <f>H1156*M1160*N1156*O1156*P1156</f>
        <v>0</v>
      </c>
      <c r="U1160" s="458">
        <f>T1160</f>
        <v>0</v>
      </c>
      <c r="V1160" s="42"/>
      <c r="W1160" s="41"/>
      <c r="X1160" s="39"/>
      <c r="Y1160" s="41"/>
      <c r="Z1160" s="29"/>
      <c r="AA1160" s="43">
        <f>T1160</f>
        <v>0</v>
      </c>
      <c r="AB1160" s="29"/>
      <c r="AC1160" s="29"/>
      <c r="AD1160" s="29"/>
    </row>
    <row r="1161" spans="1:30" s="488" customFormat="1" ht="41.25" hidden="1" customHeight="1">
      <c r="A1161" s="492"/>
      <c r="B1161" s="643"/>
      <c r="C1161" s="515"/>
      <c r="D1161" s="514"/>
      <c r="E1161" s="670" t="s">
        <v>376</v>
      </c>
      <c r="F1161" s="670"/>
      <c r="G1161" s="670"/>
      <c r="H1161" s="670"/>
      <c r="I1161" s="670"/>
      <c r="J1161" s="670"/>
      <c r="K1161" s="670"/>
      <c r="L1161" s="498">
        <f>ROUND((I1156+J1156+K1156+L1159+L1160+L1164)*3%,2)</f>
        <v>255.04</v>
      </c>
      <c r="M1161" s="459">
        <f>L1161</f>
        <v>255.04</v>
      </c>
      <c r="N1161" s="655"/>
      <c r="O1161" s="656"/>
      <c r="P1161" s="657"/>
      <c r="Q1161" s="671"/>
      <c r="R1161" s="672"/>
      <c r="S1161" s="673"/>
      <c r="T1161" s="457">
        <f>H1156*M1161*N1156*O1156*P1156</f>
        <v>0</v>
      </c>
      <c r="U1161" s="458">
        <f>T1161</f>
        <v>0</v>
      </c>
      <c r="V1161" s="42"/>
      <c r="W1161" s="41"/>
      <c r="X1161" s="41"/>
      <c r="Y1161" s="39"/>
      <c r="Z1161" s="29"/>
      <c r="AA1161" s="29"/>
      <c r="AB1161" s="43">
        <f>T1161</f>
        <v>0</v>
      </c>
      <c r="AC1161" s="29"/>
      <c r="AD1161" s="29"/>
    </row>
    <row r="1162" spans="1:30" s="488" customFormat="1" ht="54.75" hidden="1" customHeight="1">
      <c r="A1162" s="492"/>
      <c r="B1162" s="643"/>
      <c r="C1162" s="515"/>
      <c r="D1162" s="514"/>
      <c r="E1162" s="670" t="s">
        <v>377</v>
      </c>
      <c r="F1162" s="670"/>
      <c r="G1162" s="670"/>
      <c r="H1162" s="670"/>
      <c r="I1162" s="670"/>
      <c r="J1162" s="670"/>
      <c r="K1162" s="670"/>
      <c r="L1162" s="498">
        <f>868.13-K1156-L1159-L1160-L1164</f>
        <v>0</v>
      </c>
      <c r="M1162" s="459">
        <f>L1162</f>
        <v>0</v>
      </c>
      <c r="N1162" s="655"/>
      <c r="O1162" s="656"/>
      <c r="P1162" s="657"/>
      <c r="Q1162" s="671"/>
      <c r="R1162" s="672"/>
      <c r="S1162" s="673"/>
      <c r="T1162" s="457">
        <f>H1156*M1162*N1156*O1156*P1156</f>
        <v>0</v>
      </c>
      <c r="U1162" s="458">
        <f>T1162</f>
        <v>0</v>
      </c>
      <c r="V1162" s="42"/>
      <c r="W1162" s="41"/>
      <c r="X1162" s="41"/>
      <c r="Y1162" s="41"/>
      <c r="Z1162" s="44"/>
      <c r="AA1162" s="29"/>
      <c r="AB1162" s="29"/>
      <c r="AC1162" s="44">
        <f>T1162</f>
        <v>0</v>
      </c>
      <c r="AD1162" s="29"/>
    </row>
    <row r="1163" spans="1:30" s="488" customFormat="1" ht="45" hidden="1" customHeight="1">
      <c r="A1163" s="492"/>
      <c r="B1163" s="643"/>
      <c r="C1163" s="515"/>
      <c r="D1163" s="514"/>
      <c r="E1163" s="674"/>
      <c r="F1163" s="675"/>
      <c r="G1163" s="675"/>
      <c r="H1163" s="675"/>
      <c r="I1163" s="675"/>
      <c r="J1163" s="675"/>
      <c r="K1163" s="675"/>
      <c r="L1163" s="675"/>
      <c r="M1163" s="676"/>
      <c r="N1163" s="655"/>
      <c r="O1163" s="656"/>
      <c r="P1163" s="657"/>
      <c r="Q1163" s="677"/>
      <c r="R1163" s="678"/>
      <c r="S1163" s="678"/>
      <c r="T1163" s="678"/>
      <c r="U1163" s="679"/>
      <c r="V1163" s="45"/>
      <c r="W1163" s="41"/>
      <c r="X1163" s="41"/>
      <c r="Y1163" s="41"/>
      <c r="Z1163" s="29"/>
      <c r="AA1163" s="44"/>
      <c r="AB1163" s="29"/>
      <c r="AC1163" s="29"/>
      <c r="AD1163" s="29"/>
    </row>
    <row r="1164" spans="1:30" s="488" customFormat="1" ht="45" hidden="1" customHeight="1" thickBot="1">
      <c r="A1164" s="492"/>
      <c r="B1164" s="644"/>
      <c r="C1164" s="516"/>
      <c r="D1164" s="517"/>
      <c r="E1164" s="680" t="s">
        <v>369</v>
      </c>
      <c r="F1164" s="680" t="s">
        <v>306</v>
      </c>
      <c r="G1164" s="680"/>
      <c r="H1164" s="680"/>
      <c r="I1164" s="680"/>
      <c r="J1164" s="680"/>
      <c r="K1164" s="680"/>
      <c r="L1164" s="499">
        <f>ROUND((I1156+J1156+K1156+L1159)*3.93%,2)</f>
        <v>315.29000000000002</v>
      </c>
      <c r="M1164" s="46">
        <f>L1164</f>
        <v>315.29000000000002</v>
      </c>
      <c r="N1164" s="658"/>
      <c r="O1164" s="659"/>
      <c r="P1164" s="660"/>
      <c r="Q1164" s="681"/>
      <c r="R1164" s="682"/>
      <c r="S1164" s="683"/>
      <c r="T1164" s="500">
        <f>H1156*M1164*N1156*O1156*P1156</f>
        <v>0</v>
      </c>
      <c r="U1164" s="47">
        <f>T1164</f>
        <v>0</v>
      </c>
      <c r="V1164" s="48"/>
      <c r="W1164" s="41"/>
      <c r="X1164" s="41"/>
      <c r="Y1164" s="41"/>
      <c r="Z1164" s="29"/>
      <c r="AA1164" s="29"/>
      <c r="AB1164" s="44"/>
      <c r="AC1164" s="29"/>
      <c r="AD1164" s="44">
        <f>T1164</f>
        <v>0</v>
      </c>
    </row>
    <row r="1165" spans="1:30" s="488" customFormat="1" ht="150" hidden="1" customHeight="1">
      <c r="A1165" s="492"/>
      <c r="B1165" s="642">
        <v>2</v>
      </c>
      <c r="C1165" s="511">
        <v>1</v>
      </c>
      <c r="D1165" s="512"/>
      <c r="E1165" s="493" t="s">
        <v>605</v>
      </c>
      <c r="F1165" s="487" t="s">
        <v>606</v>
      </c>
      <c r="G1165" s="645" t="s">
        <v>357</v>
      </c>
      <c r="H1165" s="712">
        <v>0</v>
      </c>
      <c r="I1165" s="494">
        <v>0</v>
      </c>
      <c r="J1165" s="494">
        <v>7938.17</v>
      </c>
      <c r="K1165" s="494">
        <v>12.59</v>
      </c>
      <c r="L1165" s="494">
        <f>SUM(L1167:L1173)</f>
        <v>1139.44</v>
      </c>
      <c r="M1165" s="33">
        <f>SUM(I1165:L1165)</f>
        <v>9090.2000000000007</v>
      </c>
      <c r="N1165" s="501">
        <v>1</v>
      </c>
      <c r="O1165" s="502">
        <v>1</v>
      </c>
      <c r="P1165" s="37">
        <v>1</v>
      </c>
      <c r="Q1165" s="34">
        <f>H1165*I1165*N1165*O1165*P1165</f>
        <v>0</v>
      </c>
      <c r="R1165" s="35">
        <f>H1165*J1165*N1165*O1165*P1165</f>
        <v>0</v>
      </c>
      <c r="S1165" s="36">
        <f>H1165*K1165*N1165*O1165*P1165</f>
        <v>0</v>
      </c>
      <c r="T1165" s="36">
        <f>H1165*L1165*N1165*O1165*P1165</f>
        <v>0</v>
      </c>
      <c r="U1165" s="37">
        <f>SUM(Q1165:T1165)</f>
        <v>0</v>
      </c>
      <c r="V1165" s="38">
        <f>(Q1165+R1165+S1165+T1169+T1170+T1171+T1173)*'Прогнозная стоимость РСС ИП '!$M$11+T1168*'Прогнозная стоимость РСС ИП '!$M$10</f>
        <v>0</v>
      </c>
      <c r="W1165" s="39">
        <f>T1165</f>
        <v>0</v>
      </c>
      <c r="X1165" s="39">
        <f>U1165</f>
        <v>0</v>
      </c>
      <c r="Y1165" s="39">
        <f>V1165</f>
        <v>0</v>
      </c>
      <c r="Z1165" s="29"/>
      <c r="AA1165" s="29"/>
      <c r="AB1165" s="29"/>
      <c r="AC1165" s="29"/>
      <c r="AD1165" s="29"/>
    </row>
    <row r="1166" spans="1:30" s="488" customFormat="1" ht="41.25" hidden="1" customHeight="1">
      <c r="A1166" s="492"/>
      <c r="B1166" s="643"/>
      <c r="C1166" s="513"/>
      <c r="D1166" s="514"/>
      <c r="E1166" s="495"/>
      <c r="F1166" s="496"/>
      <c r="G1166" s="646"/>
      <c r="H1166" s="713"/>
      <c r="I1166" s="649"/>
      <c r="J1166" s="650"/>
      <c r="K1166" s="650"/>
      <c r="L1166" s="650"/>
      <c r="M1166" s="651"/>
      <c r="N1166" s="652"/>
      <c r="O1166" s="653"/>
      <c r="P1166" s="654"/>
      <c r="Q1166" s="661"/>
      <c r="R1166" s="662"/>
      <c r="S1166" s="662"/>
      <c r="T1166" s="662"/>
      <c r="U1166" s="663"/>
      <c r="V1166" s="40"/>
      <c r="W1166" s="41"/>
      <c r="X1166" s="41"/>
      <c r="Y1166" s="41"/>
      <c r="Z1166" s="29"/>
      <c r="AA1166" s="29"/>
      <c r="AB1166" s="29"/>
      <c r="AC1166" s="29"/>
      <c r="AD1166" s="29"/>
    </row>
    <row r="1167" spans="1:30" s="488" customFormat="1" ht="41.25" hidden="1" customHeight="1">
      <c r="A1167" s="492"/>
      <c r="B1167" s="643"/>
      <c r="C1167" s="513"/>
      <c r="D1167" s="514"/>
      <c r="E1167" s="664" t="s">
        <v>29</v>
      </c>
      <c r="F1167" s="665"/>
      <c r="G1167" s="665"/>
      <c r="H1167" s="665"/>
      <c r="I1167" s="665"/>
      <c r="J1167" s="665"/>
      <c r="K1167" s="665"/>
      <c r="L1167" s="665"/>
      <c r="M1167" s="666"/>
      <c r="N1167" s="655"/>
      <c r="O1167" s="656"/>
      <c r="P1167" s="657"/>
      <c r="Q1167" s="667"/>
      <c r="R1167" s="689"/>
      <c r="S1167" s="689"/>
      <c r="T1167" s="689"/>
      <c r="U1167" s="690"/>
      <c r="V1167" s="42"/>
      <c r="W1167" s="41"/>
      <c r="X1167" s="41"/>
      <c r="Y1167" s="41"/>
      <c r="Z1167" s="29"/>
      <c r="AA1167" s="29"/>
      <c r="AB1167" s="29"/>
      <c r="AC1167" s="29"/>
      <c r="AD1167" s="29"/>
    </row>
    <row r="1168" spans="1:30" s="488" customFormat="1" ht="41.25" hidden="1" customHeight="1">
      <c r="A1168" s="492"/>
      <c r="B1168" s="643"/>
      <c r="C1168" s="513">
        <v>11</v>
      </c>
      <c r="D1168" s="514"/>
      <c r="E1168" s="670" t="s">
        <v>30</v>
      </c>
      <c r="F1168" s="670"/>
      <c r="G1168" s="670"/>
      <c r="H1168" s="670"/>
      <c r="I1168" s="670"/>
      <c r="J1168" s="670"/>
      <c r="K1168" s="670"/>
      <c r="L1168" s="498">
        <v>377.24</v>
      </c>
      <c r="M1168" s="459">
        <f>L1168</f>
        <v>377.24</v>
      </c>
      <c r="N1168" s="655"/>
      <c r="O1168" s="656"/>
      <c r="P1168" s="657"/>
      <c r="Q1168" s="671"/>
      <c r="R1168" s="672"/>
      <c r="S1168" s="673"/>
      <c r="T1168" s="457">
        <f>H1165*M1168*N1165*O1165*P1165</f>
        <v>0</v>
      </c>
      <c r="U1168" s="458">
        <f>T1168</f>
        <v>0</v>
      </c>
      <c r="V1168" s="42"/>
      <c r="W1168" s="39"/>
      <c r="X1168" s="41"/>
      <c r="Y1168" s="41"/>
      <c r="Z1168" s="43">
        <f>T1168</f>
        <v>0</v>
      </c>
      <c r="AA1168" s="29"/>
      <c r="AB1168" s="29"/>
      <c r="AC1168" s="29"/>
      <c r="AD1168" s="29"/>
    </row>
    <row r="1169" spans="1:30" s="488" customFormat="1" ht="41.25" hidden="1" customHeight="1">
      <c r="A1169" s="492"/>
      <c r="B1169" s="643"/>
      <c r="C1169" s="513"/>
      <c r="D1169" s="514"/>
      <c r="E1169" s="670" t="s">
        <v>31</v>
      </c>
      <c r="F1169" s="670"/>
      <c r="G1169" s="670"/>
      <c r="H1169" s="670"/>
      <c r="I1169" s="670"/>
      <c r="J1169" s="670"/>
      <c r="K1169" s="670"/>
      <c r="L1169" s="498">
        <f>ROUND((I1165+J1165+K1165)*2.14%,2)</f>
        <v>170.15</v>
      </c>
      <c r="M1169" s="459">
        <f>L1169</f>
        <v>170.15</v>
      </c>
      <c r="N1169" s="655"/>
      <c r="O1169" s="656"/>
      <c r="P1169" s="657"/>
      <c r="Q1169" s="671"/>
      <c r="R1169" s="672"/>
      <c r="S1169" s="673"/>
      <c r="T1169" s="457">
        <f>H1165*M1169*N1165*O1165*P1165</f>
        <v>0</v>
      </c>
      <c r="U1169" s="458">
        <f>T1169</f>
        <v>0</v>
      </c>
      <c r="V1169" s="42"/>
      <c r="W1169" s="41"/>
      <c r="X1169" s="39"/>
      <c r="Y1169" s="41"/>
      <c r="Z1169" s="29"/>
      <c r="AA1169" s="43">
        <f>T1169</f>
        <v>0</v>
      </c>
      <c r="AB1169" s="29"/>
      <c r="AC1169" s="29"/>
      <c r="AD1169" s="29"/>
    </row>
    <row r="1170" spans="1:30" s="488" customFormat="1" ht="41.25" hidden="1" customHeight="1">
      <c r="A1170" s="492"/>
      <c r="B1170" s="643"/>
      <c r="C1170" s="515"/>
      <c r="D1170" s="514"/>
      <c r="E1170" s="670" t="s">
        <v>376</v>
      </c>
      <c r="F1170" s="670"/>
      <c r="G1170" s="670"/>
      <c r="H1170" s="670"/>
      <c r="I1170" s="670"/>
      <c r="J1170" s="670"/>
      <c r="K1170" s="670"/>
      <c r="L1170" s="498">
        <f>ROUND((I1165+J1165+K1165+L1168+L1169+L1173)*3%,2)</f>
        <v>264.76</v>
      </c>
      <c r="M1170" s="459">
        <f>L1170</f>
        <v>264.76</v>
      </c>
      <c r="N1170" s="655"/>
      <c r="O1170" s="656"/>
      <c r="P1170" s="657"/>
      <c r="Q1170" s="671"/>
      <c r="R1170" s="672"/>
      <c r="S1170" s="673"/>
      <c r="T1170" s="457">
        <f>H1165*M1170*N1165*O1165*P1165</f>
        <v>0</v>
      </c>
      <c r="U1170" s="458">
        <f>T1170</f>
        <v>0</v>
      </c>
      <c r="V1170" s="42"/>
      <c r="W1170" s="41"/>
      <c r="X1170" s="41"/>
      <c r="Y1170" s="39"/>
      <c r="Z1170" s="29"/>
      <c r="AA1170" s="29"/>
      <c r="AB1170" s="43">
        <f>T1170</f>
        <v>0</v>
      </c>
      <c r="AC1170" s="29"/>
      <c r="AD1170" s="29"/>
    </row>
    <row r="1171" spans="1:30" s="488" customFormat="1" ht="54.75" hidden="1" customHeight="1">
      <c r="A1171" s="492"/>
      <c r="B1171" s="643"/>
      <c r="C1171" s="515"/>
      <c r="D1171" s="514"/>
      <c r="E1171" s="670" t="s">
        <v>377</v>
      </c>
      <c r="F1171" s="670"/>
      <c r="G1171" s="670"/>
      <c r="H1171" s="670"/>
      <c r="I1171" s="670"/>
      <c r="J1171" s="670"/>
      <c r="K1171" s="670"/>
      <c r="L1171" s="498">
        <f>887.27-K1165-L1168-L1169-L1173</f>
        <v>0</v>
      </c>
      <c r="M1171" s="459">
        <f>L1171</f>
        <v>0</v>
      </c>
      <c r="N1171" s="655"/>
      <c r="O1171" s="656"/>
      <c r="P1171" s="657"/>
      <c r="Q1171" s="671"/>
      <c r="R1171" s="672"/>
      <c r="S1171" s="673"/>
      <c r="T1171" s="457">
        <f>H1165*M1171*N1165*O1165*P1165</f>
        <v>0</v>
      </c>
      <c r="U1171" s="458">
        <f>T1171</f>
        <v>0</v>
      </c>
      <c r="V1171" s="42"/>
      <c r="W1171" s="41"/>
      <c r="X1171" s="41"/>
      <c r="Y1171" s="41"/>
      <c r="Z1171" s="44"/>
      <c r="AA1171" s="29"/>
      <c r="AB1171" s="29"/>
      <c r="AC1171" s="44">
        <f>T1171</f>
        <v>0</v>
      </c>
      <c r="AD1171" s="29"/>
    </row>
    <row r="1172" spans="1:30" s="488" customFormat="1" ht="45" hidden="1" customHeight="1">
      <c r="A1172" s="492"/>
      <c r="B1172" s="643"/>
      <c r="C1172" s="515"/>
      <c r="D1172" s="514"/>
      <c r="E1172" s="674"/>
      <c r="F1172" s="675"/>
      <c r="G1172" s="675"/>
      <c r="H1172" s="675"/>
      <c r="I1172" s="675"/>
      <c r="J1172" s="675"/>
      <c r="K1172" s="675"/>
      <c r="L1172" s="675"/>
      <c r="M1172" s="676"/>
      <c r="N1172" s="655"/>
      <c r="O1172" s="656"/>
      <c r="P1172" s="657"/>
      <c r="Q1172" s="677"/>
      <c r="R1172" s="678"/>
      <c r="S1172" s="678"/>
      <c r="T1172" s="678"/>
      <c r="U1172" s="679"/>
      <c r="V1172" s="45"/>
      <c r="W1172" s="41"/>
      <c r="X1172" s="41"/>
      <c r="Y1172" s="41"/>
      <c r="Z1172" s="29"/>
      <c r="AA1172" s="44"/>
      <c r="AB1172" s="29"/>
      <c r="AC1172" s="29"/>
      <c r="AD1172" s="29"/>
    </row>
    <row r="1173" spans="1:30" s="488" customFormat="1" ht="45" hidden="1" customHeight="1" thickBot="1">
      <c r="A1173" s="492"/>
      <c r="B1173" s="644"/>
      <c r="C1173" s="516"/>
      <c r="D1173" s="517"/>
      <c r="E1173" s="680" t="s">
        <v>369</v>
      </c>
      <c r="F1173" s="680" t="s">
        <v>306</v>
      </c>
      <c r="G1173" s="680"/>
      <c r="H1173" s="680"/>
      <c r="I1173" s="680"/>
      <c r="J1173" s="680"/>
      <c r="K1173" s="680"/>
      <c r="L1173" s="499">
        <f>ROUND((I1165+J1165+K1165+L1168)*3.93%,2)</f>
        <v>327.29000000000002</v>
      </c>
      <c r="M1173" s="46">
        <f>L1173</f>
        <v>327.29000000000002</v>
      </c>
      <c r="N1173" s="658"/>
      <c r="O1173" s="659"/>
      <c r="P1173" s="660"/>
      <c r="Q1173" s="681"/>
      <c r="R1173" s="682"/>
      <c r="S1173" s="683"/>
      <c r="T1173" s="500">
        <f>H1165*M1173*N1165*O1165*P1165</f>
        <v>0</v>
      </c>
      <c r="U1173" s="47">
        <f>T1173</f>
        <v>0</v>
      </c>
      <c r="V1173" s="48"/>
      <c r="W1173" s="41"/>
      <c r="X1173" s="41"/>
      <c r="Y1173" s="41"/>
      <c r="Z1173" s="29"/>
      <c r="AA1173" s="29"/>
      <c r="AB1173" s="44"/>
      <c r="AC1173" s="29"/>
      <c r="AD1173" s="44">
        <f>T1173</f>
        <v>0</v>
      </c>
    </row>
    <row r="1174" spans="1:30" s="505" customFormat="1" ht="150" hidden="1" customHeight="1">
      <c r="A1174" s="492"/>
      <c r="B1174" s="642">
        <v>2</v>
      </c>
      <c r="C1174" s="511">
        <v>1</v>
      </c>
      <c r="D1174" s="512"/>
      <c r="E1174" s="493" t="s">
        <v>607</v>
      </c>
      <c r="F1174" s="487" t="s">
        <v>608</v>
      </c>
      <c r="G1174" s="645" t="s">
        <v>357</v>
      </c>
      <c r="H1174" s="712">
        <v>0</v>
      </c>
      <c r="I1174" s="494">
        <v>0</v>
      </c>
      <c r="J1174" s="494">
        <v>8588.19</v>
      </c>
      <c r="K1174" s="494">
        <v>12.59</v>
      </c>
      <c r="L1174" s="494">
        <f>SUM(L1176:L1182)</f>
        <v>1200.97</v>
      </c>
      <c r="M1174" s="33">
        <f>SUM(I1174:L1174)</f>
        <v>9801.75</v>
      </c>
      <c r="N1174" s="501">
        <v>1</v>
      </c>
      <c r="O1174" s="502">
        <v>1</v>
      </c>
      <c r="P1174" s="37">
        <v>1</v>
      </c>
      <c r="Q1174" s="34">
        <f>H1174*I1174*N1174*O1174*P1174</f>
        <v>0</v>
      </c>
      <c r="R1174" s="35">
        <f>H1174*J1174*N1174*O1174*P1174</f>
        <v>0</v>
      </c>
      <c r="S1174" s="36">
        <f>H1174*K1174*N1174*O1174*P1174</f>
        <v>0</v>
      </c>
      <c r="T1174" s="36">
        <f>H1174*L1174*N1174*O1174*P1174</f>
        <v>0</v>
      </c>
      <c r="U1174" s="37">
        <f>SUM(Q1174:T1174)</f>
        <v>0</v>
      </c>
      <c r="V1174" s="38">
        <f>(Q1174+R1174+S1174+T1178+T1179+T1180+T1182)*'Прогнозная стоимость РСС ИП '!$M$11+T1177*'Прогнозная стоимость РСС ИП '!$M$10</f>
        <v>0</v>
      </c>
      <c r="W1174" s="503">
        <f>T1174</f>
        <v>0</v>
      </c>
      <c r="X1174" s="503">
        <f>U1174</f>
        <v>0</v>
      </c>
      <c r="Y1174" s="503">
        <f>V1174</f>
        <v>0</v>
      </c>
      <c r="Z1174" s="504"/>
      <c r="AA1174" s="504"/>
      <c r="AB1174" s="504"/>
      <c r="AC1174" s="504"/>
      <c r="AD1174" s="504"/>
    </row>
    <row r="1175" spans="1:30" s="505" customFormat="1" ht="41.25" hidden="1" customHeight="1">
      <c r="A1175" s="492"/>
      <c r="B1175" s="643"/>
      <c r="C1175" s="513"/>
      <c r="D1175" s="514"/>
      <c r="E1175" s="495"/>
      <c r="F1175" s="496"/>
      <c r="G1175" s="646"/>
      <c r="H1175" s="713"/>
      <c r="I1175" s="649"/>
      <c r="J1175" s="650"/>
      <c r="K1175" s="650"/>
      <c r="L1175" s="650"/>
      <c r="M1175" s="651"/>
      <c r="N1175" s="652"/>
      <c r="O1175" s="653"/>
      <c r="P1175" s="654"/>
      <c r="Q1175" s="661"/>
      <c r="R1175" s="662"/>
      <c r="S1175" s="662"/>
      <c r="T1175" s="662"/>
      <c r="U1175" s="663"/>
      <c r="V1175" s="40"/>
      <c r="W1175" s="504"/>
      <c r="X1175" s="504"/>
      <c r="Y1175" s="504"/>
      <c r="Z1175" s="504"/>
      <c r="AA1175" s="504"/>
      <c r="AB1175" s="504"/>
      <c r="AC1175" s="504"/>
      <c r="AD1175" s="504"/>
    </row>
    <row r="1176" spans="1:30" s="505" customFormat="1" ht="41.25" hidden="1" customHeight="1">
      <c r="A1176" s="492"/>
      <c r="B1176" s="643"/>
      <c r="C1176" s="513"/>
      <c r="D1176" s="514"/>
      <c r="E1176" s="664" t="s">
        <v>29</v>
      </c>
      <c r="F1176" s="665"/>
      <c r="G1176" s="665"/>
      <c r="H1176" s="665"/>
      <c r="I1176" s="665"/>
      <c r="J1176" s="665"/>
      <c r="K1176" s="665"/>
      <c r="L1176" s="665"/>
      <c r="M1176" s="666"/>
      <c r="N1176" s="655"/>
      <c r="O1176" s="656"/>
      <c r="P1176" s="657"/>
      <c r="Q1176" s="667"/>
      <c r="R1176" s="668"/>
      <c r="S1176" s="668"/>
      <c r="T1176" s="668"/>
      <c r="U1176" s="669"/>
      <c r="V1176" s="42"/>
      <c r="W1176" s="504"/>
      <c r="X1176" s="504"/>
      <c r="Y1176" s="504"/>
      <c r="Z1176" s="504"/>
      <c r="AA1176" s="504"/>
      <c r="AB1176" s="504"/>
      <c r="AC1176" s="504"/>
      <c r="AD1176" s="504"/>
    </row>
    <row r="1177" spans="1:30" s="505" customFormat="1" ht="41.25" hidden="1" customHeight="1">
      <c r="A1177" s="492"/>
      <c r="B1177" s="643"/>
      <c r="C1177" s="513">
        <v>11</v>
      </c>
      <c r="D1177" s="514"/>
      <c r="E1177" s="670" t="s">
        <v>30</v>
      </c>
      <c r="F1177" s="670"/>
      <c r="G1177" s="670"/>
      <c r="H1177" s="670"/>
      <c r="I1177" s="670"/>
      <c r="J1177" s="670"/>
      <c r="K1177" s="670"/>
      <c r="L1177" s="498">
        <v>378.54</v>
      </c>
      <c r="M1177" s="459">
        <f>L1177</f>
        <v>378.54</v>
      </c>
      <c r="N1177" s="655"/>
      <c r="O1177" s="656"/>
      <c r="P1177" s="657"/>
      <c r="Q1177" s="671"/>
      <c r="R1177" s="672"/>
      <c r="S1177" s="673"/>
      <c r="T1177" s="457">
        <f>H1174*M1177*N1174*O1174*P1174</f>
        <v>0</v>
      </c>
      <c r="U1177" s="458">
        <f>T1177</f>
        <v>0</v>
      </c>
      <c r="V1177" s="42"/>
      <c r="W1177" s="503"/>
      <c r="X1177" s="504"/>
      <c r="Y1177" s="504"/>
      <c r="Z1177" s="503">
        <f>T1177</f>
        <v>0</v>
      </c>
      <c r="AA1177" s="504"/>
      <c r="AB1177" s="504"/>
      <c r="AC1177" s="504"/>
      <c r="AD1177" s="504"/>
    </row>
    <row r="1178" spans="1:30" s="505" customFormat="1" ht="41.25" hidden="1" customHeight="1">
      <c r="A1178" s="492"/>
      <c r="B1178" s="643"/>
      <c r="C1178" s="513"/>
      <c r="D1178" s="514"/>
      <c r="E1178" s="670" t="s">
        <v>31</v>
      </c>
      <c r="F1178" s="670"/>
      <c r="G1178" s="670"/>
      <c r="H1178" s="670"/>
      <c r="I1178" s="670"/>
      <c r="J1178" s="670"/>
      <c r="K1178" s="670"/>
      <c r="L1178" s="498">
        <f>ROUND((I1174+J1174+K1174)*2.14%,2)</f>
        <v>184.06</v>
      </c>
      <c r="M1178" s="459">
        <f>L1178</f>
        <v>184.06</v>
      </c>
      <c r="N1178" s="655"/>
      <c r="O1178" s="656"/>
      <c r="P1178" s="657"/>
      <c r="Q1178" s="671"/>
      <c r="R1178" s="672"/>
      <c r="S1178" s="673"/>
      <c r="T1178" s="457">
        <f>H1174*M1178*N1174*O1174*P1174</f>
        <v>0</v>
      </c>
      <c r="U1178" s="458">
        <f>T1178</f>
        <v>0</v>
      </c>
      <c r="V1178" s="42"/>
      <c r="W1178" s="504"/>
      <c r="X1178" s="503"/>
      <c r="Y1178" s="504"/>
      <c r="Z1178" s="504"/>
      <c r="AA1178" s="503">
        <f>T1178</f>
        <v>0</v>
      </c>
      <c r="AB1178" s="504"/>
      <c r="AC1178" s="504"/>
      <c r="AD1178" s="504"/>
    </row>
    <row r="1179" spans="1:30" s="505" customFormat="1" ht="41.25" hidden="1" customHeight="1">
      <c r="A1179" s="492"/>
      <c r="B1179" s="643"/>
      <c r="C1179" s="515"/>
      <c r="D1179" s="514"/>
      <c r="E1179" s="670" t="s">
        <v>376</v>
      </c>
      <c r="F1179" s="670"/>
      <c r="G1179" s="670"/>
      <c r="H1179" s="670"/>
      <c r="I1179" s="670"/>
      <c r="J1179" s="670"/>
      <c r="K1179" s="670"/>
      <c r="L1179" s="498">
        <f>ROUND((I1174+J1174+K1174+L1177+L1178+L1182)*3%,2)-0.01</f>
        <v>285.48</v>
      </c>
      <c r="M1179" s="459">
        <f>L1179</f>
        <v>285.48</v>
      </c>
      <c r="N1179" s="655"/>
      <c r="O1179" s="656"/>
      <c r="P1179" s="657"/>
      <c r="Q1179" s="671"/>
      <c r="R1179" s="672"/>
      <c r="S1179" s="673"/>
      <c r="T1179" s="457">
        <f>H1174*M1179*N1174*O1174*P1174</f>
        <v>0</v>
      </c>
      <c r="U1179" s="458">
        <f>T1179</f>
        <v>0</v>
      </c>
      <c r="V1179" s="42"/>
      <c r="W1179" s="504"/>
      <c r="X1179" s="504"/>
      <c r="Y1179" s="503"/>
      <c r="Z1179" s="504"/>
      <c r="AA1179" s="504"/>
      <c r="AB1179" s="503">
        <f>T1179</f>
        <v>0</v>
      </c>
      <c r="AC1179" s="504"/>
      <c r="AD1179" s="504"/>
    </row>
    <row r="1180" spans="1:30" s="505" customFormat="1" ht="54.75" hidden="1" customHeight="1">
      <c r="A1180" s="492"/>
      <c r="B1180" s="643"/>
      <c r="C1180" s="515"/>
      <c r="D1180" s="514"/>
      <c r="E1180" s="670" t="s">
        <v>377</v>
      </c>
      <c r="F1180" s="670"/>
      <c r="G1180" s="670"/>
      <c r="H1180" s="670"/>
      <c r="I1180" s="670"/>
      <c r="J1180" s="670"/>
      <c r="K1180" s="670"/>
      <c r="L1180" s="498">
        <f>928.08-K1174-L1177-L1178-L1182</f>
        <v>0</v>
      </c>
      <c r="M1180" s="459">
        <f>L1180</f>
        <v>0</v>
      </c>
      <c r="N1180" s="655"/>
      <c r="O1180" s="656"/>
      <c r="P1180" s="657"/>
      <c r="Q1180" s="671"/>
      <c r="R1180" s="672"/>
      <c r="S1180" s="673"/>
      <c r="T1180" s="457">
        <f>H1174*M1180*N1174*O1174*P1174</f>
        <v>0</v>
      </c>
      <c r="U1180" s="458">
        <f>T1180</f>
        <v>0</v>
      </c>
      <c r="V1180" s="42"/>
      <c r="W1180" s="504"/>
      <c r="X1180" s="504"/>
      <c r="Y1180" s="504"/>
      <c r="Z1180" s="506"/>
      <c r="AA1180" s="504"/>
      <c r="AB1180" s="504"/>
      <c r="AC1180" s="506">
        <f>T1180</f>
        <v>0</v>
      </c>
      <c r="AD1180" s="504"/>
    </row>
    <row r="1181" spans="1:30" s="505" customFormat="1" ht="45" hidden="1" customHeight="1">
      <c r="A1181" s="492"/>
      <c r="B1181" s="643"/>
      <c r="C1181" s="515"/>
      <c r="D1181" s="514"/>
      <c r="E1181" s="674"/>
      <c r="F1181" s="675"/>
      <c r="G1181" s="675"/>
      <c r="H1181" s="675"/>
      <c r="I1181" s="675"/>
      <c r="J1181" s="675"/>
      <c r="K1181" s="675"/>
      <c r="L1181" s="675"/>
      <c r="M1181" s="676"/>
      <c r="N1181" s="655"/>
      <c r="O1181" s="656"/>
      <c r="P1181" s="657"/>
      <c r="Q1181" s="677"/>
      <c r="R1181" s="678"/>
      <c r="S1181" s="678"/>
      <c r="T1181" s="678"/>
      <c r="U1181" s="679"/>
      <c r="V1181" s="45"/>
      <c r="W1181" s="504"/>
      <c r="X1181" s="504"/>
      <c r="Y1181" s="504"/>
      <c r="Z1181" s="504"/>
      <c r="AA1181" s="506"/>
      <c r="AB1181" s="504"/>
      <c r="AC1181" s="504"/>
      <c r="AD1181" s="504"/>
    </row>
    <row r="1182" spans="1:30" s="505" customFormat="1" ht="45" hidden="1" customHeight="1" thickBot="1">
      <c r="A1182" s="492"/>
      <c r="B1182" s="644"/>
      <c r="C1182" s="516"/>
      <c r="D1182" s="517"/>
      <c r="E1182" s="680" t="s">
        <v>369</v>
      </c>
      <c r="F1182" s="680" t="s">
        <v>306</v>
      </c>
      <c r="G1182" s="680"/>
      <c r="H1182" s="680"/>
      <c r="I1182" s="680"/>
      <c r="J1182" s="680"/>
      <c r="K1182" s="680"/>
      <c r="L1182" s="499">
        <f>ROUND((I1174+J1174+K1174+L1177)*3.93%,2)</f>
        <v>352.89</v>
      </c>
      <c r="M1182" s="46">
        <f>L1182</f>
        <v>352.89</v>
      </c>
      <c r="N1182" s="658"/>
      <c r="O1182" s="659"/>
      <c r="P1182" s="660"/>
      <c r="Q1182" s="681"/>
      <c r="R1182" s="682"/>
      <c r="S1182" s="683"/>
      <c r="T1182" s="500">
        <f>H1174*M1182*N1174*O1174*P1174</f>
        <v>0</v>
      </c>
      <c r="U1182" s="47">
        <f>T1182</f>
        <v>0</v>
      </c>
      <c r="V1182" s="48"/>
      <c r="W1182" s="504"/>
      <c r="X1182" s="504"/>
      <c r="Y1182" s="504"/>
      <c r="Z1182" s="504"/>
      <c r="AA1182" s="504"/>
      <c r="AB1182" s="506"/>
      <c r="AC1182" s="504"/>
      <c r="AD1182" s="506">
        <f>T1182</f>
        <v>0</v>
      </c>
    </row>
    <row r="1183" spans="1:30" s="505" customFormat="1" ht="150" hidden="1" customHeight="1">
      <c r="A1183" s="492"/>
      <c r="B1183" s="642">
        <v>2</v>
      </c>
      <c r="C1183" s="511">
        <v>1</v>
      </c>
      <c r="D1183" s="512"/>
      <c r="E1183" s="493" t="s">
        <v>609</v>
      </c>
      <c r="F1183" s="487" t="s">
        <v>610</v>
      </c>
      <c r="G1183" s="645" t="s">
        <v>357</v>
      </c>
      <c r="H1183" s="712">
        <v>0</v>
      </c>
      <c r="I1183" s="494">
        <v>0</v>
      </c>
      <c r="J1183" s="494">
        <v>9234.52</v>
      </c>
      <c r="K1183" s="494">
        <v>12.59</v>
      </c>
      <c r="L1183" s="494">
        <f>SUM(L1185:L1191)</f>
        <v>1262.1500000000001</v>
      </c>
      <c r="M1183" s="33">
        <f>SUM(I1183:L1183)</f>
        <v>10509.26</v>
      </c>
      <c r="N1183" s="501">
        <v>1</v>
      </c>
      <c r="O1183" s="502">
        <v>1</v>
      </c>
      <c r="P1183" s="37">
        <v>1</v>
      </c>
      <c r="Q1183" s="34">
        <f>H1183*I1183*N1183*O1183*P1183</f>
        <v>0</v>
      </c>
      <c r="R1183" s="35">
        <f>H1183*J1183*N1183*O1183*P1183</f>
        <v>0</v>
      </c>
      <c r="S1183" s="36">
        <f>H1183*K1183*N1183*O1183*P1183</f>
        <v>0</v>
      </c>
      <c r="T1183" s="36">
        <f>H1183*L1183*N1183*O1183*P1183</f>
        <v>0</v>
      </c>
      <c r="U1183" s="37">
        <f>SUM(Q1183:T1183)</f>
        <v>0</v>
      </c>
      <c r="V1183" s="38">
        <f>(Q1183+R1183+S1183+T1187+T1188+T1189+T1191)*'Прогнозная стоимость РСС ИП '!$M$11+T1186*'Прогнозная стоимость РСС ИП '!$M$10</f>
        <v>0</v>
      </c>
      <c r="W1183" s="503">
        <f>T1183</f>
        <v>0</v>
      </c>
      <c r="X1183" s="503">
        <f>U1183</f>
        <v>0</v>
      </c>
      <c r="Y1183" s="503">
        <f>V1183</f>
        <v>0</v>
      </c>
      <c r="Z1183" s="504"/>
      <c r="AA1183" s="504"/>
      <c r="AB1183" s="504"/>
      <c r="AC1183" s="504"/>
      <c r="AD1183" s="504"/>
    </row>
    <row r="1184" spans="1:30" s="505" customFormat="1" ht="41.25" hidden="1" customHeight="1">
      <c r="A1184" s="492"/>
      <c r="B1184" s="643"/>
      <c r="C1184" s="513"/>
      <c r="D1184" s="514"/>
      <c r="E1184" s="495"/>
      <c r="F1184" s="496"/>
      <c r="G1184" s="646"/>
      <c r="H1184" s="713"/>
      <c r="I1184" s="649"/>
      <c r="J1184" s="650"/>
      <c r="K1184" s="650"/>
      <c r="L1184" s="650"/>
      <c r="M1184" s="651"/>
      <c r="N1184" s="652"/>
      <c r="O1184" s="653"/>
      <c r="P1184" s="654"/>
      <c r="Q1184" s="661"/>
      <c r="R1184" s="662"/>
      <c r="S1184" s="662"/>
      <c r="T1184" s="662"/>
      <c r="U1184" s="663"/>
      <c r="V1184" s="40"/>
      <c r="W1184" s="504"/>
      <c r="X1184" s="504"/>
      <c r="Y1184" s="504"/>
      <c r="Z1184" s="504"/>
      <c r="AA1184" s="504"/>
      <c r="AB1184" s="504"/>
      <c r="AC1184" s="504"/>
      <c r="AD1184" s="504"/>
    </row>
    <row r="1185" spans="1:30" s="505" customFormat="1" ht="41.25" hidden="1" customHeight="1">
      <c r="A1185" s="492"/>
      <c r="B1185" s="643"/>
      <c r="C1185" s="513"/>
      <c r="D1185" s="514"/>
      <c r="E1185" s="664" t="s">
        <v>29</v>
      </c>
      <c r="F1185" s="665"/>
      <c r="G1185" s="665"/>
      <c r="H1185" s="665"/>
      <c r="I1185" s="665"/>
      <c r="J1185" s="665"/>
      <c r="K1185" s="665"/>
      <c r="L1185" s="665"/>
      <c r="M1185" s="666"/>
      <c r="N1185" s="655"/>
      <c r="O1185" s="656"/>
      <c r="P1185" s="657"/>
      <c r="Q1185" s="667"/>
      <c r="R1185" s="668"/>
      <c r="S1185" s="668"/>
      <c r="T1185" s="668"/>
      <c r="U1185" s="669"/>
      <c r="V1185" s="42"/>
      <c r="W1185" s="504"/>
      <c r="X1185" s="504"/>
      <c r="Y1185" s="504"/>
      <c r="Z1185" s="504"/>
      <c r="AA1185" s="504"/>
      <c r="AB1185" s="504"/>
      <c r="AC1185" s="504"/>
      <c r="AD1185" s="504"/>
    </row>
    <row r="1186" spans="1:30" s="505" customFormat="1" ht="41.25" hidden="1" customHeight="1">
      <c r="A1186" s="492"/>
      <c r="B1186" s="643"/>
      <c r="C1186" s="513">
        <v>11</v>
      </c>
      <c r="D1186" s="514"/>
      <c r="E1186" s="670" t="s">
        <v>30</v>
      </c>
      <c r="F1186" s="670"/>
      <c r="G1186" s="670"/>
      <c r="H1186" s="670"/>
      <c r="I1186" s="670"/>
      <c r="J1186" s="670"/>
      <c r="K1186" s="670"/>
      <c r="L1186" s="498">
        <v>379.83</v>
      </c>
      <c r="M1186" s="459">
        <f>L1186</f>
        <v>379.83</v>
      </c>
      <c r="N1186" s="655"/>
      <c r="O1186" s="656"/>
      <c r="P1186" s="657"/>
      <c r="Q1186" s="671"/>
      <c r="R1186" s="672"/>
      <c r="S1186" s="673"/>
      <c r="T1186" s="457">
        <f>H1183*M1186*N1183*O1183*P1183</f>
        <v>0</v>
      </c>
      <c r="U1186" s="458">
        <f>T1186</f>
        <v>0</v>
      </c>
      <c r="V1186" s="42"/>
      <c r="W1186" s="503"/>
      <c r="X1186" s="504"/>
      <c r="Y1186" s="504"/>
      <c r="Z1186" s="503">
        <f>T1186</f>
        <v>0</v>
      </c>
      <c r="AA1186" s="504"/>
      <c r="AB1186" s="504"/>
      <c r="AC1186" s="504"/>
      <c r="AD1186" s="504"/>
    </row>
    <row r="1187" spans="1:30" s="505" customFormat="1" ht="41.25" hidden="1" customHeight="1">
      <c r="A1187" s="492"/>
      <c r="B1187" s="643"/>
      <c r="C1187" s="513"/>
      <c r="D1187" s="514"/>
      <c r="E1187" s="670" t="s">
        <v>31</v>
      </c>
      <c r="F1187" s="670"/>
      <c r="G1187" s="670"/>
      <c r="H1187" s="670"/>
      <c r="I1187" s="670"/>
      <c r="J1187" s="670"/>
      <c r="K1187" s="670"/>
      <c r="L1187" s="498">
        <f>ROUND((I1183+J1183+K1183)*2.14%,2)</f>
        <v>197.89</v>
      </c>
      <c r="M1187" s="459">
        <f>L1187</f>
        <v>197.89</v>
      </c>
      <c r="N1187" s="655"/>
      <c r="O1187" s="656"/>
      <c r="P1187" s="657"/>
      <c r="Q1187" s="671"/>
      <c r="R1187" s="672"/>
      <c r="S1187" s="673"/>
      <c r="T1187" s="457">
        <f>H1183*M1187*N1183*O1183*P1183</f>
        <v>0</v>
      </c>
      <c r="U1187" s="458">
        <f>T1187</f>
        <v>0</v>
      </c>
      <c r="V1187" s="42"/>
      <c r="W1187" s="504"/>
      <c r="X1187" s="503"/>
      <c r="Y1187" s="504"/>
      <c r="Z1187" s="504"/>
      <c r="AA1187" s="503">
        <f>T1187</f>
        <v>0</v>
      </c>
      <c r="AB1187" s="504"/>
      <c r="AC1187" s="504"/>
      <c r="AD1187" s="504"/>
    </row>
    <row r="1188" spans="1:30" s="505" customFormat="1" ht="41.25" hidden="1" customHeight="1">
      <c r="A1188" s="492"/>
      <c r="B1188" s="643"/>
      <c r="C1188" s="515"/>
      <c r="D1188" s="514"/>
      <c r="E1188" s="670" t="s">
        <v>376</v>
      </c>
      <c r="F1188" s="670"/>
      <c r="G1188" s="670"/>
      <c r="H1188" s="670"/>
      <c r="I1188" s="670"/>
      <c r="J1188" s="670"/>
      <c r="K1188" s="670"/>
      <c r="L1188" s="498">
        <f>ROUND((I1183+J1183+K1183+L1186+L1187+L1191)*3%,2)-0.01</f>
        <v>306.09000000000003</v>
      </c>
      <c r="M1188" s="459">
        <f>L1188</f>
        <v>306.09000000000003</v>
      </c>
      <c r="N1188" s="655"/>
      <c r="O1188" s="656"/>
      <c r="P1188" s="657"/>
      <c r="Q1188" s="671"/>
      <c r="R1188" s="672"/>
      <c r="S1188" s="673"/>
      <c r="T1188" s="457">
        <f>H1183*M1188*N1183*O1183*P1183</f>
        <v>0</v>
      </c>
      <c r="U1188" s="458">
        <f>T1188</f>
        <v>0</v>
      </c>
      <c r="V1188" s="42"/>
      <c r="W1188" s="504"/>
      <c r="X1188" s="504"/>
      <c r="Y1188" s="503"/>
      <c r="Z1188" s="504"/>
      <c r="AA1188" s="504"/>
      <c r="AB1188" s="503">
        <f>T1188</f>
        <v>0</v>
      </c>
      <c r="AC1188" s="504"/>
      <c r="AD1188" s="504"/>
    </row>
    <row r="1189" spans="1:30" s="505" customFormat="1" ht="54.75" hidden="1" customHeight="1">
      <c r="A1189" s="492"/>
      <c r="B1189" s="643"/>
      <c r="C1189" s="515"/>
      <c r="D1189" s="514"/>
      <c r="E1189" s="670" t="s">
        <v>377</v>
      </c>
      <c r="F1189" s="670"/>
      <c r="G1189" s="670"/>
      <c r="H1189" s="670"/>
      <c r="I1189" s="670"/>
      <c r="J1189" s="670"/>
      <c r="K1189" s="670"/>
      <c r="L1189" s="498">
        <f>968.65-K1183-L1186-L1187-L1191</f>
        <v>0</v>
      </c>
      <c r="M1189" s="459">
        <f>L1189</f>
        <v>0</v>
      </c>
      <c r="N1189" s="655"/>
      <c r="O1189" s="656"/>
      <c r="P1189" s="657"/>
      <c r="Q1189" s="671"/>
      <c r="R1189" s="672"/>
      <c r="S1189" s="673"/>
      <c r="T1189" s="457">
        <f>H1183*M1189*N1183*O1183*P1183</f>
        <v>0</v>
      </c>
      <c r="U1189" s="458">
        <f>T1189</f>
        <v>0</v>
      </c>
      <c r="V1189" s="42"/>
      <c r="W1189" s="504"/>
      <c r="X1189" s="504"/>
      <c r="Y1189" s="504"/>
      <c r="Z1189" s="506"/>
      <c r="AA1189" s="504"/>
      <c r="AB1189" s="504"/>
      <c r="AC1189" s="506">
        <f>T1189</f>
        <v>0</v>
      </c>
      <c r="AD1189" s="504"/>
    </row>
    <row r="1190" spans="1:30" s="505" customFormat="1" ht="45" hidden="1" customHeight="1">
      <c r="A1190" s="492"/>
      <c r="B1190" s="643"/>
      <c r="C1190" s="515"/>
      <c r="D1190" s="514"/>
      <c r="E1190" s="674"/>
      <c r="F1190" s="675"/>
      <c r="G1190" s="675"/>
      <c r="H1190" s="675"/>
      <c r="I1190" s="675"/>
      <c r="J1190" s="675"/>
      <c r="K1190" s="675"/>
      <c r="L1190" s="675"/>
      <c r="M1190" s="676"/>
      <c r="N1190" s="655"/>
      <c r="O1190" s="656"/>
      <c r="P1190" s="657"/>
      <c r="Q1190" s="677"/>
      <c r="R1190" s="678"/>
      <c r="S1190" s="678"/>
      <c r="T1190" s="678"/>
      <c r="U1190" s="679"/>
      <c r="V1190" s="45"/>
      <c r="W1190" s="504"/>
      <c r="X1190" s="504"/>
      <c r="Y1190" s="504"/>
      <c r="Z1190" s="504"/>
      <c r="AA1190" s="506"/>
      <c r="AB1190" s="504"/>
      <c r="AC1190" s="504"/>
      <c r="AD1190" s="504"/>
    </row>
    <row r="1191" spans="1:30" s="505" customFormat="1" ht="45" hidden="1" customHeight="1" thickBot="1">
      <c r="A1191" s="492"/>
      <c r="B1191" s="644"/>
      <c r="C1191" s="516"/>
      <c r="D1191" s="517"/>
      <c r="E1191" s="680" t="s">
        <v>369</v>
      </c>
      <c r="F1191" s="680" t="s">
        <v>306</v>
      </c>
      <c r="G1191" s="680"/>
      <c r="H1191" s="680"/>
      <c r="I1191" s="680"/>
      <c r="J1191" s="680"/>
      <c r="K1191" s="680"/>
      <c r="L1191" s="499">
        <f>ROUND((I1183+J1183+K1183+L1186)*3.93%,2)</f>
        <v>378.34</v>
      </c>
      <c r="M1191" s="46">
        <f>L1191</f>
        <v>378.34</v>
      </c>
      <c r="N1191" s="658"/>
      <c r="O1191" s="659"/>
      <c r="P1191" s="660"/>
      <c r="Q1191" s="681"/>
      <c r="R1191" s="682"/>
      <c r="S1191" s="683"/>
      <c r="T1191" s="500">
        <f>H1183*M1191*N1183*O1183*P1183</f>
        <v>0</v>
      </c>
      <c r="U1191" s="47">
        <f>T1191</f>
        <v>0</v>
      </c>
      <c r="V1191" s="48"/>
      <c r="W1191" s="504"/>
      <c r="X1191" s="504"/>
      <c r="Y1191" s="504"/>
      <c r="Z1191" s="504"/>
      <c r="AA1191" s="504"/>
      <c r="AB1191" s="506"/>
      <c r="AC1191" s="504"/>
      <c r="AD1191" s="506">
        <f>T1191</f>
        <v>0</v>
      </c>
    </row>
    <row r="1192" spans="1:30" s="505" customFormat="1" ht="150" hidden="1" customHeight="1">
      <c r="A1192" s="492"/>
      <c r="B1192" s="642">
        <v>2</v>
      </c>
      <c r="C1192" s="511">
        <v>1</v>
      </c>
      <c r="D1192" s="512"/>
      <c r="E1192" s="493" t="s">
        <v>611</v>
      </c>
      <c r="F1192" s="487" t="s">
        <v>612</v>
      </c>
      <c r="G1192" s="645" t="s">
        <v>357</v>
      </c>
      <c r="H1192" s="712">
        <v>0</v>
      </c>
      <c r="I1192" s="494">
        <v>0</v>
      </c>
      <c r="J1192" s="494">
        <v>9823.6200000000008</v>
      </c>
      <c r="K1192" s="494">
        <v>12.59</v>
      </c>
      <c r="L1192" s="494">
        <f>SUM(L1194:L1200)</f>
        <v>1317.92</v>
      </c>
      <c r="M1192" s="33">
        <f>SUM(I1192:L1192)</f>
        <v>11154.130000000001</v>
      </c>
      <c r="N1192" s="501">
        <v>1</v>
      </c>
      <c r="O1192" s="502">
        <v>1</v>
      </c>
      <c r="P1192" s="37">
        <v>1</v>
      </c>
      <c r="Q1192" s="34">
        <f>H1192*I1192*N1192*O1192*P1192</f>
        <v>0</v>
      </c>
      <c r="R1192" s="35">
        <f>H1192*J1192*N1192*O1192*P1192</f>
        <v>0</v>
      </c>
      <c r="S1192" s="36">
        <f>H1192*K1192*N1192*O1192*P1192</f>
        <v>0</v>
      </c>
      <c r="T1192" s="36">
        <f>H1192*L1192*N1192*O1192*P1192</f>
        <v>0</v>
      </c>
      <c r="U1192" s="37">
        <f>SUM(Q1192:T1192)</f>
        <v>0</v>
      </c>
      <c r="V1192" s="38">
        <f>(Q1192+R1192+S1192+T1196+T1197+T1198+T1200)*'Прогнозная стоимость РСС ИП '!$M$11+T1195*'Прогнозная стоимость РСС ИП '!$M$10</f>
        <v>0</v>
      </c>
      <c r="W1192" s="503">
        <f>T1192</f>
        <v>0</v>
      </c>
      <c r="X1192" s="503">
        <f>U1192</f>
        <v>0</v>
      </c>
      <c r="Y1192" s="503">
        <f>V1192</f>
        <v>0</v>
      </c>
      <c r="Z1192" s="504"/>
      <c r="AA1192" s="504"/>
      <c r="AB1192" s="504"/>
      <c r="AC1192" s="504"/>
      <c r="AD1192" s="504"/>
    </row>
    <row r="1193" spans="1:30" s="505" customFormat="1" ht="41.25" hidden="1" customHeight="1">
      <c r="A1193" s="492"/>
      <c r="B1193" s="643"/>
      <c r="C1193" s="513"/>
      <c r="D1193" s="514"/>
      <c r="E1193" s="495"/>
      <c r="F1193" s="496"/>
      <c r="G1193" s="646"/>
      <c r="H1193" s="713"/>
      <c r="I1193" s="649"/>
      <c r="J1193" s="650"/>
      <c r="K1193" s="650"/>
      <c r="L1193" s="650"/>
      <c r="M1193" s="651"/>
      <c r="N1193" s="652"/>
      <c r="O1193" s="653"/>
      <c r="P1193" s="654"/>
      <c r="Q1193" s="661"/>
      <c r="R1193" s="662"/>
      <c r="S1193" s="662"/>
      <c r="T1193" s="662"/>
      <c r="U1193" s="663"/>
      <c r="V1193" s="40"/>
      <c r="W1193" s="504"/>
      <c r="X1193" s="504"/>
      <c r="Y1193" s="504"/>
      <c r="Z1193" s="504"/>
      <c r="AA1193" s="504"/>
      <c r="AB1193" s="504"/>
      <c r="AC1193" s="504"/>
      <c r="AD1193" s="504"/>
    </row>
    <row r="1194" spans="1:30" s="505" customFormat="1" ht="41.25" hidden="1" customHeight="1">
      <c r="A1194" s="492"/>
      <c r="B1194" s="643"/>
      <c r="C1194" s="513"/>
      <c r="D1194" s="514"/>
      <c r="E1194" s="664" t="s">
        <v>29</v>
      </c>
      <c r="F1194" s="665"/>
      <c r="G1194" s="665"/>
      <c r="H1194" s="665"/>
      <c r="I1194" s="665"/>
      <c r="J1194" s="665"/>
      <c r="K1194" s="665"/>
      <c r="L1194" s="665"/>
      <c r="M1194" s="666"/>
      <c r="N1194" s="655"/>
      <c r="O1194" s="656"/>
      <c r="P1194" s="657"/>
      <c r="Q1194" s="667"/>
      <c r="R1194" s="668"/>
      <c r="S1194" s="668"/>
      <c r="T1194" s="668"/>
      <c r="U1194" s="669"/>
      <c r="V1194" s="42"/>
      <c r="W1194" s="504"/>
      <c r="X1194" s="504"/>
      <c r="Y1194" s="504"/>
      <c r="Z1194" s="504"/>
      <c r="AA1194" s="504"/>
      <c r="AB1194" s="504"/>
      <c r="AC1194" s="504"/>
      <c r="AD1194" s="504"/>
    </row>
    <row r="1195" spans="1:30" s="505" customFormat="1" ht="41.25" hidden="1" customHeight="1">
      <c r="A1195" s="492"/>
      <c r="B1195" s="643"/>
      <c r="C1195" s="513">
        <v>11</v>
      </c>
      <c r="D1195" s="514"/>
      <c r="E1195" s="670" t="s">
        <v>30</v>
      </c>
      <c r="F1195" s="670"/>
      <c r="G1195" s="670"/>
      <c r="H1195" s="670"/>
      <c r="I1195" s="670"/>
      <c r="J1195" s="670"/>
      <c r="K1195" s="670"/>
      <c r="L1195" s="498">
        <v>381.01</v>
      </c>
      <c r="M1195" s="459">
        <f>L1195</f>
        <v>381.01</v>
      </c>
      <c r="N1195" s="655"/>
      <c r="O1195" s="656"/>
      <c r="P1195" s="657"/>
      <c r="Q1195" s="671"/>
      <c r="R1195" s="672"/>
      <c r="S1195" s="673"/>
      <c r="T1195" s="457">
        <f>H1192*M1195*N1192*O1192*P1192</f>
        <v>0</v>
      </c>
      <c r="U1195" s="458">
        <f>T1195</f>
        <v>0</v>
      </c>
      <c r="V1195" s="42"/>
      <c r="W1195" s="503"/>
      <c r="X1195" s="504"/>
      <c r="Y1195" s="504"/>
      <c r="Z1195" s="503">
        <f>T1195</f>
        <v>0</v>
      </c>
      <c r="AA1195" s="504"/>
      <c r="AB1195" s="504"/>
      <c r="AC1195" s="504"/>
      <c r="AD1195" s="504"/>
    </row>
    <row r="1196" spans="1:30" s="505" customFormat="1" ht="41.25" hidden="1" customHeight="1">
      <c r="A1196" s="492"/>
      <c r="B1196" s="643"/>
      <c r="C1196" s="513"/>
      <c r="D1196" s="514"/>
      <c r="E1196" s="670" t="s">
        <v>31</v>
      </c>
      <c r="F1196" s="670"/>
      <c r="G1196" s="670"/>
      <c r="H1196" s="670"/>
      <c r="I1196" s="670"/>
      <c r="J1196" s="670"/>
      <c r="K1196" s="670"/>
      <c r="L1196" s="498">
        <f>ROUND((I1192+J1192+K1192)*2.14%,2)</f>
        <v>210.49</v>
      </c>
      <c r="M1196" s="459">
        <f>L1196</f>
        <v>210.49</v>
      </c>
      <c r="N1196" s="655"/>
      <c r="O1196" s="656"/>
      <c r="P1196" s="657"/>
      <c r="Q1196" s="671"/>
      <c r="R1196" s="672"/>
      <c r="S1196" s="673"/>
      <c r="T1196" s="457">
        <f>H1192*M1196*N1192*O1192*P1192</f>
        <v>0</v>
      </c>
      <c r="U1196" s="458">
        <f>T1196</f>
        <v>0</v>
      </c>
      <c r="V1196" s="42"/>
      <c r="W1196" s="504"/>
      <c r="X1196" s="503"/>
      <c r="Y1196" s="504"/>
      <c r="Z1196" s="504"/>
      <c r="AA1196" s="503">
        <f>T1196</f>
        <v>0</v>
      </c>
      <c r="AB1196" s="504"/>
      <c r="AC1196" s="504"/>
      <c r="AD1196" s="504"/>
    </row>
    <row r="1197" spans="1:30" s="505" customFormat="1" ht="41.25" hidden="1" customHeight="1">
      <c r="A1197" s="492"/>
      <c r="B1197" s="643"/>
      <c r="C1197" s="515"/>
      <c r="D1197" s="514"/>
      <c r="E1197" s="670" t="s">
        <v>376</v>
      </c>
      <c r="F1197" s="670"/>
      <c r="G1197" s="670"/>
      <c r="H1197" s="670"/>
      <c r="I1197" s="670"/>
      <c r="J1197" s="670"/>
      <c r="K1197" s="670"/>
      <c r="L1197" s="498">
        <f>ROUND((I1192+J1192+K1192+L1195+L1196+L1200)*3%,2)</f>
        <v>324.88</v>
      </c>
      <c r="M1197" s="459">
        <f>L1197</f>
        <v>324.88</v>
      </c>
      <c r="N1197" s="655"/>
      <c r="O1197" s="656"/>
      <c r="P1197" s="657"/>
      <c r="Q1197" s="671"/>
      <c r="R1197" s="672"/>
      <c r="S1197" s="673"/>
      <c r="T1197" s="457">
        <f>H1192*M1197*N1192*O1192*P1192</f>
        <v>0</v>
      </c>
      <c r="U1197" s="458">
        <f>T1197</f>
        <v>0</v>
      </c>
      <c r="V1197" s="42"/>
      <c r="W1197" s="504"/>
      <c r="X1197" s="504"/>
      <c r="Y1197" s="503"/>
      <c r="Z1197" s="504"/>
      <c r="AA1197" s="504"/>
      <c r="AB1197" s="503">
        <f>T1197</f>
        <v>0</v>
      </c>
      <c r="AC1197" s="504"/>
      <c r="AD1197" s="504"/>
    </row>
    <row r="1198" spans="1:30" s="505" customFormat="1" ht="54.75" hidden="1" customHeight="1">
      <c r="A1198" s="492"/>
      <c r="B1198" s="643"/>
      <c r="C1198" s="515"/>
      <c r="D1198" s="514"/>
      <c r="E1198" s="670" t="s">
        <v>377</v>
      </c>
      <c r="F1198" s="670"/>
      <c r="G1198" s="670"/>
      <c r="H1198" s="670"/>
      <c r="I1198" s="670"/>
      <c r="J1198" s="670"/>
      <c r="K1198" s="670"/>
      <c r="L1198" s="498">
        <f>1005.63-K1192-L1195-L1196-L1200</f>
        <v>0</v>
      </c>
      <c r="M1198" s="459">
        <f>L1198</f>
        <v>0</v>
      </c>
      <c r="N1198" s="655"/>
      <c r="O1198" s="656"/>
      <c r="P1198" s="657"/>
      <c r="Q1198" s="671"/>
      <c r="R1198" s="672"/>
      <c r="S1198" s="673"/>
      <c r="T1198" s="457">
        <f>H1192*M1198*N1192*O1192*P1192</f>
        <v>0</v>
      </c>
      <c r="U1198" s="458">
        <f>T1198</f>
        <v>0</v>
      </c>
      <c r="V1198" s="42"/>
      <c r="W1198" s="504"/>
      <c r="X1198" s="504"/>
      <c r="Y1198" s="504"/>
      <c r="Z1198" s="506"/>
      <c r="AA1198" s="504"/>
      <c r="AB1198" s="504"/>
      <c r="AC1198" s="506">
        <f>T1198</f>
        <v>0</v>
      </c>
      <c r="AD1198" s="504"/>
    </row>
    <row r="1199" spans="1:30" s="505" customFormat="1" ht="45" hidden="1" customHeight="1">
      <c r="A1199" s="492"/>
      <c r="B1199" s="643"/>
      <c r="C1199" s="515"/>
      <c r="D1199" s="514"/>
      <c r="E1199" s="674"/>
      <c r="F1199" s="675"/>
      <c r="G1199" s="675"/>
      <c r="H1199" s="675"/>
      <c r="I1199" s="675"/>
      <c r="J1199" s="675"/>
      <c r="K1199" s="675"/>
      <c r="L1199" s="675"/>
      <c r="M1199" s="676"/>
      <c r="N1199" s="655"/>
      <c r="O1199" s="656"/>
      <c r="P1199" s="657"/>
      <c r="Q1199" s="677"/>
      <c r="R1199" s="678"/>
      <c r="S1199" s="678"/>
      <c r="T1199" s="678"/>
      <c r="U1199" s="679"/>
      <c r="V1199" s="45"/>
      <c r="W1199" s="504"/>
      <c r="X1199" s="504"/>
      <c r="Y1199" s="504"/>
      <c r="Z1199" s="504"/>
      <c r="AA1199" s="506"/>
      <c r="AB1199" s="504"/>
      <c r="AC1199" s="504"/>
      <c r="AD1199" s="504"/>
    </row>
    <row r="1200" spans="1:30" s="505" customFormat="1" ht="45" hidden="1" customHeight="1" thickBot="1">
      <c r="A1200" s="492"/>
      <c r="B1200" s="644"/>
      <c r="C1200" s="516"/>
      <c r="D1200" s="517"/>
      <c r="E1200" s="680" t="s">
        <v>369</v>
      </c>
      <c r="F1200" s="680" t="s">
        <v>306</v>
      </c>
      <c r="G1200" s="680"/>
      <c r="H1200" s="680"/>
      <c r="I1200" s="680"/>
      <c r="J1200" s="680"/>
      <c r="K1200" s="680"/>
      <c r="L1200" s="499">
        <f>ROUND((I1192+J1192+K1192+L1195)*3.93%,2)</f>
        <v>401.54</v>
      </c>
      <c r="M1200" s="46">
        <f>L1200</f>
        <v>401.54</v>
      </c>
      <c r="N1200" s="658"/>
      <c r="O1200" s="659"/>
      <c r="P1200" s="660"/>
      <c r="Q1200" s="681"/>
      <c r="R1200" s="682"/>
      <c r="S1200" s="683"/>
      <c r="T1200" s="500">
        <f>H1192*M1200*N1192*O1192*P1192</f>
        <v>0</v>
      </c>
      <c r="U1200" s="47">
        <f>T1200</f>
        <v>0</v>
      </c>
      <c r="V1200" s="48"/>
      <c r="W1200" s="504"/>
      <c r="X1200" s="504"/>
      <c r="Y1200" s="504"/>
      <c r="Z1200" s="504"/>
      <c r="AA1200" s="504"/>
      <c r="AB1200" s="506"/>
      <c r="AC1200" s="504"/>
      <c r="AD1200" s="506">
        <f>T1200</f>
        <v>0</v>
      </c>
    </row>
    <row r="1201" spans="1:30" s="505" customFormat="1" ht="150" hidden="1" customHeight="1">
      <c r="A1201" s="492"/>
      <c r="B1201" s="642">
        <v>2</v>
      </c>
      <c r="C1201" s="511">
        <v>1</v>
      </c>
      <c r="D1201" s="512"/>
      <c r="E1201" s="493" t="s">
        <v>613</v>
      </c>
      <c r="F1201" s="487" t="s">
        <v>614</v>
      </c>
      <c r="G1201" s="645" t="s">
        <v>357</v>
      </c>
      <c r="H1201" s="712">
        <v>0</v>
      </c>
      <c r="I1201" s="494">
        <v>0</v>
      </c>
      <c r="J1201" s="494">
        <v>11788.83</v>
      </c>
      <c r="K1201" s="494">
        <v>12.59</v>
      </c>
      <c r="L1201" s="494">
        <f>SUM(L1203:L1209)</f>
        <v>1503.95</v>
      </c>
      <c r="M1201" s="33">
        <f>SUM(I1201:L1201)</f>
        <v>13305.37</v>
      </c>
      <c r="N1201" s="501">
        <v>1</v>
      </c>
      <c r="O1201" s="502">
        <v>1</v>
      </c>
      <c r="P1201" s="37">
        <v>1</v>
      </c>
      <c r="Q1201" s="34">
        <f>H1201*I1201*N1201*O1201*P1201</f>
        <v>0</v>
      </c>
      <c r="R1201" s="35">
        <f>H1201*J1201*N1201*O1201*P1201</f>
        <v>0</v>
      </c>
      <c r="S1201" s="36">
        <f>H1201*K1201*N1201*O1201*P1201</f>
        <v>0</v>
      </c>
      <c r="T1201" s="36">
        <f>H1201*L1201*N1201*O1201*P1201</f>
        <v>0</v>
      </c>
      <c r="U1201" s="37">
        <f>SUM(Q1201:T1201)</f>
        <v>0</v>
      </c>
      <c r="V1201" s="38">
        <f>(Q1201+R1201+S1201+T1205+T1206+T1207+T1209)*'Прогнозная стоимость РСС ИП '!$M$11+T1204*'Прогнозная стоимость РСС ИП '!$M$10</f>
        <v>0</v>
      </c>
      <c r="W1201" s="503">
        <f>T1201</f>
        <v>0</v>
      </c>
      <c r="X1201" s="503">
        <f>U1201</f>
        <v>0</v>
      </c>
      <c r="Y1201" s="503">
        <f>V1201</f>
        <v>0</v>
      </c>
      <c r="Z1201" s="504"/>
      <c r="AA1201" s="504"/>
      <c r="AB1201" s="504"/>
      <c r="AC1201" s="504"/>
      <c r="AD1201" s="504"/>
    </row>
    <row r="1202" spans="1:30" s="505" customFormat="1" ht="41.25" hidden="1" customHeight="1">
      <c r="A1202" s="492"/>
      <c r="B1202" s="643"/>
      <c r="C1202" s="513"/>
      <c r="D1202" s="514"/>
      <c r="E1202" s="495"/>
      <c r="F1202" s="496"/>
      <c r="G1202" s="646"/>
      <c r="H1202" s="713"/>
      <c r="I1202" s="649"/>
      <c r="J1202" s="650"/>
      <c r="K1202" s="650"/>
      <c r="L1202" s="650"/>
      <c r="M1202" s="651"/>
      <c r="N1202" s="652"/>
      <c r="O1202" s="653"/>
      <c r="P1202" s="654"/>
      <c r="Q1202" s="661"/>
      <c r="R1202" s="662"/>
      <c r="S1202" s="662"/>
      <c r="T1202" s="662"/>
      <c r="U1202" s="663"/>
      <c r="V1202" s="40"/>
      <c r="W1202" s="504"/>
      <c r="X1202" s="504"/>
      <c r="Y1202" s="504"/>
      <c r="Z1202" s="504"/>
      <c r="AA1202" s="504"/>
      <c r="AB1202" s="504"/>
      <c r="AC1202" s="504"/>
      <c r="AD1202" s="504"/>
    </row>
    <row r="1203" spans="1:30" s="505" customFormat="1" ht="41.25" hidden="1" customHeight="1">
      <c r="A1203" s="492"/>
      <c r="B1203" s="643"/>
      <c r="C1203" s="513"/>
      <c r="D1203" s="514"/>
      <c r="E1203" s="664" t="s">
        <v>29</v>
      </c>
      <c r="F1203" s="665"/>
      <c r="G1203" s="665"/>
      <c r="H1203" s="665"/>
      <c r="I1203" s="665"/>
      <c r="J1203" s="665"/>
      <c r="K1203" s="665"/>
      <c r="L1203" s="665"/>
      <c r="M1203" s="666"/>
      <c r="N1203" s="655"/>
      <c r="O1203" s="656"/>
      <c r="P1203" s="657"/>
      <c r="Q1203" s="667"/>
      <c r="R1203" s="668"/>
      <c r="S1203" s="668"/>
      <c r="T1203" s="668"/>
      <c r="U1203" s="669"/>
      <c r="V1203" s="42"/>
      <c r="W1203" s="504"/>
      <c r="X1203" s="504"/>
      <c r="Y1203" s="504"/>
      <c r="Z1203" s="504"/>
      <c r="AA1203" s="504"/>
      <c r="AB1203" s="504"/>
      <c r="AC1203" s="504"/>
      <c r="AD1203" s="504"/>
    </row>
    <row r="1204" spans="1:30" s="505" customFormat="1" ht="41.25" hidden="1" customHeight="1">
      <c r="A1204" s="492"/>
      <c r="B1204" s="643"/>
      <c r="C1204" s="513">
        <v>11</v>
      </c>
      <c r="D1204" s="514"/>
      <c r="E1204" s="670" t="s">
        <v>30</v>
      </c>
      <c r="F1204" s="670"/>
      <c r="G1204" s="670"/>
      <c r="H1204" s="670"/>
      <c r="I1204" s="670"/>
      <c r="J1204" s="670"/>
      <c r="K1204" s="670"/>
      <c r="L1204" s="498">
        <v>384.94</v>
      </c>
      <c r="M1204" s="459">
        <f>L1204</f>
        <v>384.94</v>
      </c>
      <c r="N1204" s="655"/>
      <c r="O1204" s="656"/>
      <c r="P1204" s="657"/>
      <c r="Q1204" s="671"/>
      <c r="R1204" s="672"/>
      <c r="S1204" s="673"/>
      <c r="T1204" s="457">
        <f>H1201*M1204*N1201*O1201*P1201</f>
        <v>0</v>
      </c>
      <c r="U1204" s="458">
        <f>T1204</f>
        <v>0</v>
      </c>
      <c r="V1204" s="42"/>
      <c r="W1204" s="503"/>
      <c r="X1204" s="504"/>
      <c r="Y1204" s="504"/>
      <c r="Z1204" s="503">
        <f>T1204</f>
        <v>0</v>
      </c>
      <c r="AA1204" s="504"/>
      <c r="AB1204" s="504"/>
      <c r="AC1204" s="504"/>
      <c r="AD1204" s="504"/>
    </row>
    <row r="1205" spans="1:30" s="505" customFormat="1" ht="41.25" hidden="1" customHeight="1">
      <c r="A1205" s="492"/>
      <c r="B1205" s="643"/>
      <c r="C1205" s="513"/>
      <c r="D1205" s="514"/>
      <c r="E1205" s="670" t="s">
        <v>31</v>
      </c>
      <c r="F1205" s="670"/>
      <c r="G1205" s="670"/>
      <c r="H1205" s="670"/>
      <c r="I1205" s="670"/>
      <c r="J1205" s="670"/>
      <c r="K1205" s="670"/>
      <c r="L1205" s="498">
        <f>ROUND((I1201+J1201+K1201)*2.14%,2)</f>
        <v>252.55</v>
      </c>
      <c r="M1205" s="459">
        <f>L1205</f>
        <v>252.55</v>
      </c>
      <c r="N1205" s="655"/>
      <c r="O1205" s="656"/>
      <c r="P1205" s="657"/>
      <c r="Q1205" s="671"/>
      <c r="R1205" s="672"/>
      <c r="S1205" s="673"/>
      <c r="T1205" s="457">
        <f>H1201*M1205*N1201*O1201*P1201</f>
        <v>0</v>
      </c>
      <c r="U1205" s="458">
        <f>T1205</f>
        <v>0</v>
      </c>
      <c r="V1205" s="42"/>
      <c r="W1205" s="504"/>
      <c r="X1205" s="503"/>
      <c r="Y1205" s="504"/>
      <c r="Z1205" s="504"/>
      <c r="AA1205" s="503">
        <f>T1205</f>
        <v>0</v>
      </c>
      <c r="AB1205" s="504"/>
      <c r="AC1205" s="504"/>
      <c r="AD1205" s="504"/>
    </row>
    <row r="1206" spans="1:30" s="505" customFormat="1" ht="41.25" hidden="1" customHeight="1">
      <c r="A1206" s="492"/>
      <c r="B1206" s="643"/>
      <c r="C1206" s="515"/>
      <c r="D1206" s="514"/>
      <c r="E1206" s="670" t="s">
        <v>376</v>
      </c>
      <c r="F1206" s="670"/>
      <c r="G1206" s="670"/>
      <c r="H1206" s="670"/>
      <c r="I1206" s="670"/>
      <c r="J1206" s="670"/>
      <c r="K1206" s="670"/>
      <c r="L1206" s="498">
        <f>ROUND((I1201+J1201+K1201+L1204+L1205+L1209)*3%,2)+0.01</f>
        <v>387.53999999999996</v>
      </c>
      <c r="M1206" s="459">
        <f>L1206</f>
        <v>387.53999999999996</v>
      </c>
      <c r="N1206" s="655"/>
      <c r="O1206" s="656"/>
      <c r="P1206" s="657"/>
      <c r="Q1206" s="671"/>
      <c r="R1206" s="672"/>
      <c r="S1206" s="673"/>
      <c r="T1206" s="457">
        <f>H1201*M1206*N1201*O1201*P1201</f>
        <v>0</v>
      </c>
      <c r="U1206" s="458">
        <f>T1206</f>
        <v>0</v>
      </c>
      <c r="V1206" s="42"/>
      <c r="W1206" s="504"/>
      <c r="X1206" s="504"/>
      <c r="Y1206" s="503"/>
      <c r="Z1206" s="504"/>
      <c r="AA1206" s="504"/>
      <c r="AB1206" s="503">
        <f>T1206</f>
        <v>0</v>
      </c>
      <c r="AC1206" s="504"/>
      <c r="AD1206" s="504"/>
    </row>
    <row r="1207" spans="1:30" s="505" customFormat="1" ht="54.75" hidden="1" customHeight="1">
      <c r="A1207" s="492"/>
      <c r="B1207" s="643"/>
      <c r="C1207" s="515"/>
      <c r="D1207" s="514"/>
      <c r="E1207" s="670" t="s">
        <v>377</v>
      </c>
      <c r="F1207" s="670"/>
      <c r="G1207" s="670"/>
      <c r="H1207" s="670"/>
      <c r="I1207" s="670"/>
      <c r="J1207" s="670"/>
      <c r="K1207" s="670"/>
      <c r="L1207" s="498">
        <f>1129-K1201-L1204-L1205-L1209</f>
        <v>0</v>
      </c>
      <c r="M1207" s="459">
        <f>L1207</f>
        <v>0</v>
      </c>
      <c r="N1207" s="655"/>
      <c r="O1207" s="656"/>
      <c r="P1207" s="657"/>
      <c r="Q1207" s="671"/>
      <c r="R1207" s="672"/>
      <c r="S1207" s="673"/>
      <c r="T1207" s="457">
        <f>H1201*M1207*N1201*O1201*P1201</f>
        <v>0</v>
      </c>
      <c r="U1207" s="458">
        <f>T1207</f>
        <v>0</v>
      </c>
      <c r="V1207" s="42"/>
      <c r="W1207" s="504"/>
      <c r="X1207" s="504"/>
      <c r="Y1207" s="504"/>
      <c r="Z1207" s="506"/>
      <c r="AA1207" s="504"/>
      <c r="AB1207" s="504"/>
      <c r="AC1207" s="506">
        <f>T1207</f>
        <v>0</v>
      </c>
      <c r="AD1207" s="504"/>
    </row>
    <row r="1208" spans="1:30" s="505" customFormat="1" ht="45" hidden="1" customHeight="1">
      <c r="A1208" s="492"/>
      <c r="B1208" s="643"/>
      <c r="C1208" s="515"/>
      <c r="D1208" s="514"/>
      <c r="E1208" s="674"/>
      <c r="F1208" s="675"/>
      <c r="G1208" s="675"/>
      <c r="H1208" s="675"/>
      <c r="I1208" s="675"/>
      <c r="J1208" s="675"/>
      <c r="K1208" s="675"/>
      <c r="L1208" s="675"/>
      <c r="M1208" s="676"/>
      <c r="N1208" s="655"/>
      <c r="O1208" s="656"/>
      <c r="P1208" s="657"/>
      <c r="Q1208" s="677"/>
      <c r="R1208" s="678"/>
      <c r="S1208" s="678"/>
      <c r="T1208" s="678"/>
      <c r="U1208" s="679"/>
      <c r="V1208" s="45"/>
      <c r="W1208" s="504"/>
      <c r="X1208" s="504"/>
      <c r="Y1208" s="504"/>
      <c r="Z1208" s="504"/>
      <c r="AA1208" s="506"/>
      <c r="AB1208" s="504"/>
      <c r="AC1208" s="504"/>
      <c r="AD1208" s="504"/>
    </row>
    <row r="1209" spans="1:30" s="505" customFormat="1" ht="45" hidden="1" customHeight="1" thickBot="1">
      <c r="A1209" s="492"/>
      <c r="B1209" s="644"/>
      <c r="C1209" s="516"/>
      <c r="D1209" s="517"/>
      <c r="E1209" s="680" t="s">
        <v>369</v>
      </c>
      <c r="F1209" s="680" t="s">
        <v>306</v>
      </c>
      <c r="G1209" s="680"/>
      <c r="H1209" s="680"/>
      <c r="I1209" s="680"/>
      <c r="J1209" s="680"/>
      <c r="K1209" s="680"/>
      <c r="L1209" s="499">
        <f>ROUND((I1201+J1201+K1201+L1204)*3.93%,2)</f>
        <v>478.92</v>
      </c>
      <c r="M1209" s="46">
        <f>L1209</f>
        <v>478.92</v>
      </c>
      <c r="N1209" s="658"/>
      <c r="O1209" s="659"/>
      <c r="P1209" s="660"/>
      <c r="Q1209" s="681"/>
      <c r="R1209" s="682"/>
      <c r="S1209" s="683"/>
      <c r="T1209" s="500">
        <f>H1201*M1209*N1201*O1201*P1201</f>
        <v>0</v>
      </c>
      <c r="U1209" s="47">
        <f>T1209</f>
        <v>0</v>
      </c>
      <c r="V1209" s="48"/>
      <c r="W1209" s="504"/>
      <c r="X1209" s="504"/>
      <c r="Y1209" s="504"/>
      <c r="Z1209" s="504"/>
      <c r="AA1209" s="504"/>
      <c r="AB1209" s="506"/>
      <c r="AC1209" s="504"/>
      <c r="AD1209" s="506">
        <f>T1209</f>
        <v>0</v>
      </c>
    </row>
    <row r="1210" spans="1:30" s="505" customFormat="1" ht="150" hidden="1" customHeight="1">
      <c r="A1210" s="492"/>
      <c r="B1210" s="642">
        <v>2</v>
      </c>
      <c r="C1210" s="511">
        <v>1</v>
      </c>
      <c r="D1210" s="512"/>
      <c r="E1210" s="493" t="s">
        <v>615</v>
      </c>
      <c r="F1210" s="487" t="s">
        <v>616</v>
      </c>
      <c r="G1210" s="645" t="s">
        <v>357</v>
      </c>
      <c r="H1210" s="712">
        <v>0</v>
      </c>
      <c r="I1210" s="494">
        <v>0</v>
      </c>
      <c r="J1210" s="494">
        <v>10887.04</v>
      </c>
      <c r="K1210" s="494">
        <v>50.77</v>
      </c>
      <c r="L1210" s="494">
        <f>SUM(L1212:L1218)</f>
        <v>1538.26</v>
      </c>
      <c r="M1210" s="33">
        <f>SUM(I1210:L1210)</f>
        <v>12476.070000000002</v>
      </c>
      <c r="N1210" s="501">
        <v>1</v>
      </c>
      <c r="O1210" s="502">
        <v>1</v>
      </c>
      <c r="P1210" s="37">
        <v>1</v>
      </c>
      <c r="Q1210" s="34">
        <f>H1210*I1210*N1210*O1210*P1210</f>
        <v>0</v>
      </c>
      <c r="R1210" s="35">
        <f>H1210*J1210*N1210*O1210*P1210</f>
        <v>0</v>
      </c>
      <c r="S1210" s="36">
        <f>H1210*K1210*N1210*O1210*P1210</f>
        <v>0</v>
      </c>
      <c r="T1210" s="36">
        <f>H1210*L1210*N1210*O1210*P1210</f>
        <v>0</v>
      </c>
      <c r="U1210" s="37">
        <f>SUM(Q1210:T1210)</f>
        <v>0</v>
      </c>
      <c r="V1210" s="38">
        <f>(Q1210+R1210+S1210+T1214+T1215+T1216+T1218)*'Прогнозная стоимость РСС ИП '!$M$11+T1213*'Прогнозная стоимость РСС ИП '!$M$10</f>
        <v>0</v>
      </c>
      <c r="W1210" s="503">
        <f>T1210</f>
        <v>0</v>
      </c>
      <c r="X1210" s="503">
        <f>U1210</f>
        <v>0</v>
      </c>
      <c r="Y1210" s="503">
        <f>V1210</f>
        <v>0</v>
      </c>
      <c r="Z1210" s="504"/>
      <c r="AA1210" s="504"/>
      <c r="AB1210" s="504"/>
      <c r="AC1210" s="504"/>
      <c r="AD1210" s="504"/>
    </row>
    <row r="1211" spans="1:30" s="505" customFormat="1" ht="41.25" hidden="1" customHeight="1">
      <c r="A1211" s="492"/>
      <c r="B1211" s="643"/>
      <c r="C1211" s="513"/>
      <c r="D1211" s="514"/>
      <c r="E1211" s="495"/>
      <c r="F1211" s="496"/>
      <c r="G1211" s="646"/>
      <c r="H1211" s="713"/>
      <c r="I1211" s="649"/>
      <c r="J1211" s="650"/>
      <c r="K1211" s="650"/>
      <c r="L1211" s="650"/>
      <c r="M1211" s="651"/>
      <c r="N1211" s="652"/>
      <c r="O1211" s="653"/>
      <c r="P1211" s="654"/>
      <c r="Q1211" s="661"/>
      <c r="R1211" s="662"/>
      <c r="S1211" s="662"/>
      <c r="T1211" s="662"/>
      <c r="U1211" s="663"/>
      <c r="V1211" s="40"/>
      <c r="W1211" s="504"/>
      <c r="X1211" s="504"/>
      <c r="Y1211" s="504"/>
      <c r="Z1211" s="504"/>
      <c r="AA1211" s="504"/>
      <c r="AB1211" s="504"/>
      <c r="AC1211" s="504"/>
      <c r="AD1211" s="504"/>
    </row>
    <row r="1212" spans="1:30" s="505" customFormat="1" ht="41.25" hidden="1" customHeight="1">
      <c r="A1212" s="492"/>
      <c r="B1212" s="643"/>
      <c r="C1212" s="513"/>
      <c r="D1212" s="514"/>
      <c r="E1212" s="664" t="s">
        <v>29</v>
      </c>
      <c r="F1212" s="665"/>
      <c r="G1212" s="665"/>
      <c r="H1212" s="665"/>
      <c r="I1212" s="665"/>
      <c r="J1212" s="665"/>
      <c r="K1212" s="665"/>
      <c r="L1212" s="665"/>
      <c r="M1212" s="666"/>
      <c r="N1212" s="655"/>
      <c r="O1212" s="656"/>
      <c r="P1212" s="657"/>
      <c r="Q1212" s="667"/>
      <c r="R1212" s="668"/>
      <c r="S1212" s="668"/>
      <c r="T1212" s="668"/>
      <c r="U1212" s="669"/>
      <c r="V1212" s="42"/>
      <c r="W1212" s="504"/>
      <c r="X1212" s="504"/>
      <c r="Y1212" s="504"/>
      <c r="Z1212" s="504"/>
      <c r="AA1212" s="504"/>
      <c r="AB1212" s="504"/>
      <c r="AC1212" s="504"/>
      <c r="AD1212" s="504"/>
    </row>
    <row r="1213" spans="1:30" s="505" customFormat="1" ht="41.25" hidden="1" customHeight="1">
      <c r="A1213" s="492"/>
      <c r="B1213" s="643"/>
      <c r="C1213" s="513">
        <v>11</v>
      </c>
      <c r="D1213" s="514"/>
      <c r="E1213" s="670" t="s">
        <v>30</v>
      </c>
      <c r="F1213" s="670"/>
      <c r="G1213" s="670"/>
      <c r="H1213" s="670"/>
      <c r="I1213" s="670"/>
      <c r="J1213" s="670"/>
      <c r="K1213" s="670"/>
      <c r="L1213" s="498">
        <v>491.63</v>
      </c>
      <c r="M1213" s="459">
        <f>L1213</f>
        <v>491.63</v>
      </c>
      <c r="N1213" s="655"/>
      <c r="O1213" s="656"/>
      <c r="P1213" s="657"/>
      <c r="Q1213" s="671"/>
      <c r="R1213" s="672"/>
      <c r="S1213" s="673"/>
      <c r="T1213" s="457">
        <f>H1210*M1213*N1210*O1210*P1210</f>
        <v>0</v>
      </c>
      <c r="U1213" s="458">
        <f>T1213</f>
        <v>0</v>
      </c>
      <c r="V1213" s="42"/>
      <c r="W1213" s="503"/>
      <c r="X1213" s="504"/>
      <c r="Y1213" s="504"/>
      <c r="Z1213" s="503">
        <f>T1213</f>
        <v>0</v>
      </c>
      <c r="AA1213" s="504"/>
      <c r="AB1213" s="504"/>
      <c r="AC1213" s="504"/>
      <c r="AD1213" s="504"/>
    </row>
    <row r="1214" spans="1:30" s="505" customFormat="1" ht="41.25" hidden="1" customHeight="1">
      <c r="A1214" s="492"/>
      <c r="B1214" s="643"/>
      <c r="C1214" s="513"/>
      <c r="D1214" s="514"/>
      <c r="E1214" s="670" t="s">
        <v>31</v>
      </c>
      <c r="F1214" s="670"/>
      <c r="G1214" s="670"/>
      <c r="H1214" s="670"/>
      <c r="I1214" s="670"/>
      <c r="J1214" s="670"/>
      <c r="K1214" s="670"/>
      <c r="L1214" s="498">
        <f>ROUND((I1210+J1210+K1210)*2.14%,2)</f>
        <v>234.07</v>
      </c>
      <c r="M1214" s="459">
        <f>L1214</f>
        <v>234.07</v>
      </c>
      <c r="N1214" s="655"/>
      <c r="O1214" s="656"/>
      <c r="P1214" s="657"/>
      <c r="Q1214" s="671"/>
      <c r="R1214" s="672"/>
      <c r="S1214" s="673"/>
      <c r="T1214" s="457">
        <f>H1210*M1214*N1210*O1210*P1210</f>
        <v>0</v>
      </c>
      <c r="U1214" s="458">
        <f>T1214</f>
        <v>0</v>
      </c>
      <c r="V1214" s="42"/>
      <c r="W1214" s="504"/>
      <c r="X1214" s="503"/>
      <c r="Y1214" s="504"/>
      <c r="Z1214" s="504"/>
      <c r="AA1214" s="503">
        <f>T1214</f>
        <v>0</v>
      </c>
      <c r="AB1214" s="504"/>
      <c r="AC1214" s="504"/>
      <c r="AD1214" s="504"/>
    </row>
    <row r="1215" spans="1:30" s="505" customFormat="1" ht="41.25" hidden="1" customHeight="1">
      <c r="A1215" s="492"/>
      <c r="B1215" s="643"/>
      <c r="C1215" s="515"/>
      <c r="D1215" s="514"/>
      <c r="E1215" s="670" t="s">
        <v>376</v>
      </c>
      <c r="F1215" s="670"/>
      <c r="G1215" s="670"/>
      <c r="H1215" s="670"/>
      <c r="I1215" s="670"/>
      <c r="J1215" s="670"/>
      <c r="K1215" s="670"/>
      <c r="L1215" s="498">
        <f>ROUND((I1210+J1210+K1210+L1213+L1214+L1218)*3%,2)</f>
        <v>363.38</v>
      </c>
      <c r="M1215" s="459">
        <f>L1215</f>
        <v>363.38</v>
      </c>
      <c r="N1215" s="655"/>
      <c r="O1215" s="656"/>
      <c r="P1215" s="657"/>
      <c r="Q1215" s="671"/>
      <c r="R1215" s="672"/>
      <c r="S1215" s="673"/>
      <c r="T1215" s="457">
        <f>H1210*M1215*N1210*O1210*P1210</f>
        <v>0</v>
      </c>
      <c r="U1215" s="458">
        <f>T1215</f>
        <v>0</v>
      </c>
      <c r="V1215" s="42"/>
      <c r="W1215" s="504"/>
      <c r="X1215" s="504"/>
      <c r="Y1215" s="503"/>
      <c r="Z1215" s="504"/>
      <c r="AA1215" s="504"/>
      <c r="AB1215" s="503">
        <f>T1215</f>
        <v>0</v>
      </c>
      <c r="AC1215" s="504"/>
      <c r="AD1215" s="504"/>
    </row>
    <row r="1216" spans="1:30" s="505" customFormat="1" ht="54.75" hidden="1" customHeight="1">
      <c r="A1216" s="492"/>
      <c r="B1216" s="643"/>
      <c r="C1216" s="515"/>
      <c r="D1216" s="514"/>
      <c r="E1216" s="670" t="s">
        <v>377</v>
      </c>
      <c r="F1216" s="670"/>
      <c r="G1216" s="670"/>
      <c r="H1216" s="670"/>
      <c r="I1216" s="670"/>
      <c r="J1216" s="670"/>
      <c r="K1216" s="670"/>
      <c r="L1216" s="498">
        <f>1225.65-K1210-L1213-L1214-L1218</f>
        <v>0</v>
      </c>
      <c r="M1216" s="459">
        <f>L1216</f>
        <v>0</v>
      </c>
      <c r="N1216" s="655"/>
      <c r="O1216" s="656"/>
      <c r="P1216" s="657"/>
      <c r="Q1216" s="671"/>
      <c r="R1216" s="672"/>
      <c r="S1216" s="673"/>
      <c r="T1216" s="457">
        <f>H1210*M1216*N1210*O1210*P1210</f>
        <v>0</v>
      </c>
      <c r="U1216" s="458">
        <f>T1216</f>
        <v>0</v>
      </c>
      <c r="V1216" s="42"/>
      <c r="W1216" s="504"/>
      <c r="X1216" s="504"/>
      <c r="Y1216" s="504"/>
      <c r="Z1216" s="506"/>
      <c r="AA1216" s="504"/>
      <c r="AB1216" s="504"/>
      <c r="AC1216" s="506">
        <f>T1216</f>
        <v>0</v>
      </c>
      <c r="AD1216" s="504"/>
    </row>
    <row r="1217" spans="1:30" s="505" customFormat="1" ht="45" hidden="1" customHeight="1">
      <c r="A1217" s="492"/>
      <c r="B1217" s="643"/>
      <c r="C1217" s="515"/>
      <c r="D1217" s="514"/>
      <c r="E1217" s="674"/>
      <c r="F1217" s="675"/>
      <c r="G1217" s="675"/>
      <c r="H1217" s="675"/>
      <c r="I1217" s="675"/>
      <c r="J1217" s="675"/>
      <c r="K1217" s="675"/>
      <c r="L1217" s="675"/>
      <c r="M1217" s="676"/>
      <c r="N1217" s="655"/>
      <c r="O1217" s="656"/>
      <c r="P1217" s="657"/>
      <c r="Q1217" s="677"/>
      <c r="R1217" s="678"/>
      <c r="S1217" s="678"/>
      <c r="T1217" s="678"/>
      <c r="U1217" s="679"/>
      <c r="V1217" s="45"/>
      <c r="W1217" s="504"/>
      <c r="X1217" s="504"/>
      <c r="Y1217" s="504"/>
      <c r="Z1217" s="504"/>
      <c r="AA1217" s="506"/>
      <c r="AB1217" s="504"/>
      <c r="AC1217" s="504"/>
      <c r="AD1217" s="504"/>
    </row>
    <row r="1218" spans="1:30" s="505" customFormat="1" ht="45" hidden="1" customHeight="1" thickBot="1">
      <c r="A1218" s="492"/>
      <c r="B1218" s="644"/>
      <c r="C1218" s="516"/>
      <c r="D1218" s="517"/>
      <c r="E1218" s="680" t="s">
        <v>369</v>
      </c>
      <c r="F1218" s="680" t="s">
        <v>306</v>
      </c>
      <c r="G1218" s="680"/>
      <c r="H1218" s="680"/>
      <c r="I1218" s="680"/>
      <c r="J1218" s="680"/>
      <c r="K1218" s="680"/>
      <c r="L1218" s="499">
        <f>ROUND((I1210+J1210+K1210+L1213)*3.93%,2)</f>
        <v>449.18</v>
      </c>
      <c r="M1218" s="46">
        <f>L1218</f>
        <v>449.18</v>
      </c>
      <c r="N1218" s="658"/>
      <c r="O1218" s="659"/>
      <c r="P1218" s="660"/>
      <c r="Q1218" s="681"/>
      <c r="R1218" s="682"/>
      <c r="S1218" s="683"/>
      <c r="T1218" s="500">
        <f>H1210*M1218*N1210*O1210*P1210</f>
        <v>0</v>
      </c>
      <c r="U1218" s="47">
        <f>T1218</f>
        <v>0</v>
      </c>
      <c r="V1218" s="48"/>
      <c r="W1218" s="504"/>
      <c r="X1218" s="504"/>
      <c r="Y1218" s="504"/>
      <c r="Z1218" s="504"/>
      <c r="AA1218" s="504"/>
      <c r="AB1218" s="506"/>
      <c r="AC1218" s="504"/>
      <c r="AD1218" s="506">
        <f>T1218</f>
        <v>0</v>
      </c>
    </row>
    <row r="1219" spans="1:30" s="505" customFormat="1" ht="150" hidden="1" customHeight="1">
      <c r="A1219" s="492"/>
      <c r="B1219" s="642">
        <v>2</v>
      </c>
      <c r="C1219" s="511">
        <v>1</v>
      </c>
      <c r="D1219" s="512"/>
      <c r="E1219" s="493" t="s">
        <v>617</v>
      </c>
      <c r="F1219" s="487" t="s">
        <v>618</v>
      </c>
      <c r="G1219" s="645" t="s">
        <v>357</v>
      </c>
      <c r="H1219" s="712">
        <v>0</v>
      </c>
      <c r="I1219" s="494">
        <v>0</v>
      </c>
      <c r="J1219" s="494">
        <v>11616.28</v>
      </c>
      <c r="K1219" s="494">
        <v>50.77</v>
      </c>
      <c r="L1219" s="494">
        <f>SUM(L1221:L1227)</f>
        <v>1607.2599999999998</v>
      </c>
      <c r="M1219" s="33">
        <f>SUM(I1219:L1219)</f>
        <v>13274.310000000001</v>
      </c>
      <c r="N1219" s="501">
        <v>1</v>
      </c>
      <c r="O1219" s="502">
        <v>1</v>
      </c>
      <c r="P1219" s="37">
        <v>1</v>
      </c>
      <c r="Q1219" s="34">
        <f>H1219*I1219*N1219*O1219*P1219</f>
        <v>0</v>
      </c>
      <c r="R1219" s="35">
        <f>H1219*J1219*N1219*O1219*P1219</f>
        <v>0</v>
      </c>
      <c r="S1219" s="36">
        <f>H1219*K1219*N1219*O1219*P1219</f>
        <v>0</v>
      </c>
      <c r="T1219" s="36">
        <f>H1219*L1219*N1219*O1219*P1219</f>
        <v>0</v>
      </c>
      <c r="U1219" s="37">
        <f>SUM(Q1219:T1219)</f>
        <v>0</v>
      </c>
      <c r="V1219" s="38">
        <f>(Q1219+R1219+S1219+T1223+T1224+T1225+T1227)*'Прогнозная стоимость РСС ИП '!$M$11+T1222*'Прогнозная стоимость РСС ИП '!$M$10</f>
        <v>0</v>
      </c>
      <c r="W1219" s="503">
        <f>T1219</f>
        <v>0</v>
      </c>
      <c r="X1219" s="503">
        <f>U1219</f>
        <v>0</v>
      </c>
      <c r="Y1219" s="503">
        <f>V1219</f>
        <v>0</v>
      </c>
      <c r="Z1219" s="504"/>
      <c r="AA1219" s="504"/>
      <c r="AB1219" s="504"/>
      <c r="AC1219" s="504"/>
      <c r="AD1219" s="504"/>
    </row>
    <row r="1220" spans="1:30" s="505" customFormat="1" ht="41.25" hidden="1" customHeight="1">
      <c r="A1220" s="492"/>
      <c r="B1220" s="643"/>
      <c r="C1220" s="513"/>
      <c r="D1220" s="514"/>
      <c r="E1220" s="495"/>
      <c r="F1220" s="496"/>
      <c r="G1220" s="646"/>
      <c r="H1220" s="713"/>
      <c r="I1220" s="649"/>
      <c r="J1220" s="650"/>
      <c r="K1220" s="650"/>
      <c r="L1220" s="650"/>
      <c r="M1220" s="651"/>
      <c r="N1220" s="652"/>
      <c r="O1220" s="653"/>
      <c r="P1220" s="654"/>
      <c r="Q1220" s="661"/>
      <c r="R1220" s="662"/>
      <c r="S1220" s="662"/>
      <c r="T1220" s="662"/>
      <c r="U1220" s="663"/>
      <c r="V1220" s="40"/>
      <c r="W1220" s="504"/>
      <c r="X1220" s="504"/>
      <c r="Y1220" s="504"/>
      <c r="Z1220" s="504"/>
      <c r="AA1220" s="504"/>
      <c r="AB1220" s="504"/>
      <c r="AC1220" s="504"/>
      <c r="AD1220" s="504"/>
    </row>
    <row r="1221" spans="1:30" s="505" customFormat="1" ht="41.25" hidden="1" customHeight="1">
      <c r="A1221" s="492"/>
      <c r="B1221" s="643"/>
      <c r="C1221" s="513"/>
      <c r="D1221" s="514"/>
      <c r="E1221" s="664" t="s">
        <v>29</v>
      </c>
      <c r="F1221" s="665"/>
      <c r="G1221" s="665"/>
      <c r="H1221" s="665"/>
      <c r="I1221" s="665"/>
      <c r="J1221" s="665"/>
      <c r="K1221" s="665"/>
      <c r="L1221" s="665"/>
      <c r="M1221" s="666"/>
      <c r="N1221" s="655"/>
      <c r="O1221" s="656"/>
      <c r="P1221" s="657"/>
      <c r="Q1221" s="667"/>
      <c r="R1221" s="668"/>
      <c r="S1221" s="668"/>
      <c r="T1221" s="668"/>
      <c r="U1221" s="669"/>
      <c r="V1221" s="42"/>
      <c r="W1221" s="504"/>
      <c r="X1221" s="504"/>
      <c r="Y1221" s="504"/>
      <c r="Z1221" s="504"/>
      <c r="AA1221" s="504"/>
      <c r="AB1221" s="504"/>
      <c r="AC1221" s="504"/>
      <c r="AD1221" s="504"/>
    </row>
    <row r="1222" spans="1:30" s="505" customFormat="1" ht="41.25" hidden="1" customHeight="1">
      <c r="A1222" s="492"/>
      <c r="B1222" s="643"/>
      <c r="C1222" s="513">
        <v>11</v>
      </c>
      <c r="D1222" s="514"/>
      <c r="E1222" s="670" t="s">
        <v>30</v>
      </c>
      <c r="F1222" s="670"/>
      <c r="G1222" s="670"/>
      <c r="H1222" s="670"/>
      <c r="I1222" s="670"/>
      <c r="J1222" s="670"/>
      <c r="K1222" s="670"/>
      <c r="L1222" s="498">
        <v>493.08</v>
      </c>
      <c r="M1222" s="459">
        <f>L1222</f>
        <v>493.08</v>
      </c>
      <c r="N1222" s="655"/>
      <c r="O1222" s="656"/>
      <c r="P1222" s="657"/>
      <c r="Q1222" s="671"/>
      <c r="R1222" s="672"/>
      <c r="S1222" s="673"/>
      <c r="T1222" s="457">
        <f>H1219*M1222*N1219*O1219*P1219</f>
        <v>0</v>
      </c>
      <c r="U1222" s="458">
        <f>T1222</f>
        <v>0</v>
      </c>
      <c r="V1222" s="42"/>
      <c r="W1222" s="503"/>
      <c r="X1222" s="504"/>
      <c r="Y1222" s="504"/>
      <c r="Z1222" s="503">
        <f>T1222</f>
        <v>0</v>
      </c>
      <c r="AA1222" s="504"/>
      <c r="AB1222" s="504"/>
      <c r="AC1222" s="504"/>
      <c r="AD1222" s="504"/>
    </row>
    <row r="1223" spans="1:30" s="505" customFormat="1" ht="41.25" hidden="1" customHeight="1">
      <c r="A1223" s="492"/>
      <c r="B1223" s="643"/>
      <c r="C1223" s="513"/>
      <c r="D1223" s="514"/>
      <c r="E1223" s="670" t="s">
        <v>31</v>
      </c>
      <c r="F1223" s="670"/>
      <c r="G1223" s="670"/>
      <c r="H1223" s="670"/>
      <c r="I1223" s="670"/>
      <c r="J1223" s="670"/>
      <c r="K1223" s="670"/>
      <c r="L1223" s="498">
        <f>ROUND((I1219+J1219+K1219)*2.14%,2)</f>
        <v>249.67</v>
      </c>
      <c r="M1223" s="459">
        <f>L1223</f>
        <v>249.67</v>
      </c>
      <c r="N1223" s="655"/>
      <c r="O1223" s="656"/>
      <c r="P1223" s="657"/>
      <c r="Q1223" s="671"/>
      <c r="R1223" s="672"/>
      <c r="S1223" s="673"/>
      <c r="T1223" s="457">
        <f>H1219*M1223*N1219*O1219*P1219</f>
        <v>0</v>
      </c>
      <c r="U1223" s="458">
        <f>T1223</f>
        <v>0</v>
      </c>
      <c r="V1223" s="42"/>
      <c r="W1223" s="504"/>
      <c r="X1223" s="503"/>
      <c r="Y1223" s="504"/>
      <c r="Z1223" s="504"/>
      <c r="AA1223" s="503">
        <f>T1223</f>
        <v>0</v>
      </c>
      <c r="AB1223" s="504"/>
      <c r="AC1223" s="504"/>
      <c r="AD1223" s="504"/>
    </row>
    <row r="1224" spans="1:30" s="505" customFormat="1" ht="41.25" hidden="1" customHeight="1">
      <c r="A1224" s="492"/>
      <c r="B1224" s="643"/>
      <c r="C1224" s="515"/>
      <c r="D1224" s="514"/>
      <c r="E1224" s="670" t="s">
        <v>376</v>
      </c>
      <c r="F1224" s="670"/>
      <c r="G1224" s="670"/>
      <c r="H1224" s="670"/>
      <c r="I1224" s="670"/>
      <c r="J1224" s="670"/>
      <c r="K1224" s="670"/>
      <c r="L1224" s="498">
        <f>ROUND((I1219+J1219+K1219+L1222+L1223+L1227)*3%,2)-0.01</f>
        <v>386.62</v>
      </c>
      <c r="M1224" s="459">
        <f>L1224</f>
        <v>386.62</v>
      </c>
      <c r="N1224" s="655"/>
      <c r="O1224" s="656"/>
      <c r="P1224" s="657"/>
      <c r="Q1224" s="671"/>
      <c r="R1224" s="672"/>
      <c r="S1224" s="673"/>
      <c r="T1224" s="457">
        <f>H1219*M1224*N1219*O1219*P1219</f>
        <v>0</v>
      </c>
      <c r="U1224" s="458">
        <f>T1224</f>
        <v>0</v>
      </c>
      <c r="V1224" s="42"/>
      <c r="W1224" s="504"/>
      <c r="X1224" s="504"/>
      <c r="Y1224" s="503"/>
      <c r="Z1224" s="504"/>
      <c r="AA1224" s="504"/>
      <c r="AB1224" s="503">
        <f>T1224</f>
        <v>0</v>
      </c>
      <c r="AC1224" s="504"/>
      <c r="AD1224" s="504"/>
    </row>
    <row r="1225" spans="1:30" s="505" customFormat="1" ht="54.75" hidden="1" customHeight="1">
      <c r="A1225" s="492"/>
      <c r="B1225" s="643"/>
      <c r="C1225" s="515"/>
      <c r="D1225" s="514"/>
      <c r="E1225" s="670" t="s">
        <v>377</v>
      </c>
      <c r="F1225" s="670"/>
      <c r="G1225" s="670"/>
      <c r="H1225" s="670"/>
      <c r="I1225" s="670"/>
      <c r="J1225" s="670"/>
      <c r="K1225" s="670"/>
      <c r="L1225" s="498">
        <f>1271.41-K1219-L1222-L1223-L1227</f>
        <v>0</v>
      </c>
      <c r="M1225" s="459">
        <f>L1225</f>
        <v>0</v>
      </c>
      <c r="N1225" s="655"/>
      <c r="O1225" s="656"/>
      <c r="P1225" s="657"/>
      <c r="Q1225" s="671"/>
      <c r="R1225" s="672"/>
      <c r="S1225" s="673"/>
      <c r="T1225" s="457">
        <f>H1219*M1225*N1219*O1219*P1219</f>
        <v>0</v>
      </c>
      <c r="U1225" s="458">
        <f>T1225</f>
        <v>0</v>
      </c>
      <c r="V1225" s="42"/>
      <c r="W1225" s="504"/>
      <c r="X1225" s="504"/>
      <c r="Y1225" s="504"/>
      <c r="Z1225" s="506"/>
      <c r="AA1225" s="504"/>
      <c r="AB1225" s="504"/>
      <c r="AC1225" s="506">
        <f>T1225</f>
        <v>0</v>
      </c>
      <c r="AD1225" s="504"/>
    </row>
    <row r="1226" spans="1:30" s="505" customFormat="1" ht="45" hidden="1" customHeight="1">
      <c r="A1226" s="492"/>
      <c r="B1226" s="643"/>
      <c r="C1226" s="515"/>
      <c r="D1226" s="514"/>
      <c r="E1226" s="674"/>
      <c r="F1226" s="675"/>
      <c r="G1226" s="675"/>
      <c r="H1226" s="675"/>
      <c r="I1226" s="675"/>
      <c r="J1226" s="675"/>
      <c r="K1226" s="675"/>
      <c r="L1226" s="675"/>
      <c r="M1226" s="676"/>
      <c r="N1226" s="655"/>
      <c r="O1226" s="656"/>
      <c r="P1226" s="657"/>
      <c r="Q1226" s="677"/>
      <c r="R1226" s="678"/>
      <c r="S1226" s="678"/>
      <c r="T1226" s="678"/>
      <c r="U1226" s="679"/>
      <c r="V1226" s="45"/>
      <c r="W1226" s="504"/>
      <c r="X1226" s="504"/>
      <c r="Y1226" s="504"/>
      <c r="Z1226" s="504"/>
      <c r="AA1226" s="506"/>
      <c r="AB1226" s="504"/>
      <c r="AC1226" s="504"/>
      <c r="AD1226" s="504"/>
    </row>
    <row r="1227" spans="1:30" s="505" customFormat="1" ht="45" hidden="1" customHeight="1" thickBot="1">
      <c r="A1227" s="492"/>
      <c r="B1227" s="644"/>
      <c r="C1227" s="516"/>
      <c r="D1227" s="517"/>
      <c r="E1227" s="680" t="s">
        <v>369</v>
      </c>
      <c r="F1227" s="680" t="s">
        <v>306</v>
      </c>
      <c r="G1227" s="680"/>
      <c r="H1227" s="680"/>
      <c r="I1227" s="680"/>
      <c r="J1227" s="680"/>
      <c r="K1227" s="680"/>
      <c r="L1227" s="499">
        <f>ROUND((I1219+J1219+K1219+L1222)*3.93%,2)</f>
        <v>477.89</v>
      </c>
      <c r="M1227" s="46">
        <f>L1227</f>
        <v>477.89</v>
      </c>
      <c r="N1227" s="658"/>
      <c r="O1227" s="659"/>
      <c r="P1227" s="660"/>
      <c r="Q1227" s="681"/>
      <c r="R1227" s="682"/>
      <c r="S1227" s="683"/>
      <c r="T1227" s="500">
        <f>H1219*M1227*N1219*O1219*P1219</f>
        <v>0</v>
      </c>
      <c r="U1227" s="47">
        <f>T1227</f>
        <v>0</v>
      </c>
      <c r="V1227" s="48"/>
      <c r="W1227" s="504"/>
      <c r="X1227" s="504"/>
      <c r="Y1227" s="504"/>
      <c r="Z1227" s="504"/>
      <c r="AA1227" s="504"/>
      <c r="AB1227" s="506"/>
      <c r="AC1227" s="504"/>
      <c r="AD1227" s="506">
        <f>T1227</f>
        <v>0</v>
      </c>
    </row>
    <row r="1228" spans="1:30" s="505" customFormat="1" ht="150" hidden="1" customHeight="1">
      <c r="A1228" s="492"/>
      <c r="B1228" s="642">
        <v>2</v>
      </c>
      <c r="C1228" s="511">
        <v>1</v>
      </c>
      <c r="D1228" s="512"/>
      <c r="E1228" s="493" t="s">
        <v>619</v>
      </c>
      <c r="F1228" s="487" t="s">
        <v>620</v>
      </c>
      <c r="G1228" s="645" t="s">
        <v>357</v>
      </c>
      <c r="H1228" s="712">
        <v>0</v>
      </c>
      <c r="I1228" s="494">
        <v>0</v>
      </c>
      <c r="J1228" s="494">
        <v>11972.27</v>
      </c>
      <c r="K1228" s="494">
        <v>50.77</v>
      </c>
      <c r="L1228" s="494">
        <f>SUM(L1230:L1236)</f>
        <v>1640.97</v>
      </c>
      <c r="M1228" s="33">
        <f>SUM(I1228:L1228)</f>
        <v>13664.01</v>
      </c>
      <c r="N1228" s="501">
        <v>1</v>
      </c>
      <c r="O1228" s="502">
        <v>1</v>
      </c>
      <c r="P1228" s="37">
        <v>1</v>
      </c>
      <c r="Q1228" s="34">
        <f>H1228*I1228*N1228*O1228*P1228</f>
        <v>0</v>
      </c>
      <c r="R1228" s="35">
        <f>H1228*J1228*N1228*O1228*P1228</f>
        <v>0</v>
      </c>
      <c r="S1228" s="36">
        <f>H1228*K1228*N1228*O1228*P1228</f>
        <v>0</v>
      </c>
      <c r="T1228" s="36">
        <f>H1228*L1228*N1228*O1228*P1228</f>
        <v>0</v>
      </c>
      <c r="U1228" s="37">
        <f>SUM(Q1228:T1228)</f>
        <v>0</v>
      </c>
      <c r="V1228" s="38">
        <f>(Q1228+R1228+S1228+T1232+T1233+T1234+T1236)*'Прогнозная стоимость РСС ИП '!$M$11+T1231*'Прогнозная стоимость РСС ИП '!$M$10</f>
        <v>0</v>
      </c>
      <c r="W1228" s="503">
        <f>T1228</f>
        <v>0</v>
      </c>
      <c r="X1228" s="503">
        <f>U1228</f>
        <v>0</v>
      </c>
      <c r="Y1228" s="503">
        <f>V1228</f>
        <v>0</v>
      </c>
      <c r="Z1228" s="504"/>
      <c r="AA1228" s="504"/>
      <c r="AB1228" s="504"/>
      <c r="AC1228" s="504"/>
      <c r="AD1228" s="504"/>
    </row>
    <row r="1229" spans="1:30" s="505" customFormat="1" ht="41.25" hidden="1" customHeight="1">
      <c r="A1229" s="492"/>
      <c r="B1229" s="643"/>
      <c r="C1229" s="513"/>
      <c r="D1229" s="514"/>
      <c r="E1229" s="495"/>
      <c r="F1229" s="496"/>
      <c r="G1229" s="646"/>
      <c r="H1229" s="713"/>
      <c r="I1229" s="649"/>
      <c r="J1229" s="650"/>
      <c r="K1229" s="650"/>
      <c r="L1229" s="650"/>
      <c r="M1229" s="651"/>
      <c r="N1229" s="652"/>
      <c r="O1229" s="653"/>
      <c r="P1229" s="654"/>
      <c r="Q1229" s="661"/>
      <c r="R1229" s="662"/>
      <c r="S1229" s="662"/>
      <c r="T1229" s="662"/>
      <c r="U1229" s="663"/>
      <c r="V1229" s="40"/>
      <c r="W1229" s="504"/>
      <c r="X1229" s="504"/>
      <c r="Y1229" s="504"/>
      <c r="Z1229" s="504"/>
      <c r="AA1229" s="504"/>
      <c r="AB1229" s="504"/>
      <c r="AC1229" s="504"/>
      <c r="AD1229" s="504"/>
    </row>
    <row r="1230" spans="1:30" s="505" customFormat="1" ht="41.25" hidden="1" customHeight="1">
      <c r="A1230" s="492"/>
      <c r="B1230" s="643"/>
      <c r="C1230" s="513"/>
      <c r="D1230" s="514"/>
      <c r="E1230" s="664" t="s">
        <v>29</v>
      </c>
      <c r="F1230" s="665"/>
      <c r="G1230" s="665"/>
      <c r="H1230" s="665"/>
      <c r="I1230" s="665"/>
      <c r="J1230" s="665"/>
      <c r="K1230" s="665"/>
      <c r="L1230" s="665"/>
      <c r="M1230" s="666"/>
      <c r="N1230" s="655"/>
      <c r="O1230" s="656"/>
      <c r="P1230" s="657"/>
      <c r="Q1230" s="667"/>
      <c r="R1230" s="668"/>
      <c r="S1230" s="668"/>
      <c r="T1230" s="668"/>
      <c r="U1230" s="669"/>
      <c r="V1230" s="42"/>
      <c r="W1230" s="504"/>
      <c r="X1230" s="504"/>
      <c r="Y1230" s="504"/>
      <c r="Z1230" s="504"/>
      <c r="AA1230" s="504"/>
      <c r="AB1230" s="504"/>
      <c r="AC1230" s="504"/>
      <c r="AD1230" s="504"/>
    </row>
    <row r="1231" spans="1:30" s="505" customFormat="1" ht="41.25" hidden="1" customHeight="1">
      <c r="A1231" s="492"/>
      <c r="B1231" s="643"/>
      <c r="C1231" s="513">
        <v>11</v>
      </c>
      <c r="D1231" s="514"/>
      <c r="E1231" s="670" t="s">
        <v>30</v>
      </c>
      <c r="F1231" s="670"/>
      <c r="G1231" s="670"/>
      <c r="H1231" s="670"/>
      <c r="I1231" s="670"/>
      <c r="J1231" s="670"/>
      <c r="K1231" s="670"/>
      <c r="L1231" s="498">
        <v>493.8</v>
      </c>
      <c r="M1231" s="459">
        <f>L1231</f>
        <v>493.8</v>
      </c>
      <c r="N1231" s="655"/>
      <c r="O1231" s="656"/>
      <c r="P1231" s="657"/>
      <c r="Q1231" s="671"/>
      <c r="R1231" s="672"/>
      <c r="S1231" s="673"/>
      <c r="T1231" s="457">
        <f>H1228*M1231*N1228*O1228*P1228</f>
        <v>0</v>
      </c>
      <c r="U1231" s="458">
        <f>T1231</f>
        <v>0</v>
      </c>
      <c r="V1231" s="42"/>
      <c r="W1231" s="503"/>
      <c r="X1231" s="504"/>
      <c r="Y1231" s="504"/>
      <c r="Z1231" s="503">
        <f>T1231</f>
        <v>0</v>
      </c>
      <c r="AA1231" s="504"/>
      <c r="AB1231" s="504"/>
      <c r="AC1231" s="504"/>
      <c r="AD1231" s="504"/>
    </row>
    <row r="1232" spans="1:30" s="505" customFormat="1" ht="41.25" hidden="1" customHeight="1">
      <c r="A1232" s="492"/>
      <c r="B1232" s="643"/>
      <c r="C1232" s="513"/>
      <c r="D1232" s="514"/>
      <c r="E1232" s="670" t="s">
        <v>31</v>
      </c>
      <c r="F1232" s="670"/>
      <c r="G1232" s="670"/>
      <c r="H1232" s="670"/>
      <c r="I1232" s="670"/>
      <c r="J1232" s="670"/>
      <c r="K1232" s="670"/>
      <c r="L1232" s="498">
        <f>ROUND((I1228+J1228+K1228)*2.14%,2)</f>
        <v>257.29000000000002</v>
      </c>
      <c r="M1232" s="459">
        <f>L1232</f>
        <v>257.29000000000002</v>
      </c>
      <c r="N1232" s="655"/>
      <c r="O1232" s="656"/>
      <c r="P1232" s="657"/>
      <c r="Q1232" s="671"/>
      <c r="R1232" s="672"/>
      <c r="S1232" s="673"/>
      <c r="T1232" s="457">
        <f>H1228*M1232*N1228*O1228*P1228</f>
        <v>0</v>
      </c>
      <c r="U1232" s="458">
        <f>T1232</f>
        <v>0</v>
      </c>
      <c r="V1232" s="42"/>
      <c r="W1232" s="504"/>
      <c r="X1232" s="503"/>
      <c r="Y1232" s="504"/>
      <c r="Z1232" s="504"/>
      <c r="AA1232" s="503">
        <f>T1232</f>
        <v>0</v>
      </c>
      <c r="AB1232" s="504"/>
      <c r="AC1232" s="504"/>
      <c r="AD1232" s="504"/>
    </row>
    <row r="1233" spans="1:30" s="505" customFormat="1" ht="41.25" hidden="1" customHeight="1">
      <c r="A1233" s="492"/>
      <c r="B1233" s="643"/>
      <c r="C1233" s="515"/>
      <c r="D1233" s="514"/>
      <c r="E1233" s="670" t="s">
        <v>376</v>
      </c>
      <c r="F1233" s="670"/>
      <c r="G1233" s="670"/>
      <c r="H1233" s="670"/>
      <c r="I1233" s="670"/>
      <c r="J1233" s="670"/>
      <c r="K1233" s="670"/>
      <c r="L1233" s="498">
        <f>ROUND((I1228+J1228+K1228+L1231+L1232+L1236)*3%,2)-0.01</f>
        <v>397.97</v>
      </c>
      <c r="M1233" s="459">
        <f>L1233</f>
        <v>397.97</v>
      </c>
      <c r="N1233" s="655"/>
      <c r="O1233" s="656"/>
      <c r="P1233" s="657"/>
      <c r="Q1233" s="671"/>
      <c r="R1233" s="672"/>
      <c r="S1233" s="673"/>
      <c r="T1233" s="457">
        <f>H1228*M1233*N1228*O1228*P1228</f>
        <v>0</v>
      </c>
      <c r="U1233" s="458">
        <f>T1233</f>
        <v>0</v>
      </c>
      <c r="V1233" s="42"/>
      <c r="W1233" s="504"/>
      <c r="X1233" s="504"/>
      <c r="Y1233" s="503"/>
      <c r="Z1233" s="504"/>
      <c r="AA1233" s="504"/>
      <c r="AB1233" s="503">
        <f>T1233</f>
        <v>0</v>
      </c>
      <c r="AC1233" s="504"/>
      <c r="AD1233" s="504"/>
    </row>
    <row r="1234" spans="1:30" s="505" customFormat="1" ht="54.75" hidden="1" customHeight="1">
      <c r="A1234" s="492"/>
      <c r="B1234" s="643"/>
      <c r="C1234" s="515"/>
      <c r="D1234" s="514"/>
      <c r="E1234" s="670" t="s">
        <v>377</v>
      </c>
      <c r="F1234" s="670"/>
      <c r="G1234" s="670"/>
      <c r="H1234" s="670"/>
      <c r="I1234" s="670"/>
      <c r="J1234" s="670"/>
      <c r="K1234" s="670"/>
      <c r="L1234" s="498">
        <f>1293.77-K1228-L1231-L1232-L1236</f>
        <v>0</v>
      </c>
      <c r="M1234" s="459">
        <f>L1234</f>
        <v>0</v>
      </c>
      <c r="N1234" s="655"/>
      <c r="O1234" s="656"/>
      <c r="P1234" s="657"/>
      <c r="Q1234" s="671"/>
      <c r="R1234" s="672"/>
      <c r="S1234" s="673"/>
      <c r="T1234" s="457">
        <f>H1228*M1234*N1228*O1228*P1228</f>
        <v>0</v>
      </c>
      <c r="U1234" s="458">
        <f>T1234</f>
        <v>0</v>
      </c>
      <c r="V1234" s="42"/>
      <c r="W1234" s="504"/>
      <c r="X1234" s="504"/>
      <c r="Y1234" s="504"/>
      <c r="Z1234" s="506"/>
      <c r="AA1234" s="504"/>
      <c r="AB1234" s="504"/>
      <c r="AC1234" s="506">
        <f>T1234</f>
        <v>0</v>
      </c>
      <c r="AD1234" s="504"/>
    </row>
    <row r="1235" spans="1:30" s="505" customFormat="1" ht="45" hidden="1" customHeight="1">
      <c r="A1235" s="492"/>
      <c r="B1235" s="643"/>
      <c r="C1235" s="515"/>
      <c r="D1235" s="514"/>
      <c r="E1235" s="674"/>
      <c r="F1235" s="675"/>
      <c r="G1235" s="675"/>
      <c r="H1235" s="675"/>
      <c r="I1235" s="675"/>
      <c r="J1235" s="675"/>
      <c r="K1235" s="675"/>
      <c r="L1235" s="675"/>
      <c r="M1235" s="676"/>
      <c r="N1235" s="655"/>
      <c r="O1235" s="656"/>
      <c r="P1235" s="657"/>
      <c r="Q1235" s="677"/>
      <c r="R1235" s="678"/>
      <c r="S1235" s="678"/>
      <c r="T1235" s="678"/>
      <c r="U1235" s="679"/>
      <c r="V1235" s="45"/>
      <c r="W1235" s="504"/>
      <c r="X1235" s="504"/>
      <c r="Y1235" s="504"/>
      <c r="Z1235" s="504"/>
      <c r="AA1235" s="506"/>
      <c r="AB1235" s="504"/>
      <c r="AC1235" s="504"/>
      <c r="AD1235" s="504"/>
    </row>
    <row r="1236" spans="1:30" s="505" customFormat="1" ht="45" hidden="1" customHeight="1" thickBot="1">
      <c r="A1236" s="492"/>
      <c r="B1236" s="644"/>
      <c r="C1236" s="516"/>
      <c r="D1236" s="517"/>
      <c r="E1236" s="680" t="s">
        <v>369</v>
      </c>
      <c r="F1236" s="680" t="s">
        <v>306</v>
      </c>
      <c r="G1236" s="680"/>
      <c r="H1236" s="680"/>
      <c r="I1236" s="680"/>
      <c r="J1236" s="680"/>
      <c r="K1236" s="680"/>
      <c r="L1236" s="499">
        <f>ROUND((I1228+J1228+K1228+L1231)*3.93%,2)</f>
        <v>491.91</v>
      </c>
      <c r="M1236" s="46">
        <f>L1236</f>
        <v>491.91</v>
      </c>
      <c r="N1236" s="658"/>
      <c r="O1236" s="659"/>
      <c r="P1236" s="660"/>
      <c r="Q1236" s="681"/>
      <c r="R1236" s="682"/>
      <c r="S1236" s="683"/>
      <c r="T1236" s="500">
        <f>H1228*M1236*N1228*O1228*P1228</f>
        <v>0</v>
      </c>
      <c r="U1236" s="47">
        <f>T1236</f>
        <v>0</v>
      </c>
      <c r="V1236" s="48"/>
      <c r="W1236" s="504"/>
      <c r="X1236" s="504"/>
      <c r="Y1236" s="504"/>
      <c r="Z1236" s="504"/>
      <c r="AA1236" s="504"/>
      <c r="AB1236" s="506"/>
      <c r="AC1236" s="504"/>
      <c r="AD1236" s="506">
        <f>T1236</f>
        <v>0</v>
      </c>
    </row>
    <row r="1237" spans="1:30" s="505" customFormat="1" ht="150" hidden="1" customHeight="1">
      <c r="A1237" s="492"/>
      <c r="B1237" s="642">
        <v>2</v>
      </c>
      <c r="C1237" s="511">
        <v>1</v>
      </c>
      <c r="D1237" s="512"/>
      <c r="E1237" s="493" t="s">
        <v>621</v>
      </c>
      <c r="F1237" s="487" t="s">
        <v>622</v>
      </c>
      <c r="G1237" s="645" t="s">
        <v>357</v>
      </c>
      <c r="H1237" s="712">
        <v>0</v>
      </c>
      <c r="I1237" s="494">
        <v>0</v>
      </c>
      <c r="J1237" s="494">
        <v>12377.41</v>
      </c>
      <c r="K1237" s="494">
        <v>50.77</v>
      </c>
      <c r="L1237" s="494">
        <f>SUM(L1239:L1245)</f>
        <v>1679.3399999999997</v>
      </c>
      <c r="M1237" s="33">
        <f>SUM(I1237:L1237)</f>
        <v>14107.52</v>
      </c>
      <c r="N1237" s="501">
        <v>1</v>
      </c>
      <c r="O1237" s="502">
        <v>1</v>
      </c>
      <c r="P1237" s="37">
        <v>1</v>
      </c>
      <c r="Q1237" s="34">
        <f>H1237*I1237*N1237*O1237*P1237</f>
        <v>0</v>
      </c>
      <c r="R1237" s="35">
        <f>H1237*J1237*N1237*O1237*P1237</f>
        <v>0</v>
      </c>
      <c r="S1237" s="36">
        <f>H1237*K1237*N1237*O1237*P1237</f>
        <v>0</v>
      </c>
      <c r="T1237" s="36">
        <f>H1237*L1237*N1237*O1237*P1237</f>
        <v>0</v>
      </c>
      <c r="U1237" s="37">
        <f>SUM(Q1237:T1237)</f>
        <v>0</v>
      </c>
      <c r="V1237" s="38">
        <f>(Q1237+R1237+S1237+T1241+T1242+T1243+T1245)*'Прогнозная стоимость РСС ИП '!$M$11+T1240*'Прогнозная стоимость РСС ИП '!$M$10</f>
        <v>0</v>
      </c>
      <c r="W1237" s="503">
        <f>T1237</f>
        <v>0</v>
      </c>
      <c r="X1237" s="503">
        <f>U1237</f>
        <v>0</v>
      </c>
      <c r="Y1237" s="503">
        <f>V1237</f>
        <v>0</v>
      </c>
      <c r="Z1237" s="504"/>
      <c r="AA1237" s="504"/>
      <c r="AB1237" s="504"/>
      <c r="AC1237" s="504"/>
      <c r="AD1237" s="504"/>
    </row>
    <row r="1238" spans="1:30" s="505" customFormat="1" ht="41.25" hidden="1" customHeight="1">
      <c r="A1238" s="492"/>
      <c r="B1238" s="643"/>
      <c r="C1238" s="513"/>
      <c r="D1238" s="514"/>
      <c r="E1238" s="495"/>
      <c r="F1238" s="496"/>
      <c r="G1238" s="646"/>
      <c r="H1238" s="713"/>
      <c r="I1238" s="649"/>
      <c r="J1238" s="650"/>
      <c r="K1238" s="650"/>
      <c r="L1238" s="650"/>
      <c r="M1238" s="651"/>
      <c r="N1238" s="652"/>
      <c r="O1238" s="653"/>
      <c r="P1238" s="654"/>
      <c r="Q1238" s="661"/>
      <c r="R1238" s="662"/>
      <c r="S1238" s="662"/>
      <c r="T1238" s="662"/>
      <c r="U1238" s="663"/>
      <c r="V1238" s="40"/>
      <c r="W1238" s="504"/>
      <c r="X1238" s="504"/>
      <c r="Y1238" s="504"/>
      <c r="Z1238" s="504"/>
      <c r="AA1238" s="504"/>
      <c r="AB1238" s="504"/>
      <c r="AC1238" s="504"/>
      <c r="AD1238" s="504"/>
    </row>
    <row r="1239" spans="1:30" s="505" customFormat="1" ht="41.25" hidden="1" customHeight="1">
      <c r="A1239" s="492"/>
      <c r="B1239" s="643"/>
      <c r="C1239" s="513"/>
      <c r="D1239" s="514"/>
      <c r="E1239" s="664" t="s">
        <v>29</v>
      </c>
      <c r="F1239" s="665"/>
      <c r="G1239" s="665"/>
      <c r="H1239" s="665"/>
      <c r="I1239" s="665"/>
      <c r="J1239" s="665"/>
      <c r="K1239" s="665"/>
      <c r="L1239" s="665"/>
      <c r="M1239" s="666"/>
      <c r="N1239" s="655"/>
      <c r="O1239" s="656"/>
      <c r="P1239" s="657"/>
      <c r="Q1239" s="667"/>
      <c r="R1239" s="668"/>
      <c r="S1239" s="668"/>
      <c r="T1239" s="668"/>
      <c r="U1239" s="669"/>
      <c r="V1239" s="42"/>
      <c r="W1239" s="504"/>
      <c r="X1239" s="504"/>
      <c r="Y1239" s="504"/>
      <c r="Z1239" s="504"/>
      <c r="AA1239" s="504"/>
      <c r="AB1239" s="504"/>
      <c r="AC1239" s="504"/>
      <c r="AD1239" s="504"/>
    </row>
    <row r="1240" spans="1:30" s="505" customFormat="1" ht="41.25" hidden="1" customHeight="1">
      <c r="A1240" s="492"/>
      <c r="B1240" s="643"/>
      <c r="C1240" s="513">
        <v>11</v>
      </c>
      <c r="D1240" s="514"/>
      <c r="E1240" s="670" t="s">
        <v>30</v>
      </c>
      <c r="F1240" s="670"/>
      <c r="G1240" s="670"/>
      <c r="H1240" s="670"/>
      <c r="I1240" s="670"/>
      <c r="J1240" s="670"/>
      <c r="K1240" s="670"/>
      <c r="L1240" s="498">
        <v>494.61</v>
      </c>
      <c r="M1240" s="459">
        <f>L1240</f>
        <v>494.61</v>
      </c>
      <c r="N1240" s="655"/>
      <c r="O1240" s="656"/>
      <c r="P1240" s="657"/>
      <c r="Q1240" s="671"/>
      <c r="R1240" s="672"/>
      <c r="S1240" s="673"/>
      <c r="T1240" s="457">
        <f>H1237*M1240*N1237*O1237*P1237</f>
        <v>0</v>
      </c>
      <c r="U1240" s="458">
        <f>T1240</f>
        <v>0</v>
      </c>
      <c r="V1240" s="42"/>
      <c r="W1240" s="503"/>
      <c r="X1240" s="504"/>
      <c r="Y1240" s="504"/>
      <c r="Z1240" s="503">
        <f>T1240</f>
        <v>0</v>
      </c>
      <c r="AA1240" s="504"/>
      <c r="AB1240" s="504"/>
      <c r="AC1240" s="504"/>
      <c r="AD1240" s="504"/>
    </row>
    <row r="1241" spans="1:30" s="505" customFormat="1" ht="41.25" hidden="1" customHeight="1">
      <c r="A1241" s="492"/>
      <c r="B1241" s="643"/>
      <c r="C1241" s="513"/>
      <c r="D1241" s="514"/>
      <c r="E1241" s="670" t="s">
        <v>31</v>
      </c>
      <c r="F1241" s="670"/>
      <c r="G1241" s="670"/>
      <c r="H1241" s="670"/>
      <c r="I1241" s="670"/>
      <c r="J1241" s="670"/>
      <c r="K1241" s="670"/>
      <c r="L1241" s="498">
        <f>ROUND((I1237+J1237+K1237)*2.14%,2)</f>
        <v>265.95999999999998</v>
      </c>
      <c r="M1241" s="459">
        <f>L1241</f>
        <v>265.95999999999998</v>
      </c>
      <c r="N1241" s="655"/>
      <c r="O1241" s="656"/>
      <c r="P1241" s="657"/>
      <c r="Q1241" s="671"/>
      <c r="R1241" s="672"/>
      <c r="S1241" s="673"/>
      <c r="T1241" s="457">
        <f>H1237*M1241*N1237*O1237*P1237</f>
        <v>0</v>
      </c>
      <c r="U1241" s="458">
        <f>T1241</f>
        <v>0</v>
      </c>
      <c r="V1241" s="42"/>
      <c r="W1241" s="504"/>
      <c r="X1241" s="503"/>
      <c r="Y1241" s="504"/>
      <c r="Z1241" s="504"/>
      <c r="AA1241" s="503">
        <f>T1241</f>
        <v>0</v>
      </c>
      <c r="AB1241" s="504"/>
      <c r="AC1241" s="504"/>
      <c r="AD1241" s="504"/>
    </row>
    <row r="1242" spans="1:30" s="505" customFormat="1" ht="41.25" hidden="1" customHeight="1">
      <c r="A1242" s="492"/>
      <c r="B1242" s="643"/>
      <c r="C1242" s="515"/>
      <c r="D1242" s="514"/>
      <c r="E1242" s="670" t="s">
        <v>376</v>
      </c>
      <c r="F1242" s="670"/>
      <c r="G1242" s="670"/>
      <c r="H1242" s="670"/>
      <c r="I1242" s="670"/>
      <c r="J1242" s="670"/>
      <c r="K1242" s="670"/>
      <c r="L1242" s="498">
        <f>ROUND((I1237+J1237+K1237+L1240+L1241+L1245)*3%,2)</f>
        <v>410.9</v>
      </c>
      <c r="M1242" s="459">
        <f>L1242</f>
        <v>410.9</v>
      </c>
      <c r="N1242" s="655"/>
      <c r="O1242" s="656"/>
      <c r="P1242" s="657"/>
      <c r="Q1242" s="671"/>
      <c r="R1242" s="672"/>
      <c r="S1242" s="673"/>
      <c r="T1242" s="457">
        <f>H1237*M1242*N1237*O1237*P1237</f>
        <v>0</v>
      </c>
      <c r="U1242" s="458">
        <f>T1242</f>
        <v>0</v>
      </c>
      <c r="V1242" s="42"/>
      <c r="W1242" s="504"/>
      <c r="X1242" s="504"/>
      <c r="Y1242" s="503"/>
      <c r="Z1242" s="504"/>
      <c r="AA1242" s="504"/>
      <c r="AB1242" s="503">
        <f>T1242</f>
        <v>0</v>
      </c>
      <c r="AC1242" s="504"/>
      <c r="AD1242" s="504"/>
    </row>
    <row r="1243" spans="1:30" s="505" customFormat="1" ht="54.75" hidden="1" customHeight="1">
      <c r="A1243" s="492"/>
      <c r="B1243" s="643"/>
      <c r="C1243" s="515"/>
      <c r="D1243" s="514"/>
      <c r="E1243" s="670" t="s">
        <v>377</v>
      </c>
      <c r="F1243" s="670"/>
      <c r="G1243" s="670"/>
      <c r="H1243" s="670"/>
      <c r="I1243" s="670"/>
      <c r="J1243" s="670"/>
      <c r="K1243" s="670"/>
      <c r="L1243" s="498">
        <f>1319.21-K1237-L1240-L1241-L1245</f>
        <v>0</v>
      </c>
      <c r="M1243" s="459">
        <f>L1243</f>
        <v>0</v>
      </c>
      <c r="N1243" s="655"/>
      <c r="O1243" s="656"/>
      <c r="P1243" s="657"/>
      <c r="Q1243" s="671"/>
      <c r="R1243" s="672"/>
      <c r="S1243" s="673"/>
      <c r="T1243" s="457">
        <f>H1237*M1243*N1237*O1237*P1237</f>
        <v>0</v>
      </c>
      <c r="U1243" s="458">
        <f>T1243</f>
        <v>0</v>
      </c>
      <c r="V1243" s="42"/>
      <c r="W1243" s="504"/>
      <c r="X1243" s="504"/>
      <c r="Y1243" s="504"/>
      <c r="Z1243" s="506"/>
      <c r="AA1243" s="504"/>
      <c r="AB1243" s="504"/>
      <c r="AC1243" s="506">
        <f>T1243</f>
        <v>0</v>
      </c>
      <c r="AD1243" s="504"/>
    </row>
    <row r="1244" spans="1:30" s="505" customFormat="1" ht="45" hidden="1" customHeight="1">
      <c r="A1244" s="492"/>
      <c r="B1244" s="643"/>
      <c r="C1244" s="515"/>
      <c r="D1244" s="514"/>
      <c r="E1244" s="674"/>
      <c r="F1244" s="675"/>
      <c r="G1244" s="675"/>
      <c r="H1244" s="675"/>
      <c r="I1244" s="675"/>
      <c r="J1244" s="675"/>
      <c r="K1244" s="675"/>
      <c r="L1244" s="675"/>
      <c r="M1244" s="676"/>
      <c r="N1244" s="655"/>
      <c r="O1244" s="656"/>
      <c r="P1244" s="657"/>
      <c r="Q1244" s="677"/>
      <c r="R1244" s="678"/>
      <c r="S1244" s="678"/>
      <c r="T1244" s="678"/>
      <c r="U1244" s="679"/>
      <c r="V1244" s="45"/>
      <c r="W1244" s="504"/>
      <c r="X1244" s="504"/>
      <c r="Y1244" s="504"/>
      <c r="Z1244" s="504"/>
      <c r="AA1244" s="506"/>
      <c r="AB1244" s="504"/>
      <c r="AC1244" s="504"/>
      <c r="AD1244" s="504"/>
    </row>
    <row r="1245" spans="1:30" s="505" customFormat="1" ht="45" hidden="1" customHeight="1" thickBot="1">
      <c r="A1245" s="492"/>
      <c r="B1245" s="644"/>
      <c r="C1245" s="516"/>
      <c r="D1245" s="517"/>
      <c r="E1245" s="680" t="s">
        <v>369</v>
      </c>
      <c r="F1245" s="680" t="s">
        <v>306</v>
      </c>
      <c r="G1245" s="680"/>
      <c r="H1245" s="680"/>
      <c r="I1245" s="680"/>
      <c r="J1245" s="680"/>
      <c r="K1245" s="680"/>
      <c r="L1245" s="499">
        <f>ROUND((I1237+J1237+K1237+L1240)*3.93%,2)</f>
        <v>507.87</v>
      </c>
      <c r="M1245" s="46">
        <f>L1245</f>
        <v>507.87</v>
      </c>
      <c r="N1245" s="658"/>
      <c r="O1245" s="659"/>
      <c r="P1245" s="660"/>
      <c r="Q1245" s="681"/>
      <c r="R1245" s="682"/>
      <c r="S1245" s="683"/>
      <c r="T1245" s="500">
        <f>H1237*M1245*N1237*O1237*P1237</f>
        <v>0</v>
      </c>
      <c r="U1245" s="47">
        <f>T1245</f>
        <v>0</v>
      </c>
      <c r="V1245" s="48"/>
      <c r="W1245" s="504"/>
      <c r="X1245" s="504"/>
      <c r="Y1245" s="504"/>
      <c r="Z1245" s="504"/>
      <c r="AA1245" s="504"/>
      <c r="AB1245" s="506"/>
      <c r="AC1245" s="504"/>
      <c r="AD1245" s="506">
        <f>T1245</f>
        <v>0</v>
      </c>
    </row>
    <row r="1246" spans="1:30" s="505" customFormat="1" ht="150" hidden="1" customHeight="1">
      <c r="A1246" s="492"/>
      <c r="B1246" s="642">
        <v>2</v>
      </c>
      <c r="C1246" s="511">
        <v>1</v>
      </c>
      <c r="D1246" s="512"/>
      <c r="E1246" s="493" t="s">
        <v>623</v>
      </c>
      <c r="F1246" s="487" t="s">
        <v>624</v>
      </c>
      <c r="G1246" s="645" t="s">
        <v>357</v>
      </c>
      <c r="H1246" s="712">
        <v>0</v>
      </c>
      <c r="I1246" s="494">
        <v>0</v>
      </c>
      <c r="J1246" s="494">
        <v>13009.9</v>
      </c>
      <c r="K1246" s="494">
        <v>50.77</v>
      </c>
      <c r="L1246" s="494">
        <f>SUM(L1248:L1254)</f>
        <v>1739.2</v>
      </c>
      <c r="M1246" s="33">
        <f>SUM(I1246:L1246)</f>
        <v>14799.87</v>
      </c>
      <c r="N1246" s="501">
        <v>1</v>
      </c>
      <c r="O1246" s="502">
        <v>1</v>
      </c>
      <c r="P1246" s="37">
        <v>1</v>
      </c>
      <c r="Q1246" s="34">
        <f>H1246*I1246*N1246*O1246*P1246</f>
        <v>0</v>
      </c>
      <c r="R1246" s="35">
        <f>H1246*J1246*N1246*O1246*P1246</f>
        <v>0</v>
      </c>
      <c r="S1246" s="36">
        <f>H1246*K1246*N1246*O1246*P1246</f>
        <v>0</v>
      </c>
      <c r="T1246" s="36">
        <f>H1246*L1246*N1246*O1246*P1246</f>
        <v>0</v>
      </c>
      <c r="U1246" s="37">
        <f>SUM(Q1246:T1246)</f>
        <v>0</v>
      </c>
      <c r="V1246" s="38">
        <f>(Q1246+R1246+S1246+T1250+T1251+T1252+T1254)*'Прогнозная стоимость РСС ИП '!$M$11+T1249*'Прогнозная стоимость РСС ИП '!$M$10</f>
        <v>0</v>
      </c>
      <c r="W1246" s="503">
        <f>T1246</f>
        <v>0</v>
      </c>
      <c r="X1246" s="503">
        <f>U1246</f>
        <v>0</v>
      </c>
      <c r="Y1246" s="503">
        <f>V1246</f>
        <v>0</v>
      </c>
      <c r="Z1246" s="504"/>
      <c r="AA1246" s="504"/>
      <c r="AB1246" s="504"/>
      <c r="AC1246" s="504"/>
      <c r="AD1246" s="504"/>
    </row>
    <row r="1247" spans="1:30" s="505" customFormat="1" ht="41.25" hidden="1" customHeight="1">
      <c r="A1247" s="492"/>
      <c r="B1247" s="643"/>
      <c r="C1247" s="513"/>
      <c r="D1247" s="514"/>
      <c r="E1247" s="495"/>
      <c r="F1247" s="496"/>
      <c r="G1247" s="646"/>
      <c r="H1247" s="713"/>
      <c r="I1247" s="649"/>
      <c r="J1247" s="650"/>
      <c r="K1247" s="650"/>
      <c r="L1247" s="650"/>
      <c r="M1247" s="651"/>
      <c r="N1247" s="652"/>
      <c r="O1247" s="653"/>
      <c r="P1247" s="654"/>
      <c r="Q1247" s="661"/>
      <c r="R1247" s="662"/>
      <c r="S1247" s="662"/>
      <c r="T1247" s="662"/>
      <c r="U1247" s="663"/>
      <c r="V1247" s="40"/>
      <c r="W1247" s="504"/>
      <c r="X1247" s="504"/>
      <c r="Y1247" s="504"/>
      <c r="Z1247" s="504"/>
      <c r="AA1247" s="504"/>
      <c r="AB1247" s="504"/>
      <c r="AC1247" s="504"/>
      <c r="AD1247" s="504"/>
    </row>
    <row r="1248" spans="1:30" s="505" customFormat="1" ht="41.25" hidden="1" customHeight="1">
      <c r="A1248" s="492"/>
      <c r="B1248" s="643"/>
      <c r="C1248" s="513"/>
      <c r="D1248" s="514"/>
      <c r="E1248" s="664" t="s">
        <v>29</v>
      </c>
      <c r="F1248" s="665"/>
      <c r="G1248" s="665"/>
      <c r="H1248" s="665"/>
      <c r="I1248" s="665"/>
      <c r="J1248" s="665"/>
      <c r="K1248" s="665"/>
      <c r="L1248" s="665"/>
      <c r="M1248" s="666"/>
      <c r="N1248" s="655"/>
      <c r="O1248" s="656"/>
      <c r="P1248" s="657"/>
      <c r="Q1248" s="667"/>
      <c r="R1248" s="668"/>
      <c r="S1248" s="668"/>
      <c r="T1248" s="668"/>
      <c r="U1248" s="669"/>
      <c r="V1248" s="42"/>
      <c r="W1248" s="504"/>
      <c r="X1248" s="504"/>
      <c r="Y1248" s="504"/>
      <c r="Z1248" s="504"/>
      <c r="AA1248" s="504"/>
      <c r="AB1248" s="504"/>
      <c r="AC1248" s="504"/>
      <c r="AD1248" s="504"/>
    </row>
    <row r="1249" spans="1:30" s="505" customFormat="1" ht="41.25" hidden="1" customHeight="1">
      <c r="A1249" s="492"/>
      <c r="B1249" s="643"/>
      <c r="C1249" s="513">
        <v>11</v>
      </c>
      <c r="D1249" s="514"/>
      <c r="E1249" s="670" t="s">
        <v>30</v>
      </c>
      <c r="F1249" s="670"/>
      <c r="G1249" s="670"/>
      <c r="H1249" s="670"/>
      <c r="I1249" s="670"/>
      <c r="J1249" s="670"/>
      <c r="K1249" s="670"/>
      <c r="L1249" s="498">
        <v>495.87</v>
      </c>
      <c r="M1249" s="459">
        <f>L1249</f>
        <v>495.87</v>
      </c>
      <c r="N1249" s="655"/>
      <c r="O1249" s="656"/>
      <c r="P1249" s="657"/>
      <c r="Q1249" s="671"/>
      <c r="R1249" s="672"/>
      <c r="S1249" s="673"/>
      <c r="T1249" s="457">
        <f>H1246*M1249*N1246*O1246*P1246</f>
        <v>0</v>
      </c>
      <c r="U1249" s="458">
        <f>T1249</f>
        <v>0</v>
      </c>
      <c r="V1249" s="42"/>
      <c r="W1249" s="503"/>
      <c r="X1249" s="504"/>
      <c r="Y1249" s="504"/>
      <c r="Z1249" s="503">
        <f>T1249</f>
        <v>0</v>
      </c>
      <c r="AA1249" s="504"/>
      <c r="AB1249" s="504"/>
      <c r="AC1249" s="504"/>
      <c r="AD1249" s="504"/>
    </row>
    <row r="1250" spans="1:30" s="505" customFormat="1" ht="41.25" hidden="1" customHeight="1">
      <c r="A1250" s="492"/>
      <c r="B1250" s="643"/>
      <c r="C1250" s="513"/>
      <c r="D1250" s="514"/>
      <c r="E1250" s="670" t="s">
        <v>31</v>
      </c>
      <c r="F1250" s="670"/>
      <c r="G1250" s="670"/>
      <c r="H1250" s="670"/>
      <c r="I1250" s="670"/>
      <c r="J1250" s="670"/>
      <c r="K1250" s="670"/>
      <c r="L1250" s="498">
        <f>ROUND((I1246+J1246+K1246)*2.14%,2)</f>
        <v>279.5</v>
      </c>
      <c r="M1250" s="459">
        <f>L1250</f>
        <v>279.5</v>
      </c>
      <c r="N1250" s="655"/>
      <c r="O1250" s="656"/>
      <c r="P1250" s="657"/>
      <c r="Q1250" s="671"/>
      <c r="R1250" s="672"/>
      <c r="S1250" s="673"/>
      <c r="T1250" s="457">
        <f>H1246*M1250*N1246*O1246*P1246</f>
        <v>0</v>
      </c>
      <c r="U1250" s="458">
        <f>T1250</f>
        <v>0</v>
      </c>
      <c r="V1250" s="42"/>
      <c r="W1250" s="504"/>
      <c r="X1250" s="503"/>
      <c r="Y1250" s="504"/>
      <c r="Z1250" s="504"/>
      <c r="AA1250" s="503">
        <f>T1250</f>
        <v>0</v>
      </c>
      <c r="AB1250" s="504"/>
      <c r="AC1250" s="504"/>
      <c r="AD1250" s="504"/>
    </row>
    <row r="1251" spans="1:30" s="505" customFormat="1" ht="41.25" hidden="1" customHeight="1">
      <c r="A1251" s="492"/>
      <c r="B1251" s="643"/>
      <c r="C1251" s="515"/>
      <c r="D1251" s="514"/>
      <c r="E1251" s="670" t="s">
        <v>376</v>
      </c>
      <c r="F1251" s="670"/>
      <c r="G1251" s="670"/>
      <c r="H1251" s="670"/>
      <c r="I1251" s="670"/>
      <c r="J1251" s="670"/>
      <c r="K1251" s="670"/>
      <c r="L1251" s="498">
        <f>ROUND((I1246+J1246+K1246+L1249+L1250+L1254)*3%,2)</f>
        <v>431.06</v>
      </c>
      <c r="M1251" s="459">
        <f>L1251</f>
        <v>431.06</v>
      </c>
      <c r="N1251" s="655"/>
      <c r="O1251" s="656"/>
      <c r="P1251" s="657"/>
      <c r="Q1251" s="671"/>
      <c r="R1251" s="672"/>
      <c r="S1251" s="673"/>
      <c r="T1251" s="457">
        <f>H1246*M1251*N1246*O1246*P1246</f>
        <v>0</v>
      </c>
      <c r="U1251" s="458">
        <f>T1251</f>
        <v>0</v>
      </c>
      <c r="V1251" s="42"/>
      <c r="W1251" s="504"/>
      <c r="X1251" s="504"/>
      <c r="Y1251" s="503"/>
      <c r="Z1251" s="504"/>
      <c r="AA1251" s="504"/>
      <c r="AB1251" s="503">
        <f>T1251</f>
        <v>0</v>
      </c>
      <c r="AC1251" s="504"/>
      <c r="AD1251" s="504"/>
    </row>
    <row r="1252" spans="1:30" s="505" customFormat="1" ht="54.75" hidden="1" customHeight="1">
      <c r="A1252" s="492"/>
      <c r="B1252" s="643"/>
      <c r="C1252" s="515"/>
      <c r="D1252" s="514"/>
      <c r="E1252" s="670" t="s">
        <v>377</v>
      </c>
      <c r="F1252" s="670"/>
      <c r="G1252" s="670"/>
      <c r="H1252" s="670"/>
      <c r="I1252" s="670"/>
      <c r="J1252" s="670"/>
      <c r="K1252" s="670"/>
      <c r="L1252" s="498">
        <f>1358.91-K1246-L1249-L1250-L1254</f>
        <v>0</v>
      </c>
      <c r="M1252" s="459">
        <f>L1252</f>
        <v>0</v>
      </c>
      <c r="N1252" s="655"/>
      <c r="O1252" s="656"/>
      <c r="P1252" s="657"/>
      <c r="Q1252" s="671"/>
      <c r="R1252" s="672"/>
      <c r="S1252" s="673"/>
      <c r="T1252" s="457">
        <f>H1246*M1252*N1246*O1246*P1246</f>
        <v>0</v>
      </c>
      <c r="U1252" s="458">
        <f>T1252</f>
        <v>0</v>
      </c>
      <c r="V1252" s="42"/>
      <c r="W1252" s="504"/>
      <c r="X1252" s="504"/>
      <c r="Y1252" s="504"/>
      <c r="Z1252" s="506"/>
      <c r="AA1252" s="504"/>
      <c r="AB1252" s="504"/>
      <c r="AC1252" s="506">
        <f>T1252</f>
        <v>0</v>
      </c>
      <c r="AD1252" s="504"/>
    </row>
    <row r="1253" spans="1:30" s="505" customFormat="1" ht="45" hidden="1" customHeight="1">
      <c r="A1253" s="492"/>
      <c r="B1253" s="643"/>
      <c r="C1253" s="515"/>
      <c r="D1253" s="514"/>
      <c r="E1253" s="674"/>
      <c r="F1253" s="675"/>
      <c r="G1253" s="675"/>
      <c r="H1253" s="675"/>
      <c r="I1253" s="675"/>
      <c r="J1253" s="675"/>
      <c r="K1253" s="675"/>
      <c r="L1253" s="675"/>
      <c r="M1253" s="676"/>
      <c r="N1253" s="655"/>
      <c r="O1253" s="656"/>
      <c r="P1253" s="657"/>
      <c r="Q1253" s="677"/>
      <c r="R1253" s="678"/>
      <c r="S1253" s="678"/>
      <c r="T1253" s="678"/>
      <c r="U1253" s="679"/>
      <c r="V1253" s="45"/>
      <c r="W1253" s="504"/>
      <c r="X1253" s="504"/>
      <c r="Y1253" s="504"/>
      <c r="Z1253" s="504"/>
      <c r="AA1253" s="506"/>
      <c r="AB1253" s="504"/>
      <c r="AC1253" s="504"/>
      <c r="AD1253" s="504"/>
    </row>
    <row r="1254" spans="1:30" s="505" customFormat="1" ht="45" hidden="1" customHeight="1" thickBot="1">
      <c r="A1254" s="492"/>
      <c r="B1254" s="644"/>
      <c r="C1254" s="516"/>
      <c r="D1254" s="517"/>
      <c r="E1254" s="680" t="s">
        <v>369</v>
      </c>
      <c r="F1254" s="680" t="s">
        <v>306</v>
      </c>
      <c r="G1254" s="680"/>
      <c r="H1254" s="680"/>
      <c r="I1254" s="680"/>
      <c r="J1254" s="680"/>
      <c r="K1254" s="680"/>
      <c r="L1254" s="499">
        <f>ROUND((I1246+J1246+K1246+L1249)*3.93%,2)</f>
        <v>532.77</v>
      </c>
      <c r="M1254" s="46">
        <f>L1254</f>
        <v>532.77</v>
      </c>
      <c r="N1254" s="658"/>
      <c r="O1254" s="659"/>
      <c r="P1254" s="660"/>
      <c r="Q1254" s="681"/>
      <c r="R1254" s="682"/>
      <c r="S1254" s="683"/>
      <c r="T1254" s="500">
        <f>H1246*M1254*N1246*O1246*P1246</f>
        <v>0</v>
      </c>
      <c r="U1254" s="47">
        <f>T1254</f>
        <v>0</v>
      </c>
      <c r="V1254" s="48"/>
      <c r="W1254" s="504"/>
      <c r="X1254" s="504"/>
      <c r="Y1254" s="504"/>
      <c r="Z1254" s="504"/>
      <c r="AA1254" s="504"/>
      <c r="AB1254" s="506"/>
      <c r="AC1254" s="504"/>
      <c r="AD1254" s="506">
        <f>T1254</f>
        <v>0</v>
      </c>
    </row>
    <row r="1255" spans="1:30" s="505" customFormat="1" ht="150" hidden="1" customHeight="1">
      <c r="A1255" s="492"/>
      <c r="B1255" s="642">
        <v>2</v>
      </c>
      <c r="C1255" s="511">
        <v>1</v>
      </c>
      <c r="D1255" s="512"/>
      <c r="E1255" s="493" t="s">
        <v>625</v>
      </c>
      <c r="F1255" s="487" t="s">
        <v>626</v>
      </c>
      <c r="G1255" s="645" t="s">
        <v>357</v>
      </c>
      <c r="H1255" s="712">
        <v>0</v>
      </c>
      <c r="I1255" s="494">
        <v>0</v>
      </c>
      <c r="J1255" s="494">
        <v>13848.88</v>
      </c>
      <c r="K1255" s="494">
        <v>50.77</v>
      </c>
      <c r="L1255" s="494">
        <f>SUM(L1257:L1263)</f>
        <v>1818.62</v>
      </c>
      <c r="M1255" s="33">
        <f>SUM(I1255:L1255)</f>
        <v>15718.27</v>
      </c>
      <c r="N1255" s="501">
        <v>1</v>
      </c>
      <c r="O1255" s="502">
        <v>1</v>
      </c>
      <c r="P1255" s="37">
        <v>1</v>
      </c>
      <c r="Q1255" s="34">
        <f>H1255*I1255*N1255*O1255*P1255</f>
        <v>0</v>
      </c>
      <c r="R1255" s="35">
        <f>H1255*J1255*N1255*O1255*P1255</f>
        <v>0</v>
      </c>
      <c r="S1255" s="36">
        <f>H1255*K1255*N1255*O1255*P1255</f>
        <v>0</v>
      </c>
      <c r="T1255" s="36">
        <f>H1255*L1255*N1255*O1255*P1255</f>
        <v>0</v>
      </c>
      <c r="U1255" s="37">
        <f>SUM(Q1255:T1255)</f>
        <v>0</v>
      </c>
      <c r="V1255" s="38">
        <f>(Q1255+R1255+S1255+T1259+T1260+T1261+T1263)*'Прогнозная стоимость РСС ИП '!$M$11+T1258*'Прогнозная стоимость РСС ИП '!$M$10</f>
        <v>0</v>
      </c>
      <c r="W1255" s="503">
        <f>T1255</f>
        <v>0</v>
      </c>
      <c r="X1255" s="503">
        <f>U1255</f>
        <v>0</v>
      </c>
      <c r="Y1255" s="503">
        <f>V1255</f>
        <v>0</v>
      </c>
      <c r="Z1255" s="504"/>
      <c r="AA1255" s="504"/>
      <c r="AB1255" s="504"/>
      <c r="AC1255" s="504"/>
      <c r="AD1255" s="504"/>
    </row>
    <row r="1256" spans="1:30" s="505" customFormat="1" ht="41.25" hidden="1" customHeight="1">
      <c r="A1256" s="492"/>
      <c r="B1256" s="643"/>
      <c r="C1256" s="513"/>
      <c r="D1256" s="514"/>
      <c r="E1256" s="495"/>
      <c r="F1256" s="496"/>
      <c r="G1256" s="646"/>
      <c r="H1256" s="713"/>
      <c r="I1256" s="649"/>
      <c r="J1256" s="650"/>
      <c r="K1256" s="650"/>
      <c r="L1256" s="650"/>
      <c r="M1256" s="651"/>
      <c r="N1256" s="652"/>
      <c r="O1256" s="653"/>
      <c r="P1256" s="654"/>
      <c r="Q1256" s="661"/>
      <c r="R1256" s="662"/>
      <c r="S1256" s="662"/>
      <c r="T1256" s="662"/>
      <c r="U1256" s="663"/>
      <c r="V1256" s="40"/>
      <c r="W1256" s="504"/>
      <c r="X1256" s="504"/>
      <c r="Y1256" s="504"/>
      <c r="Z1256" s="504"/>
      <c r="AA1256" s="504"/>
      <c r="AB1256" s="504"/>
      <c r="AC1256" s="504"/>
      <c r="AD1256" s="504"/>
    </row>
    <row r="1257" spans="1:30" s="505" customFormat="1" ht="41.25" hidden="1" customHeight="1">
      <c r="A1257" s="492"/>
      <c r="B1257" s="643"/>
      <c r="C1257" s="513"/>
      <c r="D1257" s="514"/>
      <c r="E1257" s="664" t="s">
        <v>29</v>
      </c>
      <c r="F1257" s="665"/>
      <c r="G1257" s="665"/>
      <c r="H1257" s="665"/>
      <c r="I1257" s="665"/>
      <c r="J1257" s="665"/>
      <c r="K1257" s="665"/>
      <c r="L1257" s="665"/>
      <c r="M1257" s="666"/>
      <c r="N1257" s="655"/>
      <c r="O1257" s="656"/>
      <c r="P1257" s="657"/>
      <c r="Q1257" s="667"/>
      <c r="R1257" s="668"/>
      <c r="S1257" s="668"/>
      <c r="T1257" s="668"/>
      <c r="U1257" s="669"/>
      <c r="V1257" s="42"/>
      <c r="W1257" s="504"/>
      <c r="X1257" s="504"/>
      <c r="Y1257" s="504"/>
      <c r="Z1257" s="504"/>
      <c r="AA1257" s="504"/>
      <c r="AB1257" s="504"/>
      <c r="AC1257" s="504"/>
      <c r="AD1257" s="504"/>
    </row>
    <row r="1258" spans="1:30" s="505" customFormat="1" ht="41.25" hidden="1" customHeight="1">
      <c r="A1258" s="492"/>
      <c r="B1258" s="643"/>
      <c r="C1258" s="513">
        <v>11</v>
      </c>
      <c r="D1258" s="514"/>
      <c r="E1258" s="670" t="s">
        <v>30</v>
      </c>
      <c r="F1258" s="670"/>
      <c r="G1258" s="670"/>
      <c r="H1258" s="670"/>
      <c r="I1258" s="670"/>
      <c r="J1258" s="670"/>
      <c r="K1258" s="670"/>
      <c r="L1258" s="498">
        <v>497.55</v>
      </c>
      <c r="M1258" s="459">
        <f>L1258</f>
        <v>497.55</v>
      </c>
      <c r="N1258" s="655"/>
      <c r="O1258" s="656"/>
      <c r="P1258" s="657"/>
      <c r="Q1258" s="671"/>
      <c r="R1258" s="672"/>
      <c r="S1258" s="673"/>
      <c r="T1258" s="457">
        <f>H1255*M1258*N1255*O1255*P1255</f>
        <v>0</v>
      </c>
      <c r="U1258" s="458">
        <f>T1258</f>
        <v>0</v>
      </c>
      <c r="V1258" s="42"/>
      <c r="W1258" s="503"/>
      <c r="X1258" s="504"/>
      <c r="Y1258" s="504"/>
      <c r="Z1258" s="503">
        <f>T1258</f>
        <v>0</v>
      </c>
      <c r="AA1258" s="504"/>
      <c r="AB1258" s="504"/>
      <c r="AC1258" s="504"/>
      <c r="AD1258" s="504"/>
    </row>
    <row r="1259" spans="1:30" s="505" customFormat="1" ht="41.25" hidden="1" customHeight="1">
      <c r="A1259" s="492"/>
      <c r="B1259" s="643"/>
      <c r="C1259" s="513"/>
      <c r="D1259" s="514"/>
      <c r="E1259" s="670" t="s">
        <v>31</v>
      </c>
      <c r="F1259" s="670"/>
      <c r="G1259" s="670"/>
      <c r="H1259" s="670"/>
      <c r="I1259" s="670"/>
      <c r="J1259" s="670"/>
      <c r="K1259" s="670"/>
      <c r="L1259" s="498">
        <f>ROUND((I1255+J1255+K1255)*2.14%,2)</f>
        <v>297.45</v>
      </c>
      <c r="M1259" s="459">
        <f>L1259</f>
        <v>297.45</v>
      </c>
      <c r="N1259" s="655"/>
      <c r="O1259" s="656"/>
      <c r="P1259" s="657"/>
      <c r="Q1259" s="671"/>
      <c r="R1259" s="672"/>
      <c r="S1259" s="673"/>
      <c r="T1259" s="457">
        <f>H1255*M1259*N1255*O1255*P1255</f>
        <v>0</v>
      </c>
      <c r="U1259" s="458">
        <f>T1259</f>
        <v>0</v>
      </c>
      <c r="V1259" s="42"/>
      <c r="W1259" s="504"/>
      <c r="X1259" s="503"/>
      <c r="Y1259" s="504"/>
      <c r="Z1259" s="504"/>
      <c r="AA1259" s="503">
        <f>T1259</f>
        <v>0</v>
      </c>
      <c r="AB1259" s="504"/>
      <c r="AC1259" s="504"/>
      <c r="AD1259" s="504"/>
    </row>
    <row r="1260" spans="1:30" s="505" customFormat="1" ht="41.25" hidden="1" customHeight="1">
      <c r="A1260" s="492"/>
      <c r="B1260" s="643"/>
      <c r="C1260" s="515"/>
      <c r="D1260" s="514"/>
      <c r="E1260" s="670" t="s">
        <v>376</v>
      </c>
      <c r="F1260" s="670"/>
      <c r="G1260" s="670"/>
      <c r="H1260" s="670"/>
      <c r="I1260" s="670"/>
      <c r="J1260" s="670"/>
      <c r="K1260" s="670"/>
      <c r="L1260" s="498">
        <f>ROUND((I1255+J1255+K1255+L1258+L1259+L1263)*3%,2)</f>
        <v>457.81</v>
      </c>
      <c r="M1260" s="459">
        <f>L1260</f>
        <v>457.81</v>
      </c>
      <c r="N1260" s="655"/>
      <c r="O1260" s="656"/>
      <c r="P1260" s="657"/>
      <c r="Q1260" s="671"/>
      <c r="R1260" s="672"/>
      <c r="S1260" s="673"/>
      <c r="T1260" s="457">
        <f>H1255*M1260*N1255*O1255*P1255</f>
        <v>0</v>
      </c>
      <c r="U1260" s="458">
        <f>T1260</f>
        <v>0</v>
      </c>
      <c r="V1260" s="42"/>
      <c r="W1260" s="504"/>
      <c r="X1260" s="504"/>
      <c r="Y1260" s="503"/>
      <c r="Z1260" s="504"/>
      <c r="AA1260" s="504"/>
      <c r="AB1260" s="503">
        <f>T1260</f>
        <v>0</v>
      </c>
      <c r="AC1260" s="504"/>
      <c r="AD1260" s="504"/>
    </row>
    <row r="1261" spans="1:30" s="505" customFormat="1" ht="54.75" hidden="1" customHeight="1">
      <c r="A1261" s="492"/>
      <c r="B1261" s="643"/>
      <c r="C1261" s="515"/>
      <c r="D1261" s="514"/>
      <c r="E1261" s="670" t="s">
        <v>377</v>
      </c>
      <c r="F1261" s="670"/>
      <c r="G1261" s="670"/>
      <c r="H1261" s="670"/>
      <c r="I1261" s="670"/>
      <c r="J1261" s="670"/>
      <c r="K1261" s="670"/>
      <c r="L1261" s="498">
        <f>1411.58-K1255-L1258-L1259-L1263</f>
        <v>0</v>
      </c>
      <c r="M1261" s="459">
        <f>L1261</f>
        <v>0</v>
      </c>
      <c r="N1261" s="655"/>
      <c r="O1261" s="656"/>
      <c r="P1261" s="657"/>
      <c r="Q1261" s="671"/>
      <c r="R1261" s="672"/>
      <c r="S1261" s="673"/>
      <c r="T1261" s="457">
        <f>H1255*M1261*N1255*O1255*P1255</f>
        <v>0</v>
      </c>
      <c r="U1261" s="458">
        <f>T1261</f>
        <v>0</v>
      </c>
      <c r="V1261" s="42"/>
      <c r="W1261" s="504"/>
      <c r="X1261" s="504"/>
      <c r="Y1261" s="504"/>
      <c r="Z1261" s="506"/>
      <c r="AA1261" s="504"/>
      <c r="AB1261" s="504"/>
      <c r="AC1261" s="506">
        <f>T1261</f>
        <v>0</v>
      </c>
      <c r="AD1261" s="504"/>
    </row>
    <row r="1262" spans="1:30" s="505" customFormat="1" ht="45" hidden="1" customHeight="1">
      <c r="A1262" s="492"/>
      <c r="B1262" s="643"/>
      <c r="C1262" s="515"/>
      <c r="D1262" s="514"/>
      <c r="E1262" s="674"/>
      <c r="F1262" s="675"/>
      <c r="G1262" s="675"/>
      <c r="H1262" s="675"/>
      <c r="I1262" s="675"/>
      <c r="J1262" s="675"/>
      <c r="K1262" s="675"/>
      <c r="L1262" s="675"/>
      <c r="M1262" s="676"/>
      <c r="N1262" s="655"/>
      <c r="O1262" s="656"/>
      <c r="P1262" s="657"/>
      <c r="Q1262" s="677"/>
      <c r="R1262" s="678"/>
      <c r="S1262" s="678"/>
      <c r="T1262" s="678"/>
      <c r="U1262" s="679"/>
      <c r="V1262" s="45"/>
      <c r="W1262" s="504"/>
      <c r="X1262" s="504"/>
      <c r="Y1262" s="504"/>
      <c r="Z1262" s="504"/>
      <c r="AA1262" s="506"/>
      <c r="AB1262" s="504"/>
      <c r="AC1262" s="504"/>
      <c r="AD1262" s="504"/>
    </row>
    <row r="1263" spans="1:30" s="505" customFormat="1" ht="45" hidden="1" customHeight="1" thickBot="1">
      <c r="A1263" s="492"/>
      <c r="B1263" s="644"/>
      <c r="C1263" s="516"/>
      <c r="D1263" s="517"/>
      <c r="E1263" s="680" t="s">
        <v>369</v>
      </c>
      <c r="F1263" s="680" t="s">
        <v>306</v>
      </c>
      <c r="G1263" s="680"/>
      <c r="H1263" s="680"/>
      <c r="I1263" s="680"/>
      <c r="J1263" s="680"/>
      <c r="K1263" s="680"/>
      <c r="L1263" s="499">
        <f>ROUND((I1255+J1255+K1255+L1258)*3.93%,2)</f>
        <v>565.80999999999995</v>
      </c>
      <c r="M1263" s="46">
        <f>L1263</f>
        <v>565.80999999999995</v>
      </c>
      <c r="N1263" s="658"/>
      <c r="O1263" s="659"/>
      <c r="P1263" s="660"/>
      <c r="Q1263" s="681"/>
      <c r="R1263" s="682"/>
      <c r="S1263" s="683"/>
      <c r="T1263" s="500">
        <f>H1255*M1263*N1255*O1255*P1255</f>
        <v>0</v>
      </c>
      <c r="U1263" s="47">
        <f>T1263</f>
        <v>0</v>
      </c>
      <c r="V1263" s="48"/>
      <c r="W1263" s="504"/>
      <c r="X1263" s="504"/>
      <c r="Y1263" s="504"/>
      <c r="Z1263" s="504"/>
      <c r="AA1263" s="504"/>
      <c r="AB1263" s="506"/>
      <c r="AC1263" s="504"/>
      <c r="AD1263" s="506">
        <f>T1263</f>
        <v>0</v>
      </c>
    </row>
    <row r="1264" spans="1:30" s="505" customFormat="1" ht="150" hidden="1" customHeight="1">
      <c r="A1264" s="492"/>
      <c r="B1264" s="642">
        <v>2</v>
      </c>
      <c r="C1264" s="511">
        <v>1</v>
      </c>
      <c r="D1264" s="512"/>
      <c r="E1264" s="493" t="s">
        <v>627</v>
      </c>
      <c r="F1264" s="487" t="s">
        <v>628</v>
      </c>
      <c r="G1264" s="645" t="s">
        <v>357</v>
      </c>
      <c r="H1264" s="712">
        <v>0</v>
      </c>
      <c r="I1264" s="494">
        <v>0</v>
      </c>
      <c r="J1264" s="494">
        <v>14960.78</v>
      </c>
      <c r="K1264" s="494">
        <v>50.77</v>
      </c>
      <c r="L1264" s="494">
        <f>SUM(L1266:L1272)</f>
        <v>1923.87</v>
      </c>
      <c r="M1264" s="33">
        <f>SUM(I1264:L1264)</f>
        <v>16935.420000000002</v>
      </c>
      <c r="N1264" s="501">
        <v>1</v>
      </c>
      <c r="O1264" s="502">
        <v>1</v>
      </c>
      <c r="P1264" s="37">
        <v>1</v>
      </c>
      <c r="Q1264" s="34">
        <f>H1264*I1264*N1264*O1264*P1264</f>
        <v>0</v>
      </c>
      <c r="R1264" s="35">
        <f>H1264*J1264*N1264*O1264*P1264</f>
        <v>0</v>
      </c>
      <c r="S1264" s="36">
        <f>H1264*K1264*N1264*O1264*P1264</f>
        <v>0</v>
      </c>
      <c r="T1264" s="36">
        <f>H1264*L1264*N1264*O1264*P1264</f>
        <v>0</v>
      </c>
      <c r="U1264" s="37">
        <f>SUM(Q1264:T1264)</f>
        <v>0</v>
      </c>
      <c r="V1264" s="38">
        <f>(Q1264+R1264+S1264+T1268+T1269+T1270+T1272)*'Прогнозная стоимость РСС ИП '!$M$11+T1267*'Прогнозная стоимость РСС ИП '!$M$10</f>
        <v>0</v>
      </c>
      <c r="W1264" s="503">
        <f>T1264</f>
        <v>0</v>
      </c>
      <c r="X1264" s="503">
        <f>U1264</f>
        <v>0</v>
      </c>
      <c r="Y1264" s="503">
        <f>V1264</f>
        <v>0</v>
      </c>
      <c r="Z1264" s="504"/>
      <c r="AA1264" s="504"/>
      <c r="AB1264" s="504"/>
      <c r="AC1264" s="504"/>
      <c r="AD1264" s="504"/>
    </row>
    <row r="1265" spans="1:30" s="505" customFormat="1" ht="41.25" hidden="1" customHeight="1">
      <c r="A1265" s="492"/>
      <c r="B1265" s="643"/>
      <c r="C1265" s="513"/>
      <c r="D1265" s="514"/>
      <c r="E1265" s="495"/>
      <c r="F1265" s="496"/>
      <c r="G1265" s="646"/>
      <c r="H1265" s="713"/>
      <c r="I1265" s="649"/>
      <c r="J1265" s="650"/>
      <c r="K1265" s="650"/>
      <c r="L1265" s="650"/>
      <c r="M1265" s="651"/>
      <c r="N1265" s="652"/>
      <c r="O1265" s="653"/>
      <c r="P1265" s="654"/>
      <c r="Q1265" s="661"/>
      <c r="R1265" s="662"/>
      <c r="S1265" s="662"/>
      <c r="T1265" s="662"/>
      <c r="U1265" s="663"/>
      <c r="V1265" s="40"/>
      <c r="W1265" s="504"/>
      <c r="X1265" s="504"/>
      <c r="Y1265" s="504"/>
      <c r="Z1265" s="504"/>
      <c r="AA1265" s="504"/>
      <c r="AB1265" s="504"/>
      <c r="AC1265" s="504"/>
      <c r="AD1265" s="504"/>
    </row>
    <row r="1266" spans="1:30" s="505" customFormat="1" ht="41.25" hidden="1" customHeight="1">
      <c r="A1266" s="492"/>
      <c r="B1266" s="643"/>
      <c r="C1266" s="513"/>
      <c r="D1266" s="514"/>
      <c r="E1266" s="664" t="s">
        <v>29</v>
      </c>
      <c r="F1266" s="665"/>
      <c r="G1266" s="665"/>
      <c r="H1266" s="665"/>
      <c r="I1266" s="665"/>
      <c r="J1266" s="665"/>
      <c r="K1266" s="665"/>
      <c r="L1266" s="665"/>
      <c r="M1266" s="666"/>
      <c r="N1266" s="655"/>
      <c r="O1266" s="656"/>
      <c r="P1266" s="657"/>
      <c r="Q1266" s="667"/>
      <c r="R1266" s="668"/>
      <c r="S1266" s="668"/>
      <c r="T1266" s="668"/>
      <c r="U1266" s="669"/>
      <c r="V1266" s="42"/>
      <c r="W1266" s="504"/>
      <c r="X1266" s="504"/>
      <c r="Y1266" s="504"/>
      <c r="Z1266" s="504"/>
      <c r="AA1266" s="504"/>
      <c r="AB1266" s="504"/>
      <c r="AC1266" s="504"/>
      <c r="AD1266" s="504"/>
    </row>
    <row r="1267" spans="1:30" s="505" customFormat="1" ht="41.25" hidden="1" customHeight="1">
      <c r="A1267" s="492"/>
      <c r="B1267" s="643"/>
      <c r="C1267" s="513">
        <v>11</v>
      </c>
      <c r="D1267" s="514"/>
      <c r="E1267" s="670" t="s">
        <v>30</v>
      </c>
      <c r="F1267" s="670"/>
      <c r="G1267" s="670"/>
      <c r="H1267" s="670"/>
      <c r="I1267" s="670"/>
      <c r="J1267" s="670"/>
      <c r="K1267" s="670"/>
      <c r="L1267" s="498">
        <v>499.77</v>
      </c>
      <c r="M1267" s="459">
        <f>L1267</f>
        <v>499.77</v>
      </c>
      <c r="N1267" s="655"/>
      <c r="O1267" s="656"/>
      <c r="P1267" s="657"/>
      <c r="Q1267" s="671"/>
      <c r="R1267" s="672"/>
      <c r="S1267" s="673"/>
      <c r="T1267" s="457">
        <f>H1264*M1267*N1264*O1264*P1264</f>
        <v>0</v>
      </c>
      <c r="U1267" s="458">
        <f>T1267</f>
        <v>0</v>
      </c>
      <c r="V1267" s="42"/>
      <c r="W1267" s="503"/>
      <c r="X1267" s="504"/>
      <c r="Y1267" s="504"/>
      <c r="Z1267" s="503">
        <f>T1267</f>
        <v>0</v>
      </c>
      <c r="AA1267" s="504"/>
      <c r="AB1267" s="504"/>
      <c r="AC1267" s="504"/>
      <c r="AD1267" s="504"/>
    </row>
    <row r="1268" spans="1:30" s="505" customFormat="1" ht="41.25" hidden="1" customHeight="1">
      <c r="A1268" s="492"/>
      <c r="B1268" s="643"/>
      <c r="C1268" s="513"/>
      <c r="D1268" s="514"/>
      <c r="E1268" s="670" t="s">
        <v>31</v>
      </c>
      <c r="F1268" s="670"/>
      <c r="G1268" s="670"/>
      <c r="H1268" s="670"/>
      <c r="I1268" s="670"/>
      <c r="J1268" s="670"/>
      <c r="K1268" s="670"/>
      <c r="L1268" s="498">
        <f>ROUND((I1264+J1264+K1264)*2.14%,2)</f>
        <v>321.25</v>
      </c>
      <c r="M1268" s="459">
        <f>L1268</f>
        <v>321.25</v>
      </c>
      <c r="N1268" s="655"/>
      <c r="O1268" s="656"/>
      <c r="P1268" s="657"/>
      <c r="Q1268" s="671"/>
      <c r="R1268" s="672"/>
      <c r="S1268" s="673"/>
      <c r="T1268" s="457">
        <f>H1264*M1268*N1264*O1264*P1264</f>
        <v>0</v>
      </c>
      <c r="U1268" s="458">
        <f>T1268</f>
        <v>0</v>
      </c>
      <c r="V1268" s="42"/>
      <c r="W1268" s="504"/>
      <c r="X1268" s="503"/>
      <c r="Y1268" s="504"/>
      <c r="Z1268" s="504"/>
      <c r="AA1268" s="503">
        <f>T1268</f>
        <v>0</v>
      </c>
      <c r="AB1268" s="504"/>
      <c r="AC1268" s="504"/>
      <c r="AD1268" s="504"/>
    </row>
    <row r="1269" spans="1:30" s="505" customFormat="1" ht="41.25" hidden="1" customHeight="1">
      <c r="A1269" s="492"/>
      <c r="B1269" s="643"/>
      <c r="C1269" s="515"/>
      <c r="D1269" s="514"/>
      <c r="E1269" s="670" t="s">
        <v>376</v>
      </c>
      <c r="F1269" s="670"/>
      <c r="G1269" s="670"/>
      <c r="H1269" s="670"/>
      <c r="I1269" s="670"/>
      <c r="J1269" s="670"/>
      <c r="K1269" s="670"/>
      <c r="L1269" s="498">
        <f>ROUND((I1264+J1264+K1264+L1267+L1268+L1272)*3%,2)</f>
        <v>493.26</v>
      </c>
      <c r="M1269" s="459">
        <f>L1269</f>
        <v>493.26</v>
      </c>
      <c r="N1269" s="655"/>
      <c r="O1269" s="656"/>
      <c r="P1269" s="657"/>
      <c r="Q1269" s="671"/>
      <c r="R1269" s="672"/>
      <c r="S1269" s="673"/>
      <c r="T1269" s="457">
        <f>H1264*M1269*N1264*O1264*P1264</f>
        <v>0</v>
      </c>
      <c r="U1269" s="458">
        <f>T1269</f>
        <v>0</v>
      </c>
      <c r="V1269" s="42"/>
      <c r="W1269" s="504"/>
      <c r="X1269" s="504"/>
      <c r="Y1269" s="503"/>
      <c r="Z1269" s="504"/>
      <c r="AA1269" s="504"/>
      <c r="AB1269" s="503">
        <f>T1269</f>
        <v>0</v>
      </c>
      <c r="AC1269" s="504"/>
      <c r="AD1269" s="504"/>
    </row>
    <row r="1270" spans="1:30" s="505" customFormat="1" ht="54.75" hidden="1" customHeight="1">
      <c r="A1270" s="492"/>
      <c r="B1270" s="643"/>
      <c r="C1270" s="515"/>
      <c r="D1270" s="514"/>
      <c r="E1270" s="670" t="s">
        <v>377</v>
      </c>
      <c r="F1270" s="670"/>
      <c r="G1270" s="670"/>
      <c r="H1270" s="670"/>
      <c r="I1270" s="670"/>
      <c r="J1270" s="670"/>
      <c r="K1270" s="670"/>
      <c r="L1270" s="498">
        <f>1481.38-K1264-L1267-L1268-L1272</f>
        <v>0</v>
      </c>
      <c r="M1270" s="459">
        <f>L1270</f>
        <v>0</v>
      </c>
      <c r="N1270" s="655"/>
      <c r="O1270" s="656"/>
      <c r="P1270" s="657"/>
      <c r="Q1270" s="671"/>
      <c r="R1270" s="672"/>
      <c r="S1270" s="673"/>
      <c r="T1270" s="457">
        <f>H1264*M1270*N1264*O1264*P1264</f>
        <v>0</v>
      </c>
      <c r="U1270" s="458">
        <f>T1270</f>
        <v>0</v>
      </c>
      <c r="V1270" s="42"/>
      <c r="W1270" s="504"/>
      <c r="X1270" s="504"/>
      <c r="Y1270" s="504"/>
      <c r="Z1270" s="506"/>
      <c r="AA1270" s="504"/>
      <c r="AB1270" s="504"/>
      <c r="AC1270" s="506">
        <f>T1270</f>
        <v>0</v>
      </c>
      <c r="AD1270" s="504"/>
    </row>
    <row r="1271" spans="1:30" s="505" customFormat="1" ht="45" hidden="1" customHeight="1">
      <c r="A1271" s="492"/>
      <c r="B1271" s="643"/>
      <c r="C1271" s="515"/>
      <c r="D1271" s="514"/>
      <c r="E1271" s="674"/>
      <c r="F1271" s="675"/>
      <c r="G1271" s="675"/>
      <c r="H1271" s="675"/>
      <c r="I1271" s="675"/>
      <c r="J1271" s="675"/>
      <c r="K1271" s="675"/>
      <c r="L1271" s="675"/>
      <c r="M1271" s="676"/>
      <c r="N1271" s="655"/>
      <c r="O1271" s="656"/>
      <c r="P1271" s="657"/>
      <c r="Q1271" s="677"/>
      <c r="R1271" s="678"/>
      <c r="S1271" s="678"/>
      <c r="T1271" s="678"/>
      <c r="U1271" s="679"/>
      <c r="V1271" s="45"/>
      <c r="W1271" s="504"/>
      <c r="X1271" s="504"/>
      <c r="Y1271" s="504"/>
      <c r="Z1271" s="504"/>
      <c r="AA1271" s="506"/>
      <c r="AB1271" s="504"/>
      <c r="AC1271" s="504"/>
      <c r="AD1271" s="504"/>
    </row>
    <row r="1272" spans="1:30" s="505" customFormat="1" ht="45" hidden="1" customHeight="1" thickBot="1">
      <c r="A1272" s="492"/>
      <c r="B1272" s="644"/>
      <c r="C1272" s="516"/>
      <c r="D1272" s="517"/>
      <c r="E1272" s="680" t="s">
        <v>369</v>
      </c>
      <c r="F1272" s="680" t="s">
        <v>306</v>
      </c>
      <c r="G1272" s="680"/>
      <c r="H1272" s="680"/>
      <c r="I1272" s="680"/>
      <c r="J1272" s="680"/>
      <c r="K1272" s="680"/>
      <c r="L1272" s="499">
        <f>ROUND((I1264+J1264+K1264+L1267)*3.93%,2)</f>
        <v>609.59</v>
      </c>
      <c r="M1272" s="46">
        <f>L1272</f>
        <v>609.59</v>
      </c>
      <c r="N1272" s="658"/>
      <c r="O1272" s="659"/>
      <c r="P1272" s="660"/>
      <c r="Q1272" s="681"/>
      <c r="R1272" s="682"/>
      <c r="S1272" s="683"/>
      <c r="T1272" s="500">
        <f>H1264*M1272*N1264*O1264*P1264</f>
        <v>0</v>
      </c>
      <c r="U1272" s="47">
        <f>T1272</f>
        <v>0</v>
      </c>
      <c r="V1272" s="48"/>
      <c r="W1272" s="504"/>
      <c r="X1272" s="504"/>
      <c r="Y1272" s="504"/>
      <c r="Z1272" s="504"/>
      <c r="AA1272" s="504"/>
      <c r="AB1272" s="506"/>
      <c r="AC1272" s="504"/>
      <c r="AD1272" s="506">
        <f>T1272</f>
        <v>0</v>
      </c>
    </row>
    <row r="1273" spans="1:30" s="505" customFormat="1" ht="150" hidden="1" customHeight="1">
      <c r="A1273" s="492"/>
      <c r="B1273" s="642">
        <v>2</v>
      </c>
      <c r="C1273" s="511">
        <v>1</v>
      </c>
      <c r="D1273" s="512"/>
      <c r="E1273" s="493" t="s">
        <v>629</v>
      </c>
      <c r="F1273" s="487" t="s">
        <v>630</v>
      </c>
      <c r="G1273" s="645" t="s">
        <v>357</v>
      </c>
      <c r="H1273" s="712">
        <v>0</v>
      </c>
      <c r="I1273" s="494">
        <v>0</v>
      </c>
      <c r="J1273" s="494">
        <v>16170.67</v>
      </c>
      <c r="K1273" s="494">
        <v>50.77</v>
      </c>
      <c r="L1273" s="494">
        <f>SUM(L1275:L1281)</f>
        <v>2038.41</v>
      </c>
      <c r="M1273" s="33">
        <f>SUM(I1273:L1273)</f>
        <v>18259.850000000002</v>
      </c>
      <c r="N1273" s="501">
        <v>1</v>
      </c>
      <c r="O1273" s="502">
        <v>1</v>
      </c>
      <c r="P1273" s="37">
        <v>1</v>
      </c>
      <c r="Q1273" s="34">
        <f>H1273*I1273*N1273*O1273*P1273</f>
        <v>0</v>
      </c>
      <c r="R1273" s="35">
        <f>H1273*J1273*N1273*O1273*P1273</f>
        <v>0</v>
      </c>
      <c r="S1273" s="36">
        <f>H1273*K1273*N1273*O1273*P1273</f>
        <v>0</v>
      </c>
      <c r="T1273" s="36">
        <f>H1273*L1273*N1273*O1273*P1273</f>
        <v>0</v>
      </c>
      <c r="U1273" s="37">
        <f>SUM(Q1273:T1273)</f>
        <v>0</v>
      </c>
      <c r="V1273" s="38">
        <f>(Q1273+R1273+S1273+T1277+T1278+T1279+T1281)*'Прогнозная стоимость РСС ИП '!$M$11+T1276*'Прогнозная стоимость РСС ИП '!$M$10</f>
        <v>0</v>
      </c>
      <c r="W1273" s="503">
        <f>T1273</f>
        <v>0</v>
      </c>
      <c r="X1273" s="503">
        <f>U1273</f>
        <v>0</v>
      </c>
      <c r="Y1273" s="503">
        <f>V1273</f>
        <v>0</v>
      </c>
      <c r="Z1273" s="504"/>
      <c r="AA1273" s="504"/>
      <c r="AB1273" s="504"/>
      <c r="AC1273" s="504"/>
      <c r="AD1273" s="504"/>
    </row>
    <row r="1274" spans="1:30" s="505" customFormat="1" ht="41.25" hidden="1" customHeight="1">
      <c r="A1274" s="492"/>
      <c r="B1274" s="643"/>
      <c r="C1274" s="513"/>
      <c r="D1274" s="514"/>
      <c r="E1274" s="495"/>
      <c r="F1274" s="496"/>
      <c r="G1274" s="646"/>
      <c r="H1274" s="713"/>
      <c r="I1274" s="649"/>
      <c r="J1274" s="650"/>
      <c r="K1274" s="650"/>
      <c r="L1274" s="650"/>
      <c r="M1274" s="651"/>
      <c r="N1274" s="652"/>
      <c r="O1274" s="653"/>
      <c r="P1274" s="654"/>
      <c r="Q1274" s="661"/>
      <c r="R1274" s="662"/>
      <c r="S1274" s="662"/>
      <c r="T1274" s="662"/>
      <c r="U1274" s="663"/>
      <c r="V1274" s="40"/>
      <c r="W1274" s="504"/>
      <c r="X1274" s="504"/>
      <c r="Y1274" s="504"/>
      <c r="Z1274" s="504"/>
      <c r="AA1274" s="504"/>
      <c r="AB1274" s="504"/>
      <c r="AC1274" s="504"/>
      <c r="AD1274" s="504"/>
    </row>
    <row r="1275" spans="1:30" s="505" customFormat="1" ht="41.25" hidden="1" customHeight="1">
      <c r="A1275" s="492"/>
      <c r="B1275" s="643"/>
      <c r="C1275" s="513"/>
      <c r="D1275" s="514"/>
      <c r="E1275" s="664" t="s">
        <v>29</v>
      </c>
      <c r="F1275" s="665"/>
      <c r="G1275" s="665"/>
      <c r="H1275" s="665"/>
      <c r="I1275" s="665"/>
      <c r="J1275" s="665"/>
      <c r="K1275" s="665"/>
      <c r="L1275" s="665"/>
      <c r="M1275" s="666"/>
      <c r="N1275" s="655"/>
      <c r="O1275" s="656"/>
      <c r="P1275" s="657"/>
      <c r="Q1275" s="667"/>
      <c r="R1275" s="668"/>
      <c r="S1275" s="668"/>
      <c r="T1275" s="668"/>
      <c r="U1275" s="669"/>
      <c r="V1275" s="42"/>
      <c r="W1275" s="504"/>
      <c r="X1275" s="504"/>
      <c r="Y1275" s="504"/>
      <c r="Z1275" s="504"/>
      <c r="AA1275" s="504"/>
      <c r="AB1275" s="504"/>
      <c r="AC1275" s="504"/>
      <c r="AD1275" s="504"/>
    </row>
    <row r="1276" spans="1:30" s="505" customFormat="1" ht="41.25" hidden="1" customHeight="1">
      <c r="A1276" s="492"/>
      <c r="B1276" s="643"/>
      <c r="C1276" s="513">
        <v>11</v>
      </c>
      <c r="D1276" s="514"/>
      <c r="E1276" s="670" t="s">
        <v>30</v>
      </c>
      <c r="F1276" s="670"/>
      <c r="G1276" s="670"/>
      <c r="H1276" s="670"/>
      <c r="I1276" s="670"/>
      <c r="J1276" s="670"/>
      <c r="K1276" s="670"/>
      <c r="L1276" s="498">
        <v>502.19</v>
      </c>
      <c r="M1276" s="459">
        <f>L1276</f>
        <v>502.19</v>
      </c>
      <c r="N1276" s="655"/>
      <c r="O1276" s="656"/>
      <c r="P1276" s="657"/>
      <c r="Q1276" s="671"/>
      <c r="R1276" s="672"/>
      <c r="S1276" s="673"/>
      <c r="T1276" s="457">
        <f>H1273*M1276*N1273*O1273*P1273</f>
        <v>0</v>
      </c>
      <c r="U1276" s="458">
        <f>T1276</f>
        <v>0</v>
      </c>
      <c r="V1276" s="42"/>
      <c r="W1276" s="503"/>
      <c r="X1276" s="504"/>
      <c r="Y1276" s="504"/>
      <c r="Z1276" s="503">
        <f>T1276</f>
        <v>0</v>
      </c>
      <c r="AA1276" s="504"/>
      <c r="AB1276" s="504"/>
      <c r="AC1276" s="504"/>
      <c r="AD1276" s="504"/>
    </row>
    <row r="1277" spans="1:30" s="505" customFormat="1" ht="41.25" hidden="1" customHeight="1">
      <c r="A1277" s="492"/>
      <c r="B1277" s="643"/>
      <c r="C1277" s="513"/>
      <c r="D1277" s="514"/>
      <c r="E1277" s="670" t="s">
        <v>31</v>
      </c>
      <c r="F1277" s="670"/>
      <c r="G1277" s="670"/>
      <c r="H1277" s="670"/>
      <c r="I1277" s="670"/>
      <c r="J1277" s="670"/>
      <c r="K1277" s="670"/>
      <c r="L1277" s="498">
        <f>ROUND((I1273+J1273+K1273)*2.14%,2)</f>
        <v>347.14</v>
      </c>
      <c r="M1277" s="459">
        <f>L1277</f>
        <v>347.14</v>
      </c>
      <c r="N1277" s="655"/>
      <c r="O1277" s="656"/>
      <c r="P1277" s="657"/>
      <c r="Q1277" s="671"/>
      <c r="R1277" s="672"/>
      <c r="S1277" s="673"/>
      <c r="T1277" s="457">
        <f>H1273*M1277*N1273*O1273*P1273</f>
        <v>0</v>
      </c>
      <c r="U1277" s="458">
        <f>T1277</f>
        <v>0</v>
      </c>
      <c r="V1277" s="42"/>
      <c r="W1277" s="504"/>
      <c r="X1277" s="503"/>
      <c r="Y1277" s="504"/>
      <c r="Z1277" s="504"/>
      <c r="AA1277" s="503">
        <f>T1277</f>
        <v>0</v>
      </c>
      <c r="AB1277" s="504"/>
      <c r="AC1277" s="504"/>
      <c r="AD1277" s="504"/>
    </row>
    <row r="1278" spans="1:30" s="505" customFormat="1" ht="41.25" hidden="1" customHeight="1">
      <c r="A1278" s="492"/>
      <c r="B1278" s="643"/>
      <c r="C1278" s="515"/>
      <c r="D1278" s="514"/>
      <c r="E1278" s="670" t="s">
        <v>376</v>
      </c>
      <c r="F1278" s="670"/>
      <c r="G1278" s="670"/>
      <c r="H1278" s="670"/>
      <c r="I1278" s="670"/>
      <c r="J1278" s="670"/>
      <c r="K1278" s="670"/>
      <c r="L1278" s="498">
        <f>ROUND((I1273+J1273+K1273+L1276+L1277+L1281)*3%,2)</f>
        <v>531.84</v>
      </c>
      <c r="M1278" s="459">
        <f>L1278</f>
        <v>531.84</v>
      </c>
      <c r="N1278" s="655"/>
      <c r="O1278" s="656"/>
      <c r="P1278" s="657"/>
      <c r="Q1278" s="671"/>
      <c r="R1278" s="672"/>
      <c r="S1278" s="673"/>
      <c r="T1278" s="457">
        <f>H1273*M1278*N1273*O1273*P1273</f>
        <v>0</v>
      </c>
      <c r="U1278" s="458">
        <f>T1278</f>
        <v>0</v>
      </c>
      <c r="V1278" s="42"/>
      <c r="W1278" s="504"/>
      <c r="X1278" s="504"/>
      <c r="Y1278" s="503"/>
      <c r="Z1278" s="504"/>
      <c r="AA1278" s="504"/>
      <c r="AB1278" s="503">
        <f>T1278</f>
        <v>0</v>
      </c>
      <c r="AC1278" s="504"/>
      <c r="AD1278" s="504"/>
    </row>
    <row r="1279" spans="1:30" s="505" customFormat="1" ht="54.75" hidden="1" customHeight="1">
      <c r="A1279" s="492"/>
      <c r="B1279" s="643"/>
      <c r="C1279" s="515"/>
      <c r="D1279" s="514"/>
      <c r="E1279" s="670" t="s">
        <v>377</v>
      </c>
      <c r="F1279" s="670"/>
      <c r="G1279" s="670"/>
      <c r="H1279" s="670"/>
      <c r="I1279" s="670"/>
      <c r="J1279" s="670"/>
      <c r="K1279" s="670"/>
      <c r="L1279" s="498">
        <f>1557.34-K1273-L1276-L1277-L1281</f>
        <v>0</v>
      </c>
      <c r="M1279" s="459">
        <f>L1279</f>
        <v>0</v>
      </c>
      <c r="N1279" s="655"/>
      <c r="O1279" s="656"/>
      <c r="P1279" s="657"/>
      <c r="Q1279" s="671"/>
      <c r="R1279" s="672"/>
      <c r="S1279" s="673"/>
      <c r="T1279" s="457">
        <f>H1273*M1279*N1273*O1273*P1273</f>
        <v>0</v>
      </c>
      <c r="U1279" s="458">
        <f>T1279</f>
        <v>0</v>
      </c>
      <c r="V1279" s="42"/>
      <c r="W1279" s="504"/>
      <c r="X1279" s="504"/>
      <c r="Y1279" s="504"/>
      <c r="Z1279" s="506"/>
      <c r="AA1279" s="504"/>
      <c r="AB1279" s="504"/>
      <c r="AC1279" s="506">
        <f>T1279</f>
        <v>0</v>
      </c>
      <c r="AD1279" s="504"/>
    </row>
    <row r="1280" spans="1:30" s="505" customFormat="1" ht="45" hidden="1" customHeight="1">
      <c r="A1280" s="492"/>
      <c r="B1280" s="643"/>
      <c r="C1280" s="515"/>
      <c r="D1280" s="514"/>
      <c r="E1280" s="674"/>
      <c r="F1280" s="675"/>
      <c r="G1280" s="675"/>
      <c r="H1280" s="675"/>
      <c r="I1280" s="675"/>
      <c r="J1280" s="675"/>
      <c r="K1280" s="675"/>
      <c r="L1280" s="675"/>
      <c r="M1280" s="676"/>
      <c r="N1280" s="655"/>
      <c r="O1280" s="656"/>
      <c r="P1280" s="657"/>
      <c r="Q1280" s="677"/>
      <c r="R1280" s="678"/>
      <c r="S1280" s="678"/>
      <c r="T1280" s="678"/>
      <c r="U1280" s="679"/>
      <c r="V1280" s="45"/>
      <c r="W1280" s="504"/>
      <c r="X1280" s="504"/>
      <c r="Y1280" s="504"/>
      <c r="Z1280" s="504"/>
      <c r="AA1280" s="506"/>
      <c r="AB1280" s="504"/>
      <c r="AC1280" s="504"/>
      <c r="AD1280" s="504"/>
    </row>
    <row r="1281" spans="1:30" s="505" customFormat="1" ht="45" hidden="1" customHeight="1" thickBot="1">
      <c r="A1281" s="492"/>
      <c r="B1281" s="644"/>
      <c r="C1281" s="516"/>
      <c r="D1281" s="517"/>
      <c r="E1281" s="680" t="s">
        <v>369</v>
      </c>
      <c r="F1281" s="680" t="s">
        <v>306</v>
      </c>
      <c r="G1281" s="680"/>
      <c r="H1281" s="680"/>
      <c r="I1281" s="680"/>
      <c r="J1281" s="680"/>
      <c r="K1281" s="680"/>
      <c r="L1281" s="499">
        <f>ROUND((I1273+J1273+K1273+L1276)*3.93%,2)</f>
        <v>657.24</v>
      </c>
      <c r="M1281" s="46">
        <f>L1281</f>
        <v>657.24</v>
      </c>
      <c r="N1281" s="658"/>
      <c r="O1281" s="659"/>
      <c r="P1281" s="660"/>
      <c r="Q1281" s="681"/>
      <c r="R1281" s="682"/>
      <c r="S1281" s="683"/>
      <c r="T1281" s="500">
        <f>H1273*M1281*N1273*O1273*P1273</f>
        <v>0</v>
      </c>
      <c r="U1281" s="47">
        <f>T1281</f>
        <v>0</v>
      </c>
      <c r="V1281" s="48"/>
      <c r="W1281" s="504"/>
      <c r="X1281" s="504"/>
      <c r="Y1281" s="504"/>
      <c r="Z1281" s="504"/>
      <c r="AA1281" s="504"/>
      <c r="AB1281" s="506"/>
      <c r="AC1281" s="504"/>
      <c r="AD1281" s="506">
        <f>T1281</f>
        <v>0</v>
      </c>
    </row>
    <row r="1282" spans="1:30" s="505" customFormat="1" ht="150" hidden="1" customHeight="1">
      <c r="A1282" s="492"/>
      <c r="B1282" s="642">
        <v>2</v>
      </c>
      <c r="C1282" s="511">
        <v>1</v>
      </c>
      <c r="D1282" s="512"/>
      <c r="E1282" s="493" t="s">
        <v>631</v>
      </c>
      <c r="F1282" s="487" t="s">
        <v>632</v>
      </c>
      <c r="G1282" s="645" t="s">
        <v>357</v>
      </c>
      <c r="H1282" s="712">
        <v>0</v>
      </c>
      <c r="I1282" s="494">
        <v>0</v>
      </c>
      <c r="J1282" s="494">
        <v>19635.63</v>
      </c>
      <c r="K1282" s="494">
        <v>50.77</v>
      </c>
      <c r="L1282" s="494">
        <f>SUM(L1284:L1290)</f>
        <v>2366.41</v>
      </c>
      <c r="M1282" s="33">
        <f>SUM(I1282:L1282)</f>
        <v>22052.81</v>
      </c>
      <c r="N1282" s="501">
        <v>1</v>
      </c>
      <c r="O1282" s="502">
        <v>1</v>
      </c>
      <c r="P1282" s="37">
        <v>1</v>
      </c>
      <c r="Q1282" s="34">
        <f>H1282*I1282*N1282*O1282*P1282</f>
        <v>0</v>
      </c>
      <c r="R1282" s="35">
        <f>H1282*J1282*N1282*O1282*P1282</f>
        <v>0</v>
      </c>
      <c r="S1282" s="36">
        <f>H1282*K1282*N1282*O1282*P1282</f>
        <v>0</v>
      </c>
      <c r="T1282" s="36">
        <f>H1282*L1282*N1282*O1282*P1282</f>
        <v>0</v>
      </c>
      <c r="U1282" s="37">
        <f>SUM(Q1282:T1282)</f>
        <v>0</v>
      </c>
      <c r="V1282" s="38">
        <f>(Q1282+R1282+S1282+T1286+T1287+T1288+T1290)*'Прогнозная стоимость РСС ИП '!$M$11+T1285*'Прогнозная стоимость РСС ИП '!$M$10</f>
        <v>0</v>
      </c>
      <c r="W1282" s="503">
        <f>T1282</f>
        <v>0</v>
      </c>
      <c r="X1282" s="503">
        <f>U1282</f>
        <v>0</v>
      </c>
      <c r="Y1282" s="503">
        <f>V1282</f>
        <v>0</v>
      </c>
      <c r="Z1282" s="504"/>
      <c r="AA1282" s="504"/>
      <c r="AB1282" s="504"/>
      <c r="AC1282" s="504"/>
      <c r="AD1282" s="504"/>
    </row>
    <row r="1283" spans="1:30" s="505" customFormat="1" ht="41.25" hidden="1" customHeight="1">
      <c r="A1283" s="492"/>
      <c r="B1283" s="643"/>
      <c r="C1283" s="513"/>
      <c r="D1283" s="514"/>
      <c r="E1283" s="495"/>
      <c r="F1283" s="496"/>
      <c r="G1283" s="646"/>
      <c r="H1283" s="713"/>
      <c r="I1283" s="649"/>
      <c r="J1283" s="650"/>
      <c r="K1283" s="650"/>
      <c r="L1283" s="650"/>
      <c r="M1283" s="651"/>
      <c r="N1283" s="652"/>
      <c r="O1283" s="653"/>
      <c r="P1283" s="654"/>
      <c r="Q1283" s="661"/>
      <c r="R1283" s="662"/>
      <c r="S1283" s="662"/>
      <c r="T1283" s="662"/>
      <c r="U1283" s="663"/>
      <c r="V1283" s="40"/>
      <c r="W1283" s="504"/>
      <c r="X1283" s="504"/>
      <c r="Y1283" s="504"/>
      <c r="Z1283" s="504"/>
      <c r="AA1283" s="504"/>
      <c r="AB1283" s="504"/>
      <c r="AC1283" s="504"/>
      <c r="AD1283" s="504"/>
    </row>
    <row r="1284" spans="1:30" s="505" customFormat="1" ht="41.25" hidden="1" customHeight="1">
      <c r="A1284" s="492"/>
      <c r="B1284" s="643"/>
      <c r="C1284" s="513"/>
      <c r="D1284" s="514"/>
      <c r="E1284" s="664" t="s">
        <v>29</v>
      </c>
      <c r="F1284" s="665"/>
      <c r="G1284" s="665"/>
      <c r="H1284" s="665"/>
      <c r="I1284" s="665"/>
      <c r="J1284" s="665"/>
      <c r="K1284" s="665"/>
      <c r="L1284" s="665"/>
      <c r="M1284" s="666"/>
      <c r="N1284" s="655"/>
      <c r="O1284" s="656"/>
      <c r="P1284" s="657"/>
      <c r="Q1284" s="667"/>
      <c r="R1284" s="668"/>
      <c r="S1284" s="668"/>
      <c r="T1284" s="668"/>
      <c r="U1284" s="669"/>
      <c r="V1284" s="42"/>
      <c r="W1284" s="504"/>
      <c r="X1284" s="504"/>
      <c r="Y1284" s="504"/>
      <c r="Z1284" s="504"/>
      <c r="AA1284" s="504"/>
      <c r="AB1284" s="504"/>
      <c r="AC1284" s="504"/>
      <c r="AD1284" s="504"/>
    </row>
    <row r="1285" spans="1:30" s="505" customFormat="1" ht="41.25" hidden="1" customHeight="1">
      <c r="A1285" s="492"/>
      <c r="B1285" s="643"/>
      <c r="C1285" s="513">
        <v>11</v>
      </c>
      <c r="D1285" s="514"/>
      <c r="E1285" s="670" t="s">
        <v>30</v>
      </c>
      <c r="F1285" s="670"/>
      <c r="G1285" s="670"/>
      <c r="H1285" s="670"/>
      <c r="I1285" s="670"/>
      <c r="J1285" s="670"/>
      <c r="K1285" s="670"/>
      <c r="L1285" s="498">
        <v>509.12</v>
      </c>
      <c r="M1285" s="459">
        <f>L1285</f>
        <v>509.12</v>
      </c>
      <c r="N1285" s="655"/>
      <c r="O1285" s="656"/>
      <c r="P1285" s="657"/>
      <c r="Q1285" s="671"/>
      <c r="R1285" s="672"/>
      <c r="S1285" s="673"/>
      <c r="T1285" s="457">
        <f>H1282*M1285*N1282*O1282*P1282</f>
        <v>0</v>
      </c>
      <c r="U1285" s="458">
        <f>T1285</f>
        <v>0</v>
      </c>
      <c r="V1285" s="42"/>
      <c r="W1285" s="503"/>
      <c r="X1285" s="504"/>
      <c r="Y1285" s="504"/>
      <c r="Z1285" s="503">
        <f>T1285</f>
        <v>0</v>
      </c>
      <c r="AA1285" s="504"/>
      <c r="AB1285" s="504"/>
      <c r="AC1285" s="504"/>
      <c r="AD1285" s="504"/>
    </row>
    <row r="1286" spans="1:30" s="505" customFormat="1" ht="41.25" hidden="1" customHeight="1">
      <c r="A1286" s="492"/>
      <c r="B1286" s="643"/>
      <c r="C1286" s="513"/>
      <c r="D1286" s="514"/>
      <c r="E1286" s="670" t="s">
        <v>31</v>
      </c>
      <c r="F1286" s="670"/>
      <c r="G1286" s="670"/>
      <c r="H1286" s="670"/>
      <c r="I1286" s="670"/>
      <c r="J1286" s="670"/>
      <c r="K1286" s="670"/>
      <c r="L1286" s="498">
        <f>ROUND((I1282+J1282+K1282)*2.14%,2)</f>
        <v>421.29</v>
      </c>
      <c r="M1286" s="459">
        <f>L1286</f>
        <v>421.29</v>
      </c>
      <c r="N1286" s="655"/>
      <c r="O1286" s="656"/>
      <c r="P1286" s="657"/>
      <c r="Q1286" s="671"/>
      <c r="R1286" s="672"/>
      <c r="S1286" s="673"/>
      <c r="T1286" s="457">
        <f>H1282*M1286*N1282*O1282*P1282</f>
        <v>0</v>
      </c>
      <c r="U1286" s="458">
        <f>T1286</f>
        <v>0</v>
      </c>
      <c r="V1286" s="42"/>
      <c r="W1286" s="504"/>
      <c r="X1286" s="503"/>
      <c r="Y1286" s="504"/>
      <c r="Z1286" s="504"/>
      <c r="AA1286" s="503">
        <f>T1286</f>
        <v>0</v>
      </c>
      <c r="AB1286" s="504"/>
      <c r="AC1286" s="504"/>
      <c r="AD1286" s="504"/>
    </row>
    <row r="1287" spans="1:30" s="505" customFormat="1" ht="41.25" hidden="1" customHeight="1">
      <c r="A1287" s="492"/>
      <c r="B1287" s="643"/>
      <c r="C1287" s="515"/>
      <c r="D1287" s="514"/>
      <c r="E1287" s="670" t="s">
        <v>376</v>
      </c>
      <c r="F1287" s="670"/>
      <c r="G1287" s="670"/>
      <c r="H1287" s="670"/>
      <c r="I1287" s="670"/>
      <c r="J1287" s="670"/>
      <c r="K1287" s="670"/>
      <c r="L1287" s="498">
        <f>ROUND((I1282+J1282+K1282+L1285+L1286+L1290)*3%,2)+0.01</f>
        <v>642.31999999999994</v>
      </c>
      <c r="M1287" s="459">
        <f>L1287</f>
        <v>642.31999999999994</v>
      </c>
      <c r="N1287" s="655"/>
      <c r="O1287" s="656"/>
      <c r="P1287" s="657"/>
      <c r="Q1287" s="671"/>
      <c r="R1287" s="672"/>
      <c r="S1287" s="673"/>
      <c r="T1287" s="457">
        <f>H1282*M1287*N1282*O1282*P1282</f>
        <v>0</v>
      </c>
      <c r="U1287" s="458">
        <f>T1287</f>
        <v>0</v>
      </c>
      <c r="V1287" s="42"/>
      <c r="W1287" s="504"/>
      <c r="X1287" s="504"/>
      <c r="Y1287" s="503"/>
      <c r="Z1287" s="504"/>
      <c r="AA1287" s="504"/>
      <c r="AB1287" s="503">
        <f>T1287</f>
        <v>0</v>
      </c>
      <c r="AC1287" s="504"/>
      <c r="AD1287" s="504"/>
    </row>
    <row r="1288" spans="1:30" s="505" customFormat="1" ht="54.75" hidden="1" customHeight="1">
      <c r="A1288" s="492"/>
      <c r="B1288" s="643"/>
      <c r="C1288" s="515"/>
      <c r="D1288" s="514"/>
      <c r="E1288" s="670" t="s">
        <v>377</v>
      </c>
      <c r="F1288" s="670"/>
      <c r="G1288" s="670"/>
      <c r="H1288" s="670"/>
      <c r="I1288" s="670"/>
      <c r="J1288" s="670"/>
      <c r="K1288" s="670"/>
      <c r="L1288" s="498">
        <f>1774.86-K1282-L1285-L1286-L1290</f>
        <v>0</v>
      </c>
      <c r="M1288" s="459">
        <f>L1288</f>
        <v>0</v>
      </c>
      <c r="N1288" s="655"/>
      <c r="O1288" s="656"/>
      <c r="P1288" s="657"/>
      <c r="Q1288" s="671"/>
      <c r="R1288" s="672"/>
      <c r="S1288" s="673"/>
      <c r="T1288" s="457">
        <f>H1282*M1288*N1282*O1282*P1282</f>
        <v>0</v>
      </c>
      <c r="U1288" s="458">
        <f>T1288</f>
        <v>0</v>
      </c>
      <c r="V1288" s="42"/>
      <c r="W1288" s="504"/>
      <c r="X1288" s="504"/>
      <c r="Y1288" s="504"/>
      <c r="Z1288" s="506"/>
      <c r="AA1288" s="504"/>
      <c r="AB1288" s="504"/>
      <c r="AC1288" s="506">
        <f>T1288</f>
        <v>0</v>
      </c>
      <c r="AD1288" s="504"/>
    </row>
    <row r="1289" spans="1:30" s="505" customFormat="1" ht="45" hidden="1" customHeight="1">
      <c r="A1289" s="492"/>
      <c r="B1289" s="643"/>
      <c r="C1289" s="515"/>
      <c r="D1289" s="514"/>
      <c r="E1289" s="674"/>
      <c r="F1289" s="675"/>
      <c r="G1289" s="675"/>
      <c r="H1289" s="675"/>
      <c r="I1289" s="675"/>
      <c r="J1289" s="675"/>
      <c r="K1289" s="675"/>
      <c r="L1289" s="675"/>
      <c r="M1289" s="676"/>
      <c r="N1289" s="655"/>
      <c r="O1289" s="656"/>
      <c r="P1289" s="657"/>
      <c r="Q1289" s="677"/>
      <c r="R1289" s="678"/>
      <c r="S1289" s="678"/>
      <c r="T1289" s="678"/>
      <c r="U1289" s="679"/>
      <c r="V1289" s="45"/>
      <c r="W1289" s="504"/>
      <c r="X1289" s="504"/>
      <c r="Y1289" s="504"/>
      <c r="Z1289" s="504"/>
      <c r="AA1289" s="506"/>
      <c r="AB1289" s="504"/>
      <c r="AC1289" s="504"/>
      <c r="AD1289" s="504"/>
    </row>
    <row r="1290" spans="1:30" s="505" customFormat="1" ht="45" hidden="1" customHeight="1" thickBot="1">
      <c r="A1290" s="492"/>
      <c r="B1290" s="644"/>
      <c r="C1290" s="516"/>
      <c r="D1290" s="517"/>
      <c r="E1290" s="680" t="s">
        <v>369</v>
      </c>
      <c r="F1290" s="680" t="s">
        <v>306</v>
      </c>
      <c r="G1290" s="680"/>
      <c r="H1290" s="680"/>
      <c r="I1290" s="680"/>
      <c r="J1290" s="680"/>
      <c r="K1290" s="680"/>
      <c r="L1290" s="499">
        <f>ROUND((I1282+J1282+K1282+L1285)*3.93%,2)</f>
        <v>793.68</v>
      </c>
      <c r="M1290" s="46">
        <f>L1290</f>
        <v>793.68</v>
      </c>
      <c r="N1290" s="658"/>
      <c r="O1290" s="659"/>
      <c r="P1290" s="660"/>
      <c r="Q1290" s="681"/>
      <c r="R1290" s="682"/>
      <c r="S1290" s="683"/>
      <c r="T1290" s="500">
        <f>H1282*M1290*N1282*O1282*P1282</f>
        <v>0</v>
      </c>
      <c r="U1290" s="47">
        <f>T1290</f>
        <v>0</v>
      </c>
      <c r="V1290" s="48"/>
      <c r="W1290" s="504"/>
      <c r="X1290" s="504"/>
      <c r="Y1290" s="504"/>
      <c r="Z1290" s="504"/>
      <c r="AA1290" s="504"/>
      <c r="AB1290" s="506"/>
      <c r="AC1290" s="504"/>
      <c r="AD1290" s="506">
        <f>T1290</f>
        <v>0</v>
      </c>
    </row>
    <row r="1291" spans="1:30" s="491" customFormat="1" ht="150" hidden="1" customHeight="1">
      <c r="A1291" s="25"/>
      <c r="B1291" s="642">
        <v>2</v>
      </c>
      <c r="C1291" s="511">
        <v>10</v>
      </c>
      <c r="D1291" s="512"/>
      <c r="E1291" s="493" t="s">
        <v>694</v>
      </c>
      <c r="F1291" s="714" t="s">
        <v>692</v>
      </c>
      <c r="G1291" s="645" t="s">
        <v>357</v>
      </c>
      <c r="H1291" s="712">
        <v>0</v>
      </c>
      <c r="I1291" s="494">
        <v>0</v>
      </c>
      <c r="J1291" s="494">
        <v>30753.170000000002</v>
      </c>
      <c r="K1291" s="494">
        <v>0</v>
      </c>
      <c r="L1291" s="494">
        <f>SUM(L1293:L1299)</f>
        <v>6619.6891399999995</v>
      </c>
      <c r="M1291" s="33">
        <f>SUM(I1291:L1291)</f>
        <v>37372.85914</v>
      </c>
      <c r="N1291" s="501">
        <v>1</v>
      </c>
      <c r="O1291" s="502">
        <v>1</v>
      </c>
      <c r="P1291" s="37">
        <v>1</v>
      </c>
      <c r="Q1291" s="34">
        <f>H1291*I1291*N1291*O1291*P1291</f>
        <v>0</v>
      </c>
      <c r="R1291" s="35">
        <f>H1291*J1291*N1291*O1291*P1291</f>
        <v>0</v>
      </c>
      <c r="S1291" s="36">
        <f>H1291*K1291*N1291*O1291*P1291</f>
        <v>0</v>
      </c>
      <c r="T1291" s="36">
        <f>H1291*L1291*N1291*O1291*P1291</f>
        <v>0</v>
      </c>
      <c r="U1291" s="37">
        <f>SUM(Q1291:T1291)</f>
        <v>0</v>
      </c>
      <c r="V1291" s="38">
        <f>(Q1291+R1291+S1291+T1295+T1296+T1297+T1299)*'Прогнозная стоимость РСС ИП '!$M$11+T1294*'Прогнозная стоимость РСС ИП '!$M$10</f>
        <v>0</v>
      </c>
      <c r="W1291" s="39">
        <f>T1291</f>
        <v>0</v>
      </c>
      <c r="X1291" s="39">
        <f>U1291</f>
        <v>0</v>
      </c>
      <c r="Y1291" s="39">
        <f>V1291</f>
        <v>0</v>
      </c>
      <c r="Z1291" s="29"/>
      <c r="AA1291" s="29"/>
      <c r="AB1291" s="29"/>
      <c r="AC1291" s="29"/>
      <c r="AD1291" s="29"/>
    </row>
    <row r="1292" spans="1:30" s="491" customFormat="1" ht="22.5" hidden="1" customHeight="1">
      <c r="A1292" s="25"/>
      <c r="B1292" s="643"/>
      <c r="C1292" s="513"/>
      <c r="D1292" s="514"/>
      <c r="E1292" s="495"/>
      <c r="F1292" s="728"/>
      <c r="G1292" s="646"/>
      <c r="H1292" s="713"/>
      <c r="I1292" s="649"/>
      <c r="J1292" s="729"/>
      <c r="K1292" s="729"/>
      <c r="L1292" s="729"/>
      <c r="M1292" s="651"/>
      <c r="N1292" s="652"/>
      <c r="O1292" s="653"/>
      <c r="P1292" s="654"/>
      <c r="Q1292" s="661"/>
      <c r="R1292" s="719"/>
      <c r="S1292" s="719"/>
      <c r="T1292" s="719"/>
      <c r="U1292" s="663"/>
      <c r="V1292" s="40"/>
      <c r="W1292" s="41"/>
      <c r="X1292" s="41"/>
      <c r="Y1292" s="41"/>
      <c r="Z1292" s="29"/>
      <c r="AA1292" s="29"/>
      <c r="AB1292" s="29"/>
      <c r="AC1292" s="29"/>
      <c r="AD1292" s="29"/>
    </row>
    <row r="1293" spans="1:30" s="491" customFormat="1" ht="41.25" hidden="1" customHeight="1">
      <c r="A1293" s="25"/>
      <c r="B1293" s="643"/>
      <c r="C1293" s="513"/>
      <c r="D1293" s="514"/>
      <c r="E1293" s="664" t="s">
        <v>29</v>
      </c>
      <c r="F1293" s="720"/>
      <c r="G1293" s="720"/>
      <c r="H1293" s="720"/>
      <c r="I1293" s="720"/>
      <c r="J1293" s="720"/>
      <c r="K1293" s="720"/>
      <c r="L1293" s="720"/>
      <c r="M1293" s="666"/>
      <c r="N1293" s="655"/>
      <c r="O1293" s="656"/>
      <c r="P1293" s="657"/>
      <c r="Q1293" s="667"/>
      <c r="R1293" s="721"/>
      <c r="S1293" s="721"/>
      <c r="T1293" s="721"/>
      <c r="U1293" s="722"/>
      <c r="V1293" s="42"/>
      <c r="W1293" s="41"/>
      <c r="X1293" s="41"/>
      <c r="Y1293" s="41"/>
      <c r="Z1293" s="29"/>
      <c r="AA1293" s="29"/>
      <c r="AB1293" s="29"/>
      <c r="AC1293" s="29"/>
      <c r="AD1293" s="29"/>
    </row>
    <row r="1294" spans="1:30" s="491" customFormat="1" ht="41.25" hidden="1" customHeight="1">
      <c r="A1294" s="25"/>
      <c r="B1294" s="643"/>
      <c r="C1294" s="513">
        <v>1010</v>
      </c>
      <c r="D1294" s="514"/>
      <c r="E1294" s="670" t="s">
        <v>30</v>
      </c>
      <c r="F1294" s="670"/>
      <c r="G1294" s="670"/>
      <c r="H1294" s="670"/>
      <c r="I1294" s="670"/>
      <c r="J1294" s="670"/>
      <c r="K1294" s="670"/>
      <c r="L1294" s="498">
        <v>3525.8691399999993</v>
      </c>
      <c r="M1294" s="459">
        <f>L1294</f>
        <v>3525.8691399999993</v>
      </c>
      <c r="N1294" s="655"/>
      <c r="O1294" s="656"/>
      <c r="P1294" s="657"/>
      <c r="Q1294" s="671"/>
      <c r="R1294" s="723"/>
      <c r="S1294" s="673"/>
      <c r="T1294" s="497">
        <f>H1291*M1294*N1291*O1291*P1291</f>
        <v>0</v>
      </c>
      <c r="U1294" s="458">
        <f>T1294</f>
        <v>0</v>
      </c>
      <c r="V1294" s="42"/>
      <c r="W1294" s="39"/>
      <c r="X1294" s="41"/>
      <c r="Y1294" s="41"/>
      <c r="Z1294" s="43">
        <f>T1294</f>
        <v>0</v>
      </c>
      <c r="AA1294" s="29"/>
      <c r="AB1294" s="29"/>
      <c r="AC1294" s="29"/>
      <c r="AD1294" s="29"/>
    </row>
    <row r="1295" spans="1:30" s="491" customFormat="1" ht="41.25" hidden="1" customHeight="1">
      <c r="A1295" s="25"/>
      <c r="B1295" s="643"/>
      <c r="C1295" s="513"/>
      <c r="D1295" s="514"/>
      <c r="E1295" s="670" t="s">
        <v>31</v>
      </c>
      <c r="F1295" s="670"/>
      <c r="G1295" s="670"/>
      <c r="H1295" s="670"/>
      <c r="I1295" s="670"/>
      <c r="J1295" s="670"/>
      <c r="K1295" s="670"/>
      <c r="L1295" s="498">
        <f>ROUND((I1291+J1291+K1291)*2.14%,2)</f>
        <v>658.12</v>
      </c>
      <c r="M1295" s="459">
        <f>L1295</f>
        <v>658.12</v>
      </c>
      <c r="N1295" s="655"/>
      <c r="O1295" s="656"/>
      <c r="P1295" s="657"/>
      <c r="Q1295" s="671"/>
      <c r="R1295" s="723"/>
      <c r="S1295" s="673"/>
      <c r="T1295" s="497">
        <f>H1291*M1295*N1291*O1291*P1291</f>
        <v>0</v>
      </c>
      <c r="U1295" s="458">
        <f>T1295</f>
        <v>0</v>
      </c>
      <c r="V1295" s="42"/>
      <c r="W1295" s="41"/>
      <c r="X1295" s="39"/>
      <c r="Y1295" s="41"/>
      <c r="Z1295" s="29"/>
      <c r="AA1295" s="43">
        <f>T1295</f>
        <v>0</v>
      </c>
      <c r="AB1295" s="29"/>
      <c r="AC1295" s="29"/>
      <c r="AD1295" s="29"/>
    </row>
    <row r="1296" spans="1:30" s="491" customFormat="1" ht="41.25" hidden="1" customHeight="1">
      <c r="A1296" s="25"/>
      <c r="B1296" s="643"/>
      <c r="C1296" s="515"/>
      <c r="D1296" s="514"/>
      <c r="E1296" s="670" t="s">
        <v>348</v>
      </c>
      <c r="F1296" s="670"/>
      <c r="G1296" s="670"/>
      <c r="H1296" s="670"/>
      <c r="I1296" s="670"/>
      <c r="J1296" s="670"/>
      <c r="K1296" s="670"/>
      <c r="L1296" s="498">
        <f>ROUND((I1291+J1291+K1291+L1294+L1295+L1299)*3%,2)</f>
        <v>1088.53</v>
      </c>
      <c r="M1296" s="459">
        <f>L1296</f>
        <v>1088.53</v>
      </c>
      <c r="N1296" s="655"/>
      <c r="O1296" s="656"/>
      <c r="P1296" s="657"/>
      <c r="Q1296" s="671"/>
      <c r="R1296" s="723"/>
      <c r="S1296" s="673"/>
      <c r="T1296" s="497">
        <f>H1291*M1296*N1291*O1291*P1291</f>
        <v>0</v>
      </c>
      <c r="U1296" s="458">
        <f>T1296</f>
        <v>0</v>
      </c>
      <c r="V1296" s="42"/>
      <c r="W1296" s="41"/>
      <c r="X1296" s="41"/>
      <c r="Y1296" s="39"/>
      <c r="Z1296" s="29"/>
      <c r="AA1296" s="29"/>
      <c r="AB1296" s="43">
        <f>T1296</f>
        <v>0</v>
      </c>
      <c r="AC1296" s="29"/>
      <c r="AD1296" s="29"/>
    </row>
    <row r="1297" spans="1:30" s="491" customFormat="1" ht="54.75" hidden="1" customHeight="1">
      <c r="A1297" s="25"/>
      <c r="B1297" s="643"/>
      <c r="C1297" s="515"/>
      <c r="D1297" s="514"/>
      <c r="E1297" s="670" t="s">
        <v>349</v>
      </c>
      <c r="F1297" s="670"/>
      <c r="G1297" s="670"/>
      <c r="H1297" s="670"/>
      <c r="I1297" s="670"/>
      <c r="J1297" s="670"/>
      <c r="K1297" s="670"/>
      <c r="L1297" s="498">
        <f>ROUND(5531.156978-K1291-L1294-L1295-L1299,2)</f>
        <v>0</v>
      </c>
      <c r="M1297" s="459">
        <f>L1297</f>
        <v>0</v>
      </c>
      <c r="N1297" s="655"/>
      <c r="O1297" s="656"/>
      <c r="P1297" s="657"/>
      <c r="Q1297" s="671"/>
      <c r="R1297" s="723"/>
      <c r="S1297" s="673"/>
      <c r="T1297" s="460">
        <f>H1291*M1297*N1291*O1291*P1291</f>
        <v>0</v>
      </c>
      <c r="U1297" s="458">
        <f>T1297</f>
        <v>0</v>
      </c>
      <c r="V1297" s="42"/>
      <c r="W1297" s="41"/>
      <c r="X1297" s="41"/>
      <c r="Y1297" s="41"/>
      <c r="Z1297" s="44"/>
      <c r="AA1297" s="29"/>
      <c r="AB1297" s="29"/>
      <c r="AC1297" s="44">
        <f>T1297</f>
        <v>0</v>
      </c>
      <c r="AD1297" s="29"/>
    </row>
    <row r="1298" spans="1:30" s="491" customFormat="1" ht="24" hidden="1" customHeight="1">
      <c r="A1298" s="25"/>
      <c r="B1298" s="643"/>
      <c r="C1298" s="515"/>
      <c r="D1298" s="514"/>
      <c r="E1298" s="674"/>
      <c r="F1298" s="730"/>
      <c r="G1298" s="730"/>
      <c r="H1298" s="730"/>
      <c r="I1298" s="730"/>
      <c r="J1298" s="730"/>
      <c r="K1298" s="730"/>
      <c r="L1298" s="730"/>
      <c r="M1298" s="676"/>
      <c r="N1298" s="655"/>
      <c r="O1298" s="656"/>
      <c r="P1298" s="657"/>
      <c r="Q1298" s="677"/>
      <c r="R1298" s="727"/>
      <c r="S1298" s="727"/>
      <c r="T1298" s="727"/>
      <c r="U1298" s="679"/>
      <c r="V1298" s="45"/>
      <c r="W1298" s="41"/>
      <c r="X1298" s="41"/>
      <c r="Y1298" s="41"/>
      <c r="Z1298" s="29"/>
      <c r="AA1298" s="44"/>
      <c r="AB1298" s="29"/>
      <c r="AC1298" s="29"/>
      <c r="AD1298" s="29"/>
    </row>
    <row r="1299" spans="1:30" s="491" customFormat="1" ht="45" hidden="1" customHeight="1" thickBot="1">
      <c r="A1299" s="25"/>
      <c r="B1299" s="644"/>
      <c r="C1299" s="516"/>
      <c r="D1299" s="517"/>
      <c r="E1299" s="680" t="s">
        <v>369</v>
      </c>
      <c r="F1299" s="680" t="s">
        <v>306</v>
      </c>
      <c r="G1299" s="680"/>
      <c r="H1299" s="680"/>
      <c r="I1299" s="680"/>
      <c r="J1299" s="680"/>
      <c r="K1299" s="680"/>
      <c r="L1299" s="499">
        <f>ROUND((I1291+J1291+K1291+L1294)*3.93%,2)</f>
        <v>1347.17</v>
      </c>
      <c r="M1299" s="46">
        <f>L1299</f>
        <v>1347.17</v>
      </c>
      <c r="N1299" s="658"/>
      <c r="O1299" s="659"/>
      <c r="P1299" s="660"/>
      <c r="Q1299" s="681"/>
      <c r="R1299" s="682"/>
      <c r="S1299" s="683"/>
      <c r="T1299" s="385">
        <f>H1291*M1299*N1291*O1291*P1291</f>
        <v>0</v>
      </c>
      <c r="U1299" s="47">
        <f>T1299</f>
        <v>0</v>
      </c>
      <c r="V1299" s="48"/>
      <c r="W1299" s="41"/>
      <c r="X1299" s="41"/>
      <c r="Y1299" s="41"/>
      <c r="Z1299" s="29"/>
      <c r="AA1299" s="29"/>
      <c r="AB1299" s="44"/>
      <c r="AC1299" s="29"/>
      <c r="AD1299" s="44">
        <f>T1299</f>
        <v>0</v>
      </c>
    </row>
    <row r="1300" spans="1:30" s="491" customFormat="1" ht="150" hidden="1" customHeight="1">
      <c r="A1300" s="25"/>
      <c r="B1300" s="642">
        <v>2</v>
      </c>
      <c r="C1300" s="511">
        <v>10</v>
      </c>
      <c r="D1300" s="512"/>
      <c r="E1300" s="493" t="s">
        <v>695</v>
      </c>
      <c r="F1300" s="714" t="s">
        <v>693</v>
      </c>
      <c r="G1300" s="645" t="s">
        <v>357</v>
      </c>
      <c r="H1300" s="712">
        <v>0</v>
      </c>
      <c r="I1300" s="494">
        <v>0</v>
      </c>
      <c r="J1300" s="494">
        <v>36960.929999999993</v>
      </c>
      <c r="K1300" s="494">
        <v>0</v>
      </c>
      <c r="L1300" s="494">
        <f>SUM(L1302:L1308)</f>
        <v>7619.3938600000001</v>
      </c>
      <c r="M1300" s="33">
        <f>SUM(I1300:L1300)</f>
        <v>44580.32385999999</v>
      </c>
      <c r="N1300" s="501">
        <v>1</v>
      </c>
      <c r="O1300" s="502">
        <v>1</v>
      </c>
      <c r="P1300" s="37">
        <v>1</v>
      </c>
      <c r="Q1300" s="34">
        <f>H1300*I1300*N1300*O1300*P1300</f>
        <v>0</v>
      </c>
      <c r="R1300" s="35">
        <f>H1300*J1300*N1300*O1300*P1300</f>
        <v>0</v>
      </c>
      <c r="S1300" s="36">
        <f>H1300*K1300*N1300*O1300*P1300</f>
        <v>0</v>
      </c>
      <c r="T1300" s="36">
        <f>H1300*L1300*N1300*O1300*P1300</f>
        <v>0</v>
      </c>
      <c r="U1300" s="37">
        <f>SUM(Q1300:T1300)</f>
        <v>0</v>
      </c>
      <c r="V1300" s="38">
        <f>(Q1300+R1300+S1300+T1304+T1305+T1306+T1308)*'Прогнозная стоимость РСС ИП '!$M$11+T1303*'Прогнозная стоимость РСС ИП '!$M$10</f>
        <v>0</v>
      </c>
      <c r="W1300" s="39">
        <f>T1300</f>
        <v>0</v>
      </c>
      <c r="X1300" s="39">
        <f>U1300</f>
        <v>0</v>
      </c>
      <c r="Y1300" s="39">
        <f>V1300</f>
        <v>0</v>
      </c>
      <c r="Z1300" s="29"/>
      <c r="AA1300" s="29"/>
      <c r="AB1300" s="29"/>
      <c r="AC1300" s="29"/>
      <c r="AD1300" s="29"/>
    </row>
    <row r="1301" spans="1:30" s="491" customFormat="1" ht="22.5" hidden="1" customHeight="1">
      <c r="A1301" s="25"/>
      <c r="B1301" s="643"/>
      <c r="C1301" s="513"/>
      <c r="D1301" s="514"/>
      <c r="E1301" s="495"/>
      <c r="F1301" s="715"/>
      <c r="G1301" s="646"/>
      <c r="H1301" s="713"/>
      <c r="I1301" s="716"/>
      <c r="J1301" s="717"/>
      <c r="K1301" s="717"/>
      <c r="L1301" s="717"/>
      <c r="M1301" s="718"/>
      <c r="N1301" s="652"/>
      <c r="O1301" s="653"/>
      <c r="P1301" s="654"/>
      <c r="Q1301" s="661"/>
      <c r="R1301" s="719"/>
      <c r="S1301" s="719"/>
      <c r="T1301" s="719"/>
      <c r="U1301" s="663"/>
      <c r="V1301" s="40"/>
      <c r="W1301" s="41"/>
      <c r="X1301" s="41"/>
      <c r="Y1301" s="41"/>
      <c r="Z1301" s="29"/>
      <c r="AA1301" s="29"/>
      <c r="AB1301" s="29"/>
      <c r="AC1301" s="29"/>
      <c r="AD1301" s="29"/>
    </row>
    <row r="1302" spans="1:30" s="491" customFormat="1" ht="41.25" hidden="1" customHeight="1">
      <c r="A1302" s="25"/>
      <c r="B1302" s="643"/>
      <c r="C1302" s="513"/>
      <c r="D1302" s="514"/>
      <c r="E1302" s="664" t="s">
        <v>29</v>
      </c>
      <c r="F1302" s="720"/>
      <c r="G1302" s="720"/>
      <c r="H1302" s="720"/>
      <c r="I1302" s="720"/>
      <c r="J1302" s="720"/>
      <c r="K1302" s="720"/>
      <c r="L1302" s="720"/>
      <c r="M1302" s="666"/>
      <c r="N1302" s="655"/>
      <c r="O1302" s="656"/>
      <c r="P1302" s="657"/>
      <c r="Q1302" s="667"/>
      <c r="R1302" s="721"/>
      <c r="S1302" s="721"/>
      <c r="T1302" s="721"/>
      <c r="U1302" s="722"/>
      <c r="V1302" s="42"/>
      <c r="W1302" s="41"/>
      <c r="X1302" s="41"/>
      <c r="Y1302" s="41"/>
      <c r="Z1302" s="29"/>
      <c r="AA1302" s="29"/>
      <c r="AB1302" s="29"/>
      <c r="AC1302" s="29"/>
      <c r="AD1302" s="29"/>
    </row>
    <row r="1303" spans="1:30" s="491" customFormat="1" ht="41.25" hidden="1" customHeight="1">
      <c r="A1303" s="25"/>
      <c r="B1303" s="643"/>
      <c r="C1303" s="513">
        <v>1010</v>
      </c>
      <c r="D1303" s="514"/>
      <c r="E1303" s="670" t="s">
        <v>30</v>
      </c>
      <c r="F1303" s="670"/>
      <c r="G1303" s="670"/>
      <c r="H1303" s="670"/>
      <c r="I1303" s="670"/>
      <c r="J1303" s="670"/>
      <c r="K1303" s="670"/>
      <c r="L1303" s="498">
        <v>3923.2138599999998</v>
      </c>
      <c r="M1303" s="456">
        <f>L1303</f>
        <v>3923.2138599999998</v>
      </c>
      <c r="N1303" s="655"/>
      <c r="O1303" s="656"/>
      <c r="P1303" s="657"/>
      <c r="Q1303" s="671"/>
      <c r="R1303" s="723"/>
      <c r="S1303" s="673"/>
      <c r="T1303" s="497">
        <f>H1300*M1303*N1300*O1300*P1300</f>
        <v>0</v>
      </c>
      <c r="U1303" s="458">
        <f>T1303</f>
        <v>0</v>
      </c>
      <c r="V1303" s="42"/>
      <c r="W1303" s="39"/>
      <c r="X1303" s="41"/>
      <c r="Y1303" s="41"/>
      <c r="Z1303" s="43">
        <f>T1303</f>
        <v>0</v>
      </c>
      <c r="AA1303" s="29"/>
      <c r="AB1303" s="29"/>
      <c r="AC1303" s="29"/>
      <c r="AD1303" s="29"/>
    </row>
    <row r="1304" spans="1:30" s="491" customFormat="1" ht="41.25" hidden="1" customHeight="1">
      <c r="A1304" s="25"/>
      <c r="B1304" s="643"/>
      <c r="C1304" s="513"/>
      <c r="D1304" s="514"/>
      <c r="E1304" s="670" t="s">
        <v>31</v>
      </c>
      <c r="F1304" s="670"/>
      <c r="G1304" s="670"/>
      <c r="H1304" s="670"/>
      <c r="I1304" s="670"/>
      <c r="J1304" s="670"/>
      <c r="K1304" s="670"/>
      <c r="L1304" s="498">
        <f>ROUND((I1300+J1300+K1300)*2.14%,2)</f>
        <v>790.96</v>
      </c>
      <c r="M1304" s="456">
        <f>L1304</f>
        <v>790.96</v>
      </c>
      <c r="N1304" s="655"/>
      <c r="O1304" s="656"/>
      <c r="P1304" s="657"/>
      <c r="Q1304" s="671"/>
      <c r="R1304" s="723"/>
      <c r="S1304" s="673"/>
      <c r="T1304" s="497">
        <f>H1300*M1304*N1300*O1300*P1300</f>
        <v>0</v>
      </c>
      <c r="U1304" s="458">
        <f>T1304</f>
        <v>0</v>
      </c>
      <c r="V1304" s="42"/>
      <c r="W1304" s="41"/>
      <c r="X1304" s="39"/>
      <c r="Y1304" s="41"/>
      <c r="Z1304" s="29"/>
      <c r="AA1304" s="43">
        <f>T1304</f>
        <v>0</v>
      </c>
      <c r="AB1304" s="29"/>
      <c r="AC1304" s="29"/>
      <c r="AD1304" s="29"/>
    </row>
    <row r="1305" spans="1:30" s="491" customFormat="1" ht="41.25" hidden="1" customHeight="1">
      <c r="A1305" s="25"/>
      <c r="B1305" s="643"/>
      <c r="C1305" s="515"/>
      <c r="D1305" s="514"/>
      <c r="E1305" s="670" t="s">
        <v>348</v>
      </c>
      <c r="F1305" s="670"/>
      <c r="G1305" s="670"/>
      <c r="H1305" s="670"/>
      <c r="I1305" s="670"/>
      <c r="J1305" s="670"/>
      <c r="K1305" s="670"/>
      <c r="L1305" s="498">
        <f>ROUND((I1300+J1300+K1300+L1303+L1304+L1308)*3%,2)+0.01</f>
        <v>1298.47</v>
      </c>
      <c r="M1305" s="459">
        <f>L1305</f>
        <v>1298.47</v>
      </c>
      <c r="N1305" s="655"/>
      <c r="O1305" s="656"/>
      <c r="P1305" s="657"/>
      <c r="Q1305" s="671"/>
      <c r="R1305" s="723"/>
      <c r="S1305" s="673"/>
      <c r="T1305" s="497">
        <f>H1300*M1305*N1300*O1300*P1300</f>
        <v>0</v>
      </c>
      <c r="U1305" s="458">
        <f>T1305</f>
        <v>0</v>
      </c>
      <c r="V1305" s="42"/>
      <c r="W1305" s="41"/>
      <c r="X1305" s="41"/>
      <c r="Y1305" s="39"/>
      <c r="Z1305" s="29"/>
      <c r="AA1305" s="29"/>
      <c r="AB1305" s="43">
        <f>T1305</f>
        <v>0</v>
      </c>
      <c r="AC1305" s="29"/>
      <c r="AD1305" s="29"/>
    </row>
    <row r="1306" spans="1:30" s="491" customFormat="1" ht="54.75" hidden="1" customHeight="1">
      <c r="A1306" s="25"/>
      <c r="B1306" s="643"/>
      <c r="C1306" s="515"/>
      <c r="D1306" s="514"/>
      <c r="E1306" s="670" t="s">
        <v>349</v>
      </c>
      <c r="F1306" s="670"/>
      <c r="G1306" s="670"/>
      <c r="H1306" s="670"/>
      <c r="I1306" s="670"/>
      <c r="J1306" s="670"/>
      <c r="K1306" s="670"/>
      <c r="L1306" s="498">
        <f>ROUND(6320.927762-K1300-L1303-L1304-L1308,2)</f>
        <v>0</v>
      </c>
      <c r="M1306" s="459">
        <f>L1306</f>
        <v>0</v>
      </c>
      <c r="N1306" s="655"/>
      <c r="O1306" s="656"/>
      <c r="P1306" s="657"/>
      <c r="Q1306" s="671"/>
      <c r="R1306" s="723"/>
      <c r="S1306" s="673"/>
      <c r="T1306" s="460">
        <f>H1300*M1306*N1300*O1300*P1300</f>
        <v>0</v>
      </c>
      <c r="U1306" s="458">
        <f>T1306</f>
        <v>0</v>
      </c>
      <c r="V1306" s="42"/>
      <c r="W1306" s="41"/>
      <c r="X1306" s="41"/>
      <c r="Y1306" s="41"/>
      <c r="Z1306" s="44"/>
      <c r="AA1306" s="29"/>
      <c r="AB1306" s="29"/>
      <c r="AC1306" s="44">
        <f>T1306</f>
        <v>0</v>
      </c>
      <c r="AD1306" s="29"/>
    </row>
    <row r="1307" spans="1:30" s="491" customFormat="1" ht="24" hidden="1" customHeight="1">
      <c r="A1307" s="25"/>
      <c r="B1307" s="643"/>
      <c r="C1307" s="515"/>
      <c r="D1307" s="514"/>
      <c r="E1307" s="724"/>
      <c r="F1307" s="725"/>
      <c r="G1307" s="725"/>
      <c r="H1307" s="725"/>
      <c r="I1307" s="725"/>
      <c r="J1307" s="725"/>
      <c r="K1307" s="725"/>
      <c r="L1307" s="725"/>
      <c r="M1307" s="726"/>
      <c r="N1307" s="655"/>
      <c r="O1307" s="656"/>
      <c r="P1307" s="657"/>
      <c r="Q1307" s="677"/>
      <c r="R1307" s="727"/>
      <c r="S1307" s="727"/>
      <c r="T1307" s="727"/>
      <c r="U1307" s="679"/>
      <c r="V1307" s="45"/>
      <c r="W1307" s="41"/>
      <c r="X1307" s="41"/>
      <c r="Y1307" s="41"/>
      <c r="Z1307" s="29"/>
      <c r="AA1307" s="44"/>
      <c r="AB1307" s="29"/>
      <c r="AC1307" s="29"/>
      <c r="AD1307" s="29"/>
    </row>
    <row r="1308" spans="1:30" s="491" customFormat="1" ht="45" hidden="1" customHeight="1" thickBot="1">
      <c r="A1308" s="25"/>
      <c r="B1308" s="644"/>
      <c r="C1308" s="516"/>
      <c r="D1308" s="517"/>
      <c r="E1308" s="680" t="s">
        <v>369</v>
      </c>
      <c r="F1308" s="680" t="s">
        <v>306</v>
      </c>
      <c r="G1308" s="680"/>
      <c r="H1308" s="680"/>
      <c r="I1308" s="680"/>
      <c r="J1308" s="680"/>
      <c r="K1308" s="680"/>
      <c r="L1308" s="499">
        <f>ROUND((I1300+J1300+K1300+L1303)*3.93%,2)</f>
        <v>1606.75</v>
      </c>
      <c r="M1308" s="46">
        <f>L1308</f>
        <v>1606.75</v>
      </c>
      <c r="N1308" s="658"/>
      <c r="O1308" s="659"/>
      <c r="P1308" s="660"/>
      <c r="Q1308" s="681"/>
      <c r="R1308" s="682"/>
      <c r="S1308" s="683"/>
      <c r="T1308" s="385">
        <f>H1300*M1308*N1300*O1300*P1300</f>
        <v>0</v>
      </c>
      <c r="U1308" s="47">
        <f>T1308</f>
        <v>0</v>
      </c>
      <c r="V1308" s="48"/>
      <c r="W1308" s="41"/>
      <c r="X1308" s="41"/>
      <c r="Y1308" s="41"/>
      <c r="Z1308" s="29"/>
      <c r="AA1308" s="29"/>
      <c r="AB1308" s="44"/>
      <c r="AC1308" s="29"/>
      <c r="AD1308" s="44">
        <f>T1308</f>
        <v>0</v>
      </c>
    </row>
    <row r="1309" spans="1:30" s="491" customFormat="1" ht="150" hidden="1" customHeight="1">
      <c r="A1309" s="25"/>
      <c r="B1309" s="642">
        <v>2</v>
      </c>
      <c r="C1309" s="511">
        <v>10</v>
      </c>
      <c r="D1309" s="512"/>
      <c r="E1309" s="493" t="s">
        <v>371</v>
      </c>
      <c r="F1309" s="714" t="s">
        <v>362</v>
      </c>
      <c r="G1309" s="645" t="s">
        <v>357</v>
      </c>
      <c r="H1309" s="712">
        <v>0</v>
      </c>
      <c r="I1309" s="494">
        <v>0</v>
      </c>
      <c r="J1309" s="494">
        <v>33459.06</v>
      </c>
      <c r="K1309" s="494">
        <v>0</v>
      </c>
      <c r="L1309" s="494">
        <f>SUM(L1311:L1317)</f>
        <v>6875.8209200000001</v>
      </c>
      <c r="M1309" s="33">
        <f>SUM(I1309:L1309)</f>
        <v>40334.880919999996</v>
      </c>
      <c r="N1309" s="501">
        <v>1</v>
      </c>
      <c r="O1309" s="502">
        <v>1</v>
      </c>
      <c r="P1309" s="37">
        <v>1</v>
      </c>
      <c r="Q1309" s="34">
        <f>H1309*I1309*N1309*O1309*P1309</f>
        <v>0</v>
      </c>
      <c r="R1309" s="35">
        <f>H1309*J1309*N1309*O1309*P1309</f>
        <v>0</v>
      </c>
      <c r="S1309" s="36">
        <f>H1309*K1309*N1309*O1309*P1309</f>
        <v>0</v>
      </c>
      <c r="T1309" s="36">
        <f>H1309*L1309*N1309*O1309*P1309</f>
        <v>0</v>
      </c>
      <c r="U1309" s="37">
        <f>SUM(Q1309:T1309)</f>
        <v>0</v>
      </c>
      <c r="V1309" s="38">
        <f>(Q1309+R1309+S1309+T1313+T1314+T1315+T1317)*'Прогнозная стоимость РСС ИП '!$M$11+T1312*'Прогнозная стоимость РСС ИП '!$M$10</f>
        <v>0</v>
      </c>
      <c r="W1309" s="39">
        <f>T1309</f>
        <v>0</v>
      </c>
      <c r="X1309" s="39">
        <f>U1309</f>
        <v>0</v>
      </c>
      <c r="Y1309" s="39">
        <f>V1309</f>
        <v>0</v>
      </c>
      <c r="Z1309" s="29"/>
      <c r="AA1309" s="29"/>
      <c r="AB1309" s="29"/>
      <c r="AC1309" s="29"/>
      <c r="AD1309" s="29"/>
    </row>
    <row r="1310" spans="1:30" s="491" customFormat="1" ht="22.5" hidden="1" customHeight="1">
      <c r="A1310" s="25"/>
      <c r="B1310" s="643"/>
      <c r="C1310" s="513"/>
      <c r="D1310" s="514"/>
      <c r="E1310" s="495"/>
      <c r="F1310" s="715"/>
      <c r="G1310" s="646"/>
      <c r="H1310" s="713"/>
      <c r="I1310" s="716"/>
      <c r="J1310" s="717"/>
      <c r="K1310" s="717"/>
      <c r="L1310" s="717"/>
      <c r="M1310" s="718"/>
      <c r="N1310" s="652"/>
      <c r="O1310" s="653"/>
      <c r="P1310" s="654"/>
      <c r="Q1310" s="661"/>
      <c r="R1310" s="719"/>
      <c r="S1310" s="719"/>
      <c r="T1310" s="719"/>
      <c r="U1310" s="663"/>
      <c r="V1310" s="40"/>
      <c r="W1310" s="41"/>
      <c r="X1310" s="41"/>
      <c r="Y1310" s="41"/>
      <c r="Z1310" s="29"/>
      <c r="AA1310" s="29"/>
      <c r="AB1310" s="29"/>
      <c r="AC1310" s="29"/>
      <c r="AD1310" s="29"/>
    </row>
    <row r="1311" spans="1:30" s="491" customFormat="1" ht="41.25" hidden="1" customHeight="1">
      <c r="A1311" s="25"/>
      <c r="B1311" s="643"/>
      <c r="C1311" s="513"/>
      <c r="D1311" s="514"/>
      <c r="E1311" s="664" t="s">
        <v>29</v>
      </c>
      <c r="F1311" s="720"/>
      <c r="G1311" s="720"/>
      <c r="H1311" s="720"/>
      <c r="I1311" s="720"/>
      <c r="J1311" s="720"/>
      <c r="K1311" s="720"/>
      <c r="L1311" s="720"/>
      <c r="M1311" s="666"/>
      <c r="N1311" s="655"/>
      <c r="O1311" s="656"/>
      <c r="P1311" s="657"/>
      <c r="Q1311" s="667"/>
      <c r="R1311" s="721"/>
      <c r="S1311" s="721"/>
      <c r="T1311" s="721"/>
      <c r="U1311" s="722"/>
      <c r="V1311" s="42"/>
      <c r="W1311" s="41"/>
      <c r="X1311" s="41"/>
      <c r="Y1311" s="41"/>
      <c r="Z1311" s="29"/>
      <c r="AA1311" s="29"/>
      <c r="AB1311" s="29"/>
      <c r="AC1311" s="29"/>
      <c r="AD1311" s="29"/>
    </row>
    <row r="1312" spans="1:30" s="491" customFormat="1" ht="41.25" hidden="1" customHeight="1">
      <c r="A1312" s="25"/>
      <c r="B1312" s="643"/>
      <c r="C1312" s="513">
        <v>1010</v>
      </c>
      <c r="D1312" s="514"/>
      <c r="E1312" s="670" t="s">
        <v>30</v>
      </c>
      <c r="F1312" s="670"/>
      <c r="G1312" s="670"/>
      <c r="H1312" s="670"/>
      <c r="I1312" s="670"/>
      <c r="J1312" s="670"/>
      <c r="K1312" s="670"/>
      <c r="L1312" s="498">
        <v>3531.2809199999992</v>
      </c>
      <c r="M1312" s="456">
        <f>L1312</f>
        <v>3531.2809199999992</v>
      </c>
      <c r="N1312" s="655"/>
      <c r="O1312" s="656"/>
      <c r="P1312" s="657"/>
      <c r="Q1312" s="671"/>
      <c r="R1312" s="723"/>
      <c r="S1312" s="673"/>
      <c r="T1312" s="497">
        <f>H1309*M1312*N1309*O1309*P1309</f>
        <v>0</v>
      </c>
      <c r="U1312" s="458">
        <f>T1312</f>
        <v>0</v>
      </c>
      <c r="V1312" s="42"/>
      <c r="W1312" s="39"/>
      <c r="X1312" s="41"/>
      <c r="Y1312" s="41"/>
      <c r="Z1312" s="43">
        <f>T1312</f>
        <v>0</v>
      </c>
      <c r="AA1312" s="29"/>
      <c r="AB1312" s="29"/>
      <c r="AC1312" s="29"/>
      <c r="AD1312" s="29"/>
    </row>
    <row r="1313" spans="1:30" s="491" customFormat="1" ht="41.25" hidden="1" customHeight="1">
      <c r="A1313" s="25"/>
      <c r="B1313" s="643"/>
      <c r="C1313" s="513"/>
      <c r="D1313" s="514"/>
      <c r="E1313" s="670" t="s">
        <v>31</v>
      </c>
      <c r="F1313" s="670"/>
      <c r="G1313" s="670"/>
      <c r="H1313" s="670"/>
      <c r="I1313" s="670"/>
      <c r="J1313" s="670"/>
      <c r="K1313" s="670"/>
      <c r="L1313" s="498">
        <f>ROUND((I1309+J1309+K1309)*2.14%,2)</f>
        <v>716.02</v>
      </c>
      <c r="M1313" s="456">
        <f>L1313</f>
        <v>716.02</v>
      </c>
      <c r="N1313" s="655"/>
      <c r="O1313" s="656"/>
      <c r="P1313" s="657"/>
      <c r="Q1313" s="671"/>
      <c r="R1313" s="723"/>
      <c r="S1313" s="673"/>
      <c r="T1313" s="497">
        <f>H1309*M1313*N1309*O1309*P1309</f>
        <v>0</v>
      </c>
      <c r="U1313" s="458">
        <f>T1313</f>
        <v>0</v>
      </c>
      <c r="V1313" s="42"/>
      <c r="W1313" s="41"/>
      <c r="X1313" s="39"/>
      <c r="Y1313" s="41"/>
      <c r="Z1313" s="29"/>
      <c r="AA1313" s="43">
        <f>T1313</f>
        <v>0</v>
      </c>
      <c r="AB1313" s="29"/>
      <c r="AC1313" s="29"/>
      <c r="AD1313" s="29"/>
    </row>
    <row r="1314" spans="1:30" s="491" customFormat="1" ht="41.25" hidden="1" customHeight="1">
      <c r="A1314" s="25"/>
      <c r="B1314" s="643"/>
      <c r="C1314" s="515"/>
      <c r="D1314" s="514"/>
      <c r="E1314" s="670" t="s">
        <v>348</v>
      </c>
      <c r="F1314" s="670"/>
      <c r="G1314" s="670"/>
      <c r="H1314" s="670"/>
      <c r="I1314" s="670"/>
      <c r="J1314" s="670"/>
      <c r="K1314" s="670"/>
      <c r="L1314" s="498">
        <f>ROUND((I1309+J1309+K1309+L1312+L1313+L1317)*3%,2)</f>
        <v>1174.8</v>
      </c>
      <c r="M1314" s="459">
        <f>L1314</f>
        <v>1174.8</v>
      </c>
      <c r="N1314" s="655"/>
      <c r="O1314" s="656"/>
      <c r="P1314" s="657"/>
      <c r="Q1314" s="671"/>
      <c r="R1314" s="723"/>
      <c r="S1314" s="673"/>
      <c r="T1314" s="497">
        <f>H1309*M1314*N1309*O1309*P1309</f>
        <v>0</v>
      </c>
      <c r="U1314" s="458">
        <f>T1314</f>
        <v>0</v>
      </c>
      <c r="V1314" s="42"/>
      <c r="W1314" s="41"/>
      <c r="X1314" s="41"/>
      <c r="Y1314" s="39"/>
      <c r="Z1314" s="29"/>
      <c r="AA1314" s="29"/>
      <c r="AB1314" s="43">
        <f>T1314</f>
        <v>0</v>
      </c>
      <c r="AC1314" s="29"/>
      <c r="AD1314" s="29"/>
    </row>
    <row r="1315" spans="1:30" s="491" customFormat="1" ht="54.75" hidden="1" customHeight="1">
      <c r="A1315" s="25"/>
      <c r="B1315" s="643"/>
      <c r="C1315" s="515"/>
      <c r="D1315" s="514"/>
      <c r="E1315" s="670" t="s">
        <v>349</v>
      </c>
      <c r="F1315" s="670"/>
      <c r="G1315" s="670"/>
      <c r="H1315" s="670"/>
      <c r="I1315" s="670"/>
      <c r="J1315" s="670"/>
      <c r="K1315" s="670"/>
      <c r="L1315" s="498">
        <f>ROUND(5701.024804-K1309-L1312-L1313-L1317,2)</f>
        <v>0</v>
      </c>
      <c r="M1315" s="459">
        <f>L1315</f>
        <v>0</v>
      </c>
      <c r="N1315" s="655"/>
      <c r="O1315" s="656"/>
      <c r="P1315" s="657"/>
      <c r="Q1315" s="671"/>
      <c r="R1315" s="723"/>
      <c r="S1315" s="673"/>
      <c r="T1315" s="460">
        <f>H1309*M1315*N1309*O1309*P1309</f>
        <v>0</v>
      </c>
      <c r="U1315" s="458">
        <f>T1315</f>
        <v>0</v>
      </c>
      <c r="V1315" s="42"/>
      <c r="W1315" s="41"/>
      <c r="X1315" s="41"/>
      <c r="Y1315" s="41"/>
      <c r="Z1315" s="44"/>
      <c r="AA1315" s="29"/>
      <c r="AB1315" s="29"/>
      <c r="AC1315" s="44">
        <f>T1315</f>
        <v>0</v>
      </c>
      <c r="AD1315" s="29"/>
    </row>
    <row r="1316" spans="1:30" s="491" customFormat="1" ht="24" hidden="1" customHeight="1">
      <c r="A1316" s="25"/>
      <c r="B1316" s="643"/>
      <c r="C1316" s="515"/>
      <c r="D1316" s="514"/>
      <c r="E1316" s="724"/>
      <c r="F1316" s="725"/>
      <c r="G1316" s="725"/>
      <c r="H1316" s="725"/>
      <c r="I1316" s="725"/>
      <c r="J1316" s="725"/>
      <c r="K1316" s="725"/>
      <c r="L1316" s="725"/>
      <c r="M1316" s="726"/>
      <c r="N1316" s="655"/>
      <c r="O1316" s="656"/>
      <c r="P1316" s="657"/>
      <c r="Q1316" s="677"/>
      <c r="R1316" s="727"/>
      <c r="S1316" s="727"/>
      <c r="T1316" s="727"/>
      <c r="U1316" s="679"/>
      <c r="V1316" s="45"/>
      <c r="W1316" s="41"/>
      <c r="X1316" s="41"/>
      <c r="Y1316" s="41"/>
      <c r="Z1316" s="29"/>
      <c r="AA1316" s="44"/>
      <c r="AB1316" s="29"/>
      <c r="AC1316" s="29"/>
      <c r="AD1316" s="29"/>
    </row>
    <row r="1317" spans="1:30" s="491" customFormat="1" ht="45" hidden="1" customHeight="1" thickBot="1">
      <c r="A1317" s="25"/>
      <c r="B1317" s="644"/>
      <c r="C1317" s="516"/>
      <c r="D1317" s="517"/>
      <c r="E1317" s="680" t="s">
        <v>369</v>
      </c>
      <c r="F1317" s="680" t="s">
        <v>306</v>
      </c>
      <c r="G1317" s="680"/>
      <c r="H1317" s="680"/>
      <c r="I1317" s="680"/>
      <c r="J1317" s="680"/>
      <c r="K1317" s="680"/>
      <c r="L1317" s="499">
        <f>ROUND((I1309+J1309+K1309+L1312)*3.93%,2)</f>
        <v>1453.72</v>
      </c>
      <c r="M1317" s="46">
        <f>L1317</f>
        <v>1453.72</v>
      </c>
      <c r="N1317" s="658"/>
      <c r="O1317" s="659"/>
      <c r="P1317" s="660"/>
      <c r="Q1317" s="681"/>
      <c r="R1317" s="682"/>
      <c r="S1317" s="683"/>
      <c r="T1317" s="385">
        <f>H1309*M1317*N1309*O1309*P1309</f>
        <v>0</v>
      </c>
      <c r="U1317" s="47">
        <f>T1317</f>
        <v>0</v>
      </c>
      <c r="V1317" s="48"/>
      <c r="W1317" s="41"/>
      <c r="X1317" s="41"/>
      <c r="Y1317" s="41"/>
      <c r="Z1317" s="29"/>
      <c r="AA1317" s="29"/>
      <c r="AB1317" s="44"/>
      <c r="AC1317" s="29"/>
      <c r="AD1317" s="44">
        <f>T1317</f>
        <v>0</v>
      </c>
    </row>
    <row r="1318" spans="1:30" s="491" customFormat="1" ht="150" hidden="1" customHeight="1">
      <c r="A1318" s="25"/>
      <c r="B1318" s="642">
        <v>2</v>
      </c>
      <c r="C1318" s="511">
        <v>10</v>
      </c>
      <c r="D1318" s="512"/>
      <c r="E1318" s="493" t="s">
        <v>696</v>
      </c>
      <c r="F1318" s="714" t="s">
        <v>697</v>
      </c>
      <c r="G1318" s="645" t="s">
        <v>357</v>
      </c>
      <c r="H1318" s="712">
        <v>0</v>
      </c>
      <c r="I1318" s="494">
        <v>0</v>
      </c>
      <c r="J1318" s="494">
        <v>40375.839999999997</v>
      </c>
      <c r="K1318" s="494">
        <v>0</v>
      </c>
      <c r="L1318" s="494">
        <f>SUM(L1320:L1326)</f>
        <v>7942.6336799999999</v>
      </c>
      <c r="M1318" s="33">
        <f>SUM(I1318:L1318)</f>
        <v>48318.473679999996</v>
      </c>
      <c r="N1318" s="501">
        <v>1</v>
      </c>
      <c r="O1318" s="502">
        <v>1</v>
      </c>
      <c r="P1318" s="37">
        <v>1</v>
      </c>
      <c r="Q1318" s="34">
        <f>H1318*I1318*N1318*O1318*P1318</f>
        <v>0</v>
      </c>
      <c r="R1318" s="35">
        <f>H1318*J1318*N1318*O1318*P1318</f>
        <v>0</v>
      </c>
      <c r="S1318" s="36">
        <f>H1318*K1318*N1318*O1318*P1318</f>
        <v>0</v>
      </c>
      <c r="T1318" s="36">
        <f>H1318*L1318*N1318*O1318*P1318</f>
        <v>0</v>
      </c>
      <c r="U1318" s="37">
        <f>SUM(Q1318:T1318)</f>
        <v>0</v>
      </c>
      <c r="V1318" s="38">
        <f>(Q1318+R1318+S1318+T1322+T1323+T1324+T1326)*'Прогнозная стоимость РСС ИП '!$M$11+T1321*'Прогнозная стоимость РСС ИП '!$M$10</f>
        <v>0</v>
      </c>
      <c r="W1318" s="39">
        <f>T1318</f>
        <v>0</v>
      </c>
      <c r="X1318" s="39">
        <f>U1318</f>
        <v>0</v>
      </c>
      <c r="Y1318" s="39">
        <f>V1318</f>
        <v>0</v>
      </c>
      <c r="Z1318" s="29"/>
      <c r="AA1318" s="29"/>
      <c r="AB1318" s="29"/>
      <c r="AC1318" s="29"/>
      <c r="AD1318" s="29"/>
    </row>
    <row r="1319" spans="1:30" s="491" customFormat="1" ht="22.5" hidden="1" customHeight="1">
      <c r="A1319" s="25"/>
      <c r="B1319" s="643"/>
      <c r="C1319" s="513"/>
      <c r="D1319" s="514"/>
      <c r="E1319" s="495"/>
      <c r="F1319" s="715"/>
      <c r="G1319" s="646"/>
      <c r="H1319" s="713"/>
      <c r="I1319" s="716"/>
      <c r="J1319" s="717"/>
      <c r="K1319" s="717"/>
      <c r="L1319" s="717"/>
      <c r="M1319" s="718"/>
      <c r="N1319" s="652"/>
      <c r="O1319" s="653"/>
      <c r="P1319" s="654"/>
      <c r="Q1319" s="661"/>
      <c r="R1319" s="719"/>
      <c r="S1319" s="719"/>
      <c r="T1319" s="719"/>
      <c r="U1319" s="663"/>
      <c r="V1319" s="40"/>
      <c r="W1319" s="41"/>
      <c r="X1319" s="41"/>
      <c r="Y1319" s="41"/>
      <c r="Z1319" s="29"/>
      <c r="AA1319" s="29"/>
      <c r="AB1319" s="29"/>
      <c r="AC1319" s="29"/>
      <c r="AD1319" s="29"/>
    </row>
    <row r="1320" spans="1:30" s="491" customFormat="1" ht="41.25" hidden="1" customHeight="1">
      <c r="A1320" s="25"/>
      <c r="B1320" s="643"/>
      <c r="C1320" s="513"/>
      <c r="D1320" s="514"/>
      <c r="E1320" s="664" t="s">
        <v>29</v>
      </c>
      <c r="F1320" s="720"/>
      <c r="G1320" s="720"/>
      <c r="H1320" s="720"/>
      <c r="I1320" s="720"/>
      <c r="J1320" s="720"/>
      <c r="K1320" s="720"/>
      <c r="L1320" s="720"/>
      <c r="M1320" s="666"/>
      <c r="N1320" s="655"/>
      <c r="O1320" s="656"/>
      <c r="P1320" s="657"/>
      <c r="Q1320" s="667"/>
      <c r="R1320" s="721"/>
      <c r="S1320" s="721"/>
      <c r="T1320" s="721"/>
      <c r="U1320" s="722"/>
      <c r="V1320" s="42"/>
      <c r="W1320" s="41"/>
      <c r="X1320" s="41"/>
      <c r="Y1320" s="41"/>
      <c r="Z1320" s="29"/>
      <c r="AA1320" s="29"/>
      <c r="AB1320" s="29"/>
      <c r="AC1320" s="29"/>
      <c r="AD1320" s="29"/>
    </row>
    <row r="1321" spans="1:30" s="491" customFormat="1" ht="41.25" hidden="1" customHeight="1">
      <c r="A1321" s="25"/>
      <c r="B1321" s="643"/>
      <c r="C1321" s="513">
        <v>1010</v>
      </c>
      <c r="D1321" s="514"/>
      <c r="E1321" s="670" t="s">
        <v>30</v>
      </c>
      <c r="F1321" s="670"/>
      <c r="G1321" s="670"/>
      <c r="H1321" s="670"/>
      <c r="I1321" s="670"/>
      <c r="J1321" s="670"/>
      <c r="K1321" s="670"/>
      <c r="L1321" s="498">
        <v>3930.0436799999998</v>
      </c>
      <c r="M1321" s="456">
        <f>L1321</f>
        <v>3930.0436799999998</v>
      </c>
      <c r="N1321" s="655"/>
      <c r="O1321" s="656"/>
      <c r="P1321" s="657"/>
      <c r="Q1321" s="671"/>
      <c r="R1321" s="723"/>
      <c r="S1321" s="673"/>
      <c r="T1321" s="497">
        <f>H1318*M1321*N1318*O1318*P1318</f>
        <v>0</v>
      </c>
      <c r="U1321" s="458">
        <f>T1321</f>
        <v>0</v>
      </c>
      <c r="V1321" s="42"/>
      <c r="W1321" s="39"/>
      <c r="X1321" s="41"/>
      <c r="Y1321" s="41"/>
      <c r="Z1321" s="43">
        <f>T1321</f>
        <v>0</v>
      </c>
      <c r="AA1321" s="29"/>
      <c r="AB1321" s="29"/>
      <c r="AC1321" s="29"/>
      <c r="AD1321" s="29"/>
    </row>
    <row r="1322" spans="1:30" s="491" customFormat="1" ht="41.25" hidden="1" customHeight="1">
      <c r="A1322" s="25"/>
      <c r="B1322" s="643"/>
      <c r="C1322" s="513"/>
      <c r="D1322" s="514"/>
      <c r="E1322" s="670" t="s">
        <v>31</v>
      </c>
      <c r="F1322" s="670"/>
      <c r="G1322" s="670"/>
      <c r="H1322" s="670"/>
      <c r="I1322" s="670"/>
      <c r="J1322" s="670"/>
      <c r="K1322" s="670"/>
      <c r="L1322" s="498">
        <f>ROUND((I1318+J1318+K1318)*2.14%,2)</f>
        <v>864.04</v>
      </c>
      <c r="M1322" s="456">
        <f>L1322</f>
        <v>864.04</v>
      </c>
      <c r="N1322" s="655"/>
      <c r="O1322" s="656"/>
      <c r="P1322" s="657"/>
      <c r="Q1322" s="671"/>
      <c r="R1322" s="723"/>
      <c r="S1322" s="673"/>
      <c r="T1322" s="497">
        <f>H1318*M1322*N1318*O1318*P1318</f>
        <v>0</v>
      </c>
      <c r="U1322" s="458">
        <f>T1322</f>
        <v>0</v>
      </c>
      <c r="V1322" s="42"/>
      <c r="W1322" s="41"/>
      <c r="X1322" s="39"/>
      <c r="Y1322" s="41"/>
      <c r="Z1322" s="29"/>
      <c r="AA1322" s="43">
        <f>T1322</f>
        <v>0</v>
      </c>
      <c r="AB1322" s="29"/>
      <c r="AC1322" s="29"/>
      <c r="AD1322" s="29"/>
    </row>
    <row r="1323" spans="1:30" s="491" customFormat="1" ht="41.25" hidden="1" customHeight="1">
      <c r="A1323" s="25"/>
      <c r="B1323" s="643"/>
      <c r="C1323" s="515"/>
      <c r="D1323" s="514"/>
      <c r="E1323" s="670" t="s">
        <v>348</v>
      </c>
      <c r="F1323" s="670"/>
      <c r="G1323" s="670"/>
      <c r="H1323" s="670"/>
      <c r="I1323" s="670"/>
      <c r="J1323" s="670"/>
      <c r="K1323" s="670"/>
      <c r="L1323" s="498">
        <f>ROUND((I1318+J1318+K1318+L1321+L1322+L1326)*3%,2)</f>
        <v>1407.33</v>
      </c>
      <c r="M1323" s="459">
        <f>L1323</f>
        <v>1407.33</v>
      </c>
      <c r="N1323" s="655"/>
      <c r="O1323" s="656"/>
      <c r="P1323" s="657"/>
      <c r="Q1323" s="671"/>
      <c r="R1323" s="723"/>
      <c r="S1323" s="673"/>
      <c r="T1323" s="497">
        <f>H1318*M1323*N1318*O1318*P1318</f>
        <v>0</v>
      </c>
      <c r="U1323" s="458">
        <f>T1323</f>
        <v>0</v>
      </c>
      <c r="V1323" s="42"/>
      <c r="W1323" s="41"/>
      <c r="X1323" s="41"/>
      <c r="Y1323" s="39"/>
      <c r="Z1323" s="29"/>
      <c r="AA1323" s="29"/>
      <c r="AB1323" s="43">
        <f>T1323</f>
        <v>0</v>
      </c>
      <c r="AC1323" s="29"/>
      <c r="AD1323" s="29"/>
    </row>
    <row r="1324" spans="1:30" s="491" customFormat="1" ht="54.75" hidden="1" customHeight="1">
      <c r="A1324" s="25"/>
      <c r="B1324" s="643"/>
      <c r="C1324" s="515"/>
      <c r="D1324" s="514"/>
      <c r="E1324" s="670" t="s">
        <v>349</v>
      </c>
      <c r="F1324" s="670"/>
      <c r="G1324" s="670"/>
      <c r="H1324" s="670"/>
      <c r="I1324" s="670"/>
      <c r="J1324" s="670"/>
      <c r="K1324" s="670"/>
      <c r="L1324" s="498">
        <f>ROUND(6535.30368-K1318-L1321-L1322-L1326,2)</f>
        <v>0</v>
      </c>
      <c r="M1324" s="459">
        <f>L1324</f>
        <v>0</v>
      </c>
      <c r="N1324" s="655"/>
      <c r="O1324" s="656"/>
      <c r="P1324" s="657"/>
      <c r="Q1324" s="671"/>
      <c r="R1324" s="723"/>
      <c r="S1324" s="673"/>
      <c r="T1324" s="460">
        <f>H1318*M1324*N1318*O1318*P1318</f>
        <v>0</v>
      </c>
      <c r="U1324" s="458">
        <f>T1324</f>
        <v>0</v>
      </c>
      <c r="V1324" s="42"/>
      <c r="W1324" s="41"/>
      <c r="X1324" s="41"/>
      <c r="Y1324" s="41"/>
      <c r="Z1324" s="44"/>
      <c r="AA1324" s="29"/>
      <c r="AB1324" s="29"/>
      <c r="AC1324" s="44">
        <f>T1324</f>
        <v>0</v>
      </c>
      <c r="AD1324" s="29"/>
    </row>
    <row r="1325" spans="1:30" s="491" customFormat="1" ht="24" hidden="1" customHeight="1">
      <c r="A1325" s="25"/>
      <c r="B1325" s="643"/>
      <c r="C1325" s="515"/>
      <c r="D1325" s="514"/>
      <c r="E1325" s="724"/>
      <c r="F1325" s="725"/>
      <c r="G1325" s="725"/>
      <c r="H1325" s="725"/>
      <c r="I1325" s="725"/>
      <c r="J1325" s="725"/>
      <c r="K1325" s="725"/>
      <c r="L1325" s="725"/>
      <c r="M1325" s="726"/>
      <c r="N1325" s="655"/>
      <c r="O1325" s="656"/>
      <c r="P1325" s="657"/>
      <c r="Q1325" s="677"/>
      <c r="R1325" s="727"/>
      <c r="S1325" s="727"/>
      <c r="T1325" s="727"/>
      <c r="U1325" s="679"/>
      <c r="V1325" s="45"/>
      <c r="W1325" s="41"/>
      <c r="X1325" s="41"/>
      <c r="Y1325" s="41"/>
      <c r="Z1325" s="29"/>
      <c r="AA1325" s="44"/>
      <c r="AB1325" s="29"/>
      <c r="AC1325" s="29"/>
      <c r="AD1325" s="29"/>
    </row>
    <row r="1326" spans="1:30" s="491" customFormat="1" ht="45" hidden="1" customHeight="1" thickBot="1">
      <c r="A1326" s="25"/>
      <c r="B1326" s="644"/>
      <c r="C1326" s="516"/>
      <c r="D1326" s="517"/>
      <c r="E1326" s="680" t="s">
        <v>369</v>
      </c>
      <c r="F1326" s="680" t="s">
        <v>306</v>
      </c>
      <c r="G1326" s="680"/>
      <c r="H1326" s="680"/>
      <c r="I1326" s="680"/>
      <c r="J1326" s="680"/>
      <c r="K1326" s="680"/>
      <c r="L1326" s="499">
        <f>ROUND((I1318+J1318+K1318+L1321)*3.93%,2)</f>
        <v>1741.22</v>
      </c>
      <c r="M1326" s="46">
        <f>L1326</f>
        <v>1741.22</v>
      </c>
      <c r="N1326" s="658"/>
      <c r="O1326" s="659"/>
      <c r="P1326" s="660"/>
      <c r="Q1326" s="681"/>
      <c r="R1326" s="682"/>
      <c r="S1326" s="683"/>
      <c r="T1326" s="385">
        <f>H1318*M1326*N1318*O1318*P1318</f>
        <v>0</v>
      </c>
      <c r="U1326" s="47">
        <f>T1326</f>
        <v>0</v>
      </c>
      <c r="V1326" s="48"/>
      <c r="W1326" s="41"/>
      <c r="X1326" s="41"/>
      <c r="Y1326" s="41"/>
      <c r="Z1326" s="29"/>
      <c r="AA1326" s="29"/>
      <c r="AB1326" s="44"/>
      <c r="AC1326" s="29"/>
      <c r="AD1326" s="44">
        <f>T1326</f>
        <v>0</v>
      </c>
    </row>
    <row r="1327" spans="1:30" s="491" customFormat="1" ht="150" hidden="1" customHeight="1">
      <c r="A1327" s="25"/>
      <c r="B1327" s="642">
        <v>3</v>
      </c>
      <c r="C1327" s="511">
        <v>10</v>
      </c>
      <c r="D1327" s="512"/>
      <c r="E1327" s="493" t="s">
        <v>698</v>
      </c>
      <c r="F1327" s="714" t="s">
        <v>699</v>
      </c>
      <c r="G1327" s="645" t="s">
        <v>357</v>
      </c>
      <c r="H1327" s="712">
        <v>0</v>
      </c>
      <c r="I1327" s="494">
        <v>0</v>
      </c>
      <c r="J1327" s="494">
        <v>945.7600000000001</v>
      </c>
      <c r="K1327" s="494">
        <v>1.25</v>
      </c>
      <c r="L1327" s="494">
        <f>SUM(L1329:L1335)</f>
        <v>399.08841999999999</v>
      </c>
      <c r="M1327" s="33">
        <f>SUM(I1327:L1327)</f>
        <v>1346.09842</v>
      </c>
      <c r="N1327" s="501">
        <v>1</v>
      </c>
      <c r="O1327" s="502">
        <v>1</v>
      </c>
      <c r="P1327" s="37">
        <v>1</v>
      </c>
      <c r="Q1327" s="34">
        <f>H1327*I1327*N1327*O1327*P1327</f>
        <v>0</v>
      </c>
      <c r="R1327" s="35">
        <f>H1327*J1327*N1327*O1327*P1327</f>
        <v>0</v>
      </c>
      <c r="S1327" s="36">
        <f>H1327*K1327*N1327*O1327*P1327</f>
        <v>0</v>
      </c>
      <c r="T1327" s="36">
        <f>H1327*L1327*N1327*O1327*P1327</f>
        <v>0</v>
      </c>
      <c r="U1327" s="37">
        <f>SUM(Q1327:T1327)</f>
        <v>0</v>
      </c>
      <c r="V1327" s="38">
        <f>(Q1327+R1327+S1327+T1331+T1332+T1333+T1335)*'Прогнозная стоимость РСС ИП '!$M$11+T1330*'Прогнозная стоимость РСС ИП '!$M$10</f>
        <v>0</v>
      </c>
      <c r="W1327" s="39">
        <f>T1327</f>
        <v>0</v>
      </c>
      <c r="X1327" s="39">
        <f>U1327</f>
        <v>0</v>
      </c>
      <c r="Y1327" s="39">
        <f>V1327</f>
        <v>0</v>
      </c>
      <c r="Z1327" s="29"/>
      <c r="AA1327" s="29"/>
      <c r="AB1327" s="29"/>
      <c r="AC1327" s="29"/>
      <c r="AD1327" s="29"/>
    </row>
    <row r="1328" spans="1:30" s="491" customFormat="1" ht="22.5" hidden="1" customHeight="1">
      <c r="A1328" s="25"/>
      <c r="B1328" s="643"/>
      <c r="C1328" s="513"/>
      <c r="D1328" s="514"/>
      <c r="E1328" s="495"/>
      <c r="F1328" s="715"/>
      <c r="G1328" s="646"/>
      <c r="H1328" s="713"/>
      <c r="I1328" s="716"/>
      <c r="J1328" s="717"/>
      <c r="K1328" s="717"/>
      <c r="L1328" s="717"/>
      <c r="M1328" s="718"/>
      <c r="N1328" s="652"/>
      <c r="O1328" s="653"/>
      <c r="P1328" s="654"/>
      <c r="Q1328" s="661"/>
      <c r="R1328" s="719"/>
      <c r="S1328" s="719"/>
      <c r="T1328" s="719"/>
      <c r="U1328" s="663"/>
      <c r="V1328" s="40"/>
      <c r="W1328" s="41"/>
      <c r="X1328" s="41"/>
      <c r="Y1328" s="41"/>
      <c r="Z1328" s="29"/>
      <c r="AA1328" s="29"/>
      <c r="AB1328" s="29"/>
      <c r="AC1328" s="29"/>
      <c r="AD1328" s="29"/>
    </row>
    <row r="1329" spans="1:30" s="491" customFormat="1" ht="41.25" hidden="1" customHeight="1">
      <c r="A1329" s="25"/>
      <c r="B1329" s="643"/>
      <c r="C1329" s="513"/>
      <c r="D1329" s="514"/>
      <c r="E1329" s="664" t="s">
        <v>29</v>
      </c>
      <c r="F1329" s="720"/>
      <c r="G1329" s="720"/>
      <c r="H1329" s="720"/>
      <c r="I1329" s="720"/>
      <c r="J1329" s="720"/>
      <c r="K1329" s="720"/>
      <c r="L1329" s="720"/>
      <c r="M1329" s="666"/>
      <c r="N1329" s="655"/>
      <c r="O1329" s="656"/>
      <c r="P1329" s="657"/>
      <c r="Q1329" s="667"/>
      <c r="R1329" s="721"/>
      <c r="S1329" s="721"/>
      <c r="T1329" s="721"/>
      <c r="U1329" s="722"/>
      <c r="V1329" s="42"/>
      <c r="W1329" s="41"/>
      <c r="X1329" s="41"/>
      <c r="Y1329" s="41"/>
      <c r="Z1329" s="29"/>
      <c r="AA1329" s="29"/>
      <c r="AB1329" s="29"/>
      <c r="AC1329" s="29"/>
      <c r="AD1329" s="29"/>
    </row>
    <row r="1330" spans="1:30" s="491" customFormat="1" ht="41.25" hidden="1" customHeight="1">
      <c r="A1330" s="25"/>
      <c r="B1330" s="643"/>
      <c r="C1330" s="513">
        <v>1010</v>
      </c>
      <c r="D1330" s="514"/>
      <c r="E1330" s="670" t="s">
        <v>30</v>
      </c>
      <c r="F1330" s="670"/>
      <c r="G1330" s="670"/>
      <c r="H1330" s="670"/>
      <c r="I1330" s="670"/>
      <c r="J1330" s="670"/>
      <c r="K1330" s="670"/>
      <c r="L1330" s="498">
        <v>290.96842000000004</v>
      </c>
      <c r="M1330" s="456">
        <f>L1330</f>
        <v>290.96842000000004</v>
      </c>
      <c r="N1330" s="655"/>
      <c r="O1330" s="656"/>
      <c r="P1330" s="657"/>
      <c r="Q1330" s="671"/>
      <c r="R1330" s="723"/>
      <c r="S1330" s="673"/>
      <c r="T1330" s="497">
        <f>H1327*M1330*N1327*O1327*P1327</f>
        <v>0</v>
      </c>
      <c r="U1330" s="458">
        <f>T1330</f>
        <v>0</v>
      </c>
      <c r="V1330" s="42"/>
      <c r="W1330" s="39"/>
      <c r="X1330" s="41"/>
      <c r="Y1330" s="41"/>
      <c r="Z1330" s="43">
        <f>T1330</f>
        <v>0</v>
      </c>
      <c r="AA1330" s="29"/>
      <c r="AB1330" s="29"/>
      <c r="AC1330" s="29"/>
      <c r="AD1330" s="29"/>
    </row>
    <row r="1331" spans="1:30" s="491" customFormat="1" ht="41.25" hidden="1" customHeight="1">
      <c r="A1331" s="25"/>
      <c r="B1331" s="643"/>
      <c r="C1331" s="513"/>
      <c r="D1331" s="514"/>
      <c r="E1331" s="670" t="s">
        <v>31</v>
      </c>
      <c r="F1331" s="670"/>
      <c r="G1331" s="670"/>
      <c r="H1331" s="670"/>
      <c r="I1331" s="670"/>
      <c r="J1331" s="670"/>
      <c r="K1331" s="670"/>
      <c r="L1331" s="498">
        <f>ROUND((I1327+J1327+K1327)*2.14%,2)</f>
        <v>20.27</v>
      </c>
      <c r="M1331" s="456">
        <f>L1331</f>
        <v>20.27</v>
      </c>
      <c r="N1331" s="655"/>
      <c r="O1331" s="656"/>
      <c r="P1331" s="657"/>
      <c r="Q1331" s="671"/>
      <c r="R1331" s="723"/>
      <c r="S1331" s="673"/>
      <c r="T1331" s="497">
        <f>H1327*M1331*N1327*O1327*P1327</f>
        <v>0</v>
      </c>
      <c r="U1331" s="458">
        <f>T1331</f>
        <v>0</v>
      </c>
      <c r="V1331" s="42"/>
      <c r="W1331" s="41"/>
      <c r="X1331" s="39"/>
      <c r="Y1331" s="41"/>
      <c r="Z1331" s="29"/>
      <c r="AA1331" s="43">
        <f>T1331</f>
        <v>0</v>
      </c>
      <c r="AB1331" s="29"/>
      <c r="AC1331" s="29"/>
      <c r="AD1331" s="29"/>
    </row>
    <row r="1332" spans="1:30" s="491" customFormat="1" ht="41.25" hidden="1" customHeight="1">
      <c r="A1332" s="25"/>
      <c r="B1332" s="643"/>
      <c r="C1332" s="515"/>
      <c r="D1332" s="514"/>
      <c r="E1332" s="670" t="s">
        <v>348</v>
      </c>
      <c r="F1332" s="670"/>
      <c r="G1332" s="670"/>
      <c r="H1332" s="670"/>
      <c r="I1332" s="670"/>
      <c r="J1332" s="670"/>
      <c r="K1332" s="670"/>
      <c r="L1332" s="498">
        <f>ROUND((I1327+J1327+K1327+L1330+L1331+L1335)*3%,2)-0.01</f>
        <v>39.200000000000003</v>
      </c>
      <c r="M1332" s="459">
        <f>L1332</f>
        <v>39.200000000000003</v>
      </c>
      <c r="N1332" s="655"/>
      <c r="O1332" s="656"/>
      <c r="P1332" s="657"/>
      <c r="Q1332" s="671"/>
      <c r="R1332" s="723"/>
      <c r="S1332" s="673"/>
      <c r="T1332" s="497">
        <f>H1327*M1332*N1327*O1327*P1327</f>
        <v>0</v>
      </c>
      <c r="U1332" s="458">
        <f>T1332</f>
        <v>0</v>
      </c>
      <c r="V1332" s="42"/>
      <c r="W1332" s="41"/>
      <c r="X1332" s="41"/>
      <c r="Y1332" s="39"/>
      <c r="Z1332" s="29"/>
      <c r="AA1332" s="29"/>
      <c r="AB1332" s="43">
        <f>T1332</f>
        <v>0</v>
      </c>
      <c r="AC1332" s="29"/>
      <c r="AD1332" s="29"/>
    </row>
    <row r="1333" spans="1:30" s="491" customFormat="1" ht="54.75" hidden="1" customHeight="1">
      <c r="A1333" s="25"/>
      <c r="B1333" s="643"/>
      <c r="C1333" s="515"/>
      <c r="D1333" s="514"/>
      <c r="E1333" s="670" t="s">
        <v>349</v>
      </c>
      <c r="F1333" s="670"/>
      <c r="G1333" s="670"/>
      <c r="H1333" s="670"/>
      <c r="I1333" s="670"/>
      <c r="J1333" s="670"/>
      <c r="K1333" s="670"/>
      <c r="L1333" s="498">
        <f>361.13842-K1327-L1330-L1331-L1335</f>
        <v>0</v>
      </c>
      <c r="M1333" s="459">
        <f>L1333</f>
        <v>0</v>
      </c>
      <c r="N1333" s="655"/>
      <c r="O1333" s="656"/>
      <c r="P1333" s="657"/>
      <c r="Q1333" s="671"/>
      <c r="R1333" s="723"/>
      <c r="S1333" s="673"/>
      <c r="T1333" s="460">
        <f>H1327*M1333*N1327*O1327*P1327</f>
        <v>0</v>
      </c>
      <c r="U1333" s="458">
        <f>T1333</f>
        <v>0</v>
      </c>
      <c r="V1333" s="42"/>
      <c r="W1333" s="41"/>
      <c r="X1333" s="41"/>
      <c r="Y1333" s="41"/>
      <c r="Z1333" s="44"/>
      <c r="AA1333" s="29"/>
      <c r="AB1333" s="29"/>
      <c r="AC1333" s="44">
        <f>T1333</f>
        <v>0</v>
      </c>
      <c r="AD1333" s="29"/>
    </row>
    <row r="1334" spans="1:30" s="491" customFormat="1" ht="24" hidden="1" customHeight="1">
      <c r="A1334" s="25"/>
      <c r="B1334" s="643"/>
      <c r="C1334" s="515"/>
      <c r="D1334" s="514"/>
      <c r="E1334" s="724"/>
      <c r="F1334" s="725"/>
      <c r="G1334" s="725"/>
      <c r="H1334" s="725"/>
      <c r="I1334" s="725"/>
      <c r="J1334" s="725"/>
      <c r="K1334" s="725"/>
      <c r="L1334" s="725"/>
      <c r="M1334" s="726"/>
      <c r="N1334" s="655"/>
      <c r="O1334" s="656"/>
      <c r="P1334" s="657"/>
      <c r="Q1334" s="677"/>
      <c r="R1334" s="727"/>
      <c r="S1334" s="727"/>
      <c r="T1334" s="727"/>
      <c r="U1334" s="679"/>
      <c r="V1334" s="45"/>
      <c r="W1334" s="41"/>
      <c r="X1334" s="41"/>
      <c r="Y1334" s="41"/>
      <c r="Z1334" s="29"/>
      <c r="AA1334" s="44"/>
      <c r="AB1334" s="29"/>
      <c r="AC1334" s="29"/>
      <c r="AD1334" s="29"/>
    </row>
    <row r="1335" spans="1:30" s="491" customFormat="1" ht="45" hidden="1" customHeight="1" thickBot="1">
      <c r="A1335" s="25"/>
      <c r="B1335" s="644"/>
      <c r="C1335" s="516"/>
      <c r="D1335" s="517"/>
      <c r="E1335" s="680" t="s">
        <v>369</v>
      </c>
      <c r="F1335" s="680" t="s">
        <v>306</v>
      </c>
      <c r="G1335" s="680"/>
      <c r="H1335" s="680"/>
      <c r="I1335" s="680"/>
      <c r="J1335" s="680"/>
      <c r="K1335" s="680"/>
      <c r="L1335" s="499">
        <f>ROUND((I1327+J1327+K1327+L1330)*3.93%,2)</f>
        <v>48.65</v>
      </c>
      <c r="M1335" s="46">
        <f>L1335</f>
        <v>48.65</v>
      </c>
      <c r="N1335" s="658"/>
      <c r="O1335" s="659"/>
      <c r="P1335" s="660"/>
      <c r="Q1335" s="681"/>
      <c r="R1335" s="682"/>
      <c r="S1335" s="683"/>
      <c r="T1335" s="385">
        <f>H1327*M1335*N1327*O1327*P1327</f>
        <v>0</v>
      </c>
      <c r="U1335" s="47">
        <f>T1335</f>
        <v>0</v>
      </c>
      <c r="V1335" s="48"/>
      <c r="W1335" s="41"/>
      <c r="X1335" s="41"/>
      <c r="Y1335" s="41"/>
      <c r="Z1335" s="29"/>
      <c r="AA1335" s="29"/>
      <c r="AB1335" s="44"/>
      <c r="AC1335" s="29"/>
      <c r="AD1335" s="44">
        <f>T1335</f>
        <v>0</v>
      </c>
    </row>
    <row r="1336" spans="1:30" s="491" customFormat="1" ht="150" hidden="1" customHeight="1">
      <c r="A1336" s="25"/>
      <c r="B1336" s="642">
        <v>3</v>
      </c>
      <c r="C1336" s="511">
        <v>10</v>
      </c>
      <c r="D1336" s="512"/>
      <c r="E1336" s="493" t="s">
        <v>701</v>
      </c>
      <c r="F1336" s="714" t="s">
        <v>700</v>
      </c>
      <c r="G1336" s="645" t="s">
        <v>357</v>
      </c>
      <c r="H1336" s="712">
        <v>0</v>
      </c>
      <c r="I1336" s="494">
        <v>0</v>
      </c>
      <c r="J1336" s="494">
        <v>1185.9000000000001</v>
      </c>
      <c r="K1336" s="494">
        <v>1.25</v>
      </c>
      <c r="L1336" s="494">
        <f>SUM(L1338:L1344)</f>
        <v>421.83870000000007</v>
      </c>
      <c r="M1336" s="33">
        <f>SUM(I1336:L1336)</f>
        <v>1608.9887000000001</v>
      </c>
      <c r="N1336" s="501">
        <v>1</v>
      </c>
      <c r="O1336" s="502">
        <v>1</v>
      </c>
      <c r="P1336" s="37">
        <v>1</v>
      </c>
      <c r="Q1336" s="34">
        <f>H1336*I1336*N1336*O1336*P1336</f>
        <v>0</v>
      </c>
      <c r="R1336" s="35">
        <f>H1336*J1336*N1336*O1336*P1336</f>
        <v>0</v>
      </c>
      <c r="S1336" s="36">
        <f>H1336*K1336*N1336*O1336*P1336</f>
        <v>0</v>
      </c>
      <c r="T1336" s="36">
        <f>H1336*L1336*N1336*O1336*P1336</f>
        <v>0</v>
      </c>
      <c r="U1336" s="37">
        <f>SUM(Q1336:T1336)</f>
        <v>0</v>
      </c>
      <c r="V1336" s="38">
        <f>(Q1336+R1336+S1336+T1340+T1341+T1342+T1344)*'Прогнозная стоимость РСС ИП '!$M$11+T1339*'Прогнозная стоимость РСС ИП '!$M$10</f>
        <v>0</v>
      </c>
      <c r="W1336" s="39">
        <f>T1336</f>
        <v>0</v>
      </c>
      <c r="X1336" s="39">
        <f>U1336</f>
        <v>0</v>
      </c>
      <c r="Y1336" s="39">
        <f>V1336</f>
        <v>0</v>
      </c>
      <c r="Z1336" s="29"/>
      <c r="AA1336" s="29"/>
      <c r="AB1336" s="29"/>
      <c r="AC1336" s="29"/>
      <c r="AD1336" s="29"/>
    </row>
    <row r="1337" spans="1:30" s="491" customFormat="1" ht="22.5" hidden="1" customHeight="1">
      <c r="A1337" s="25"/>
      <c r="B1337" s="643"/>
      <c r="C1337" s="513"/>
      <c r="D1337" s="514"/>
      <c r="E1337" s="495"/>
      <c r="F1337" s="715"/>
      <c r="G1337" s="646"/>
      <c r="H1337" s="713"/>
      <c r="I1337" s="716"/>
      <c r="J1337" s="717"/>
      <c r="K1337" s="717"/>
      <c r="L1337" s="717"/>
      <c r="M1337" s="718"/>
      <c r="N1337" s="652"/>
      <c r="O1337" s="653"/>
      <c r="P1337" s="654"/>
      <c r="Q1337" s="661"/>
      <c r="R1337" s="719"/>
      <c r="S1337" s="719"/>
      <c r="T1337" s="719"/>
      <c r="U1337" s="663"/>
      <c r="V1337" s="40"/>
      <c r="W1337" s="41"/>
      <c r="X1337" s="41"/>
      <c r="Y1337" s="41"/>
      <c r="Z1337" s="29"/>
      <c r="AA1337" s="29"/>
      <c r="AB1337" s="29"/>
      <c r="AC1337" s="29"/>
      <c r="AD1337" s="29"/>
    </row>
    <row r="1338" spans="1:30" s="491" customFormat="1" ht="41.25" hidden="1" customHeight="1">
      <c r="A1338" s="25"/>
      <c r="B1338" s="643"/>
      <c r="C1338" s="513"/>
      <c r="D1338" s="514"/>
      <c r="E1338" s="664" t="s">
        <v>29</v>
      </c>
      <c r="F1338" s="720"/>
      <c r="G1338" s="720"/>
      <c r="H1338" s="720"/>
      <c r="I1338" s="720"/>
      <c r="J1338" s="720"/>
      <c r="K1338" s="720"/>
      <c r="L1338" s="720"/>
      <c r="M1338" s="666"/>
      <c r="N1338" s="655"/>
      <c r="O1338" s="656"/>
      <c r="P1338" s="657"/>
      <c r="Q1338" s="667"/>
      <c r="R1338" s="721"/>
      <c r="S1338" s="721"/>
      <c r="T1338" s="721"/>
      <c r="U1338" s="722"/>
      <c r="V1338" s="42"/>
      <c r="W1338" s="41"/>
      <c r="X1338" s="41"/>
      <c r="Y1338" s="41"/>
      <c r="Z1338" s="29"/>
      <c r="AA1338" s="29"/>
      <c r="AB1338" s="29"/>
      <c r="AC1338" s="29"/>
      <c r="AD1338" s="29"/>
    </row>
    <row r="1339" spans="1:30" s="491" customFormat="1" ht="41.25" hidden="1" customHeight="1">
      <c r="A1339" s="25"/>
      <c r="B1339" s="643"/>
      <c r="C1339" s="513">
        <v>1010</v>
      </c>
      <c r="D1339" s="514"/>
      <c r="E1339" s="670" t="s">
        <v>30</v>
      </c>
      <c r="F1339" s="670"/>
      <c r="G1339" s="670"/>
      <c r="H1339" s="670"/>
      <c r="I1339" s="670"/>
      <c r="J1339" s="670"/>
      <c r="K1339" s="670"/>
      <c r="L1339" s="498">
        <v>291.44870000000003</v>
      </c>
      <c r="M1339" s="456">
        <f>L1339</f>
        <v>291.44870000000003</v>
      </c>
      <c r="N1339" s="655"/>
      <c r="O1339" s="656"/>
      <c r="P1339" s="657"/>
      <c r="Q1339" s="671"/>
      <c r="R1339" s="723"/>
      <c r="S1339" s="673"/>
      <c r="T1339" s="497">
        <f>H1336*M1339*N1336*O1336*P1336</f>
        <v>0</v>
      </c>
      <c r="U1339" s="458">
        <f>T1339</f>
        <v>0</v>
      </c>
      <c r="V1339" s="42"/>
      <c r="W1339" s="39"/>
      <c r="X1339" s="41"/>
      <c r="Y1339" s="41"/>
      <c r="Z1339" s="43">
        <f>T1339</f>
        <v>0</v>
      </c>
      <c r="AA1339" s="29"/>
      <c r="AB1339" s="29"/>
      <c r="AC1339" s="29"/>
      <c r="AD1339" s="29"/>
    </row>
    <row r="1340" spans="1:30" s="491" customFormat="1" ht="41.25" hidden="1" customHeight="1">
      <c r="A1340" s="25"/>
      <c r="B1340" s="643"/>
      <c r="C1340" s="513"/>
      <c r="D1340" s="514"/>
      <c r="E1340" s="670" t="s">
        <v>31</v>
      </c>
      <c r="F1340" s="670"/>
      <c r="G1340" s="670"/>
      <c r="H1340" s="670"/>
      <c r="I1340" s="670"/>
      <c r="J1340" s="670"/>
      <c r="K1340" s="670"/>
      <c r="L1340" s="498">
        <f>ROUND((I1336+J1336+K1336)*2.14%,2)</f>
        <v>25.41</v>
      </c>
      <c r="M1340" s="456">
        <f>L1340</f>
        <v>25.41</v>
      </c>
      <c r="N1340" s="655"/>
      <c r="O1340" s="656"/>
      <c r="P1340" s="657"/>
      <c r="Q1340" s="671"/>
      <c r="R1340" s="723"/>
      <c r="S1340" s="673"/>
      <c r="T1340" s="497">
        <f>H1336*M1340*N1336*O1336*P1336</f>
        <v>0</v>
      </c>
      <c r="U1340" s="458">
        <f>T1340</f>
        <v>0</v>
      </c>
      <c r="V1340" s="42"/>
      <c r="W1340" s="41"/>
      <c r="X1340" s="39"/>
      <c r="Y1340" s="41"/>
      <c r="Z1340" s="29"/>
      <c r="AA1340" s="43">
        <f>T1340</f>
        <v>0</v>
      </c>
      <c r="AB1340" s="29"/>
      <c r="AC1340" s="29"/>
      <c r="AD1340" s="29"/>
    </row>
    <row r="1341" spans="1:30" s="491" customFormat="1" ht="41.25" hidden="1" customHeight="1">
      <c r="A1341" s="25"/>
      <c r="B1341" s="643"/>
      <c r="C1341" s="515"/>
      <c r="D1341" s="514"/>
      <c r="E1341" s="670" t="s">
        <v>348</v>
      </c>
      <c r="F1341" s="670"/>
      <c r="G1341" s="670"/>
      <c r="H1341" s="670"/>
      <c r="I1341" s="670"/>
      <c r="J1341" s="670"/>
      <c r="K1341" s="670"/>
      <c r="L1341" s="498">
        <f>ROUND((I1336+J1336+K1336+L1339+L1340+L1344)*3%,2)+0.01</f>
        <v>46.87</v>
      </c>
      <c r="M1341" s="459">
        <f>L1341</f>
        <v>46.87</v>
      </c>
      <c r="N1341" s="655"/>
      <c r="O1341" s="656"/>
      <c r="P1341" s="657"/>
      <c r="Q1341" s="671"/>
      <c r="R1341" s="723"/>
      <c r="S1341" s="673"/>
      <c r="T1341" s="497">
        <f>H1336*M1341*N1336*O1336*P1336</f>
        <v>0</v>
      </c>
      <c r="U1341" s="458">
        <f>T1341</f>
        <v>0</v>
      </c>
      <c r="V1341" s="42"/>
      <c r="W1341" s="41"/>
      <c r="X1341" s="41"/>
      <c r="Y1341" s="39"/>
      <c r="Z1341" s="29"/>
      <c r="AA1341" s="29"/>
      <c r="AB1341" s="43">
        <f>T1341</f>
        <v>0</v>
      </c>
      <c r="AC1341" s="29"/>
      <c r="AD1341" s="29"/>
    </row>
    <row r="1342" spans="1:30" s="491" customFormat="1" ht="54.75" hidden="1" customHeight="1">
      <c r="A1342" s="25"/>
      <c r="B1342" s="643"/>
      <c r="C1342" s="515"/>
      <c r="D1342" s="514"/>
      <c r="E1342" s="670" t="s">
        <v>349</v>
      </c>
      <c r="F1342" s="670"/>
      <c r="G1342" s="670"/>
      <c r="H1342" s="670"/>
      <c r="I1342" s="670"/>
      <c r="J1342" s="670"/>
      <c r="K1342" s="670"/>
      <c r="L1342" s="498">
        <f>376.2187-K1336-L1339-L1340-L1344</f>
        <v>0</v>
      </c>
      <c r="M1342" s="459">
        <f>L1342</f>
        <v>0</v>
      </c>
      <c r="N1342" s="655"/>
      <c r="O1342" s="656"/>
      <c r="P1342" s="657"/>
      <c r="Q1342" s="671"/>
      <c r="R1342" s="723"/>
      <c r="S1342" s="673"/>
      <c r="T1342" s="460">
        <f>H1336*M1342*N1336*O1336*P1336</f>
        <v>0</v>
      </c>
      <c r="U1342" s="458">
        <f>T1342</f>
        <v>0</v>
      </c>
      <c r="V1342" s="42"/>
      <c r="W1342" s="41"/>
      <c r="X1342" s="41"/>
      <c r="Y1342" s="41"/>
      <c r="Z1342" s="44"/>
      <c r="AA1342" s="29"/>
      <c r="AB1342" s="29"/>
      <c r="AC1342" s="44">
        <f>T1342</f>
        <v>0</v>
      </c>
      <c r="AD1342" s="29"/>
    </row>
    <row r="1343" spans="1:30" s="491" customFormat="1" ht="24" hidden="1" customHeight="1">
      <c r="A1343" s="25"/>
      <c r="B1343" s="643"/>
      <c r="C1343" s="515"/>
      <c r="D1343" s="514"/>
      <c r="E1343" s="724"/>
      <c r="F1343" s="725"/>
      <c r="G1343" s="725"/>
      <c r="H1343" s="725"/>
      <c r="I1343" s="725"/>
      <c r="J1343" s="725"/>
      <c r="K1343" s="725"/>
      <c r="L1343" s="725"/>
      <c r="M1343" s="726"/>
      <c r="N1343" s="655"/>
      <c r="O1343" s="656"/>
      <c r="P1343" s="657"/>
      <c r="Q1343" s="677"/>
      <c r="R1343" s="727"/>
      <c r="S1343" s="727"/>
      <c r="T1343" s="727"/>
      <c r="U1343" s="679"/>
      <c r="V1343" s="45"/>
      <c r="W1343" s="41"/>
      <c r="X1343" s="41"/>
      <c r="Y1343" s="41"/>
      <c r="Z1343" s="29"/>
      <c r="AA1343" s="44"/>
      <c r="AB1343" s="29"/>
      <c r="AC1343" s="29"/>
      <c r="AD1343" s="29"/>
    </row>
    <row r="1344" spans="1:30" s="491" customFormat="1" ht="45" hidden="1" customHeight="1" thickBot="1">
      <c r="A1344" s="25"/>
      <c r="B1344" s="644"/>
      <c r="C1344" s="516"/>
      <c r="D1344" s="517"/>
      <c r="E1344" s="680" t="s">
        <v>369</v>
      </c>
      <c r="F1344" s="680" t="s">
        <v>306</v>
      </c>
      <c r="G1344" s="680"/>
      <c r="H1344" s="680"/>
      <c r="I1344" s="680"/>
      <c r="J1344" s="680"/>
      <c r="K1344" s="680"/>
      <c r="L1344" s="499">
        <f>ROUND((I1336+J1336+K1336+L1339)*3.93%,2)</f>
        <v>58.11</v>
      </c>
      <c r="M1344" s="46">
        <f>L1344</f>
        <v>58.11</v>
      </c>
      <c r="N1344" s="658"/>
      <c r="O1344" s="659"/>
      <c r="P1344" s="660"/>
      <c r="Q1344" s="681"/>
      <c r="R1344" s="682"/>
      <c r="S1344" s="683"/>
      <c r="T1344" s="385">
        <f>H1336*M1344*N1336*O1336*P1336</f>
        <v>0</v>
      </c>
      <c r="U1344" s="47">
        <f>T1344</f>
        <v>0</v>
      </c>
      <c r="V1344" s="48"/>
      <c r="W1344" s="41"/>
      <c r="X1344" s="41"/>
      <c r="Y1344" s="41"/>
      <c r="Z1344" s="29"/>
      <c r="AA1344" s="29"/>
      <c r="AB1344" s="44"/>
      <c r="AC1344" s="29"/>
      <c r="AD1344" s="44">
        <f>T1344</f>
        <v>0</v>
      </c>
    </row>
    <row r="1345" spans="1:30" s="491" customFormat="1" ht="150" hidden="1" customHeight="1">
      <c r="A1345" s="25"/>
      <c r="B1345" s="642">
        <v>3</v>
      </c>
      <c r="C1345" s="511">
        <v>10</v>
      </c>
      <c r="D1345" s="512"/>
      <c r="E1345" s="493" t="s">
        <v>702</v>
      </c>
      <c r="F1345" s="714" t="s">
        <v>703</v>
      </c>
      <c r="G1345" s="645" t="s">
        <v>357</v>
      </c>
      <c r="H1345" s="712">
        <v>0</v>
      </c>
      <c r="I1345" s="494">
        <v>0</v>
      </c>
      <c r="J1345" s="494">
        <v>1373.77</v>
      </c>
      <c r="K1345" s="494">
        <v>1.25</v>
      </c>
      <c r="L1345" s="494">
        <f>SUM(L1347:L1353)</f>
        <v>439.61444000000006</v>
      </c>
      <c r="M1345" s="33">
        <f>SUM(I1345:L1345)</f>
        <v>1814.63444</v>
      </c>
      <c r="N1345" s="501">
        <v>1</v>
      </c>
      <c r="O1345" s="502">
        <v>1</v>
      </c>
      <c r="P1345" s="37">
        <v>1</v>
      </c>
      <c r="Q1345" s="34">
        <f>H1345*I1345*N1345*O1345*P1345</f>
        <v>0</v>
      </c>
      <c r="R1345" s="35">
        <f>H1345*J1345*N1345*O1345*P1345</f>
        <v>0</v>
      </c>
      <c r="S1345" s="36">
        <f>H1345*K1345*N1345*O1345*P1345</f>
        <v>0</v>
      </c>
      <c r="T1345" s="36">
        <f>H1345*L1345*N1345*O1345*P1345</f>
        <v>0</v>
      </c>
      <c r="U1345" s="37">
        <f>SUM(Q1345:T1345)</f>
        <v>0</v>
      </c>
      <c r="V1345" s="38">
        <f>(Q1345+R1345+S1345+T1349+T1350+T1351+T1353)*'Прогнозная стоимость РСС ИП '!$M$11+T1348*'Прогнозная стоимость РСС ИП '!$M$10</f>
        <v>0</v>
      </c>
      <c r="W1345" s="39">
        <f>T1345</f>
        <v>0</v>
      </c>
      <c r="X1345" s="39">
        <f>U1345</f>
        <v>0</v>
      </c>
      <c r="Y1345" s="39">
        <f>V1345</f>
        <v>0</v>
      </c>
      <c r="Z1345" s="29"/>
      <c r="AA1345" s="29"/>
      <c r="AB1345" s="29"/>
      <c r="AC1345" s="29"/>
      <c r="AD1345" s="29"/>
    </row>
    <row r="1346" spans="1:30" s="491" customFormat="1" ht="22.5" hidden="1" customHeight="1">
      <c r="A1346" s="25"/>
      <c r="B1346" s="643"/>
      <c r="C1346" s="513"/>
      <c r="D1346" s="514"/>
      <c r="E1346" s="495"/>
      <c r="F1346" s="715"/>
      <c r="G1346" s="646"/>
      <c r="H1346" s="713"/>
      <c r="I1346" s="716"/>
      <c r="J1346" s="717"/>
      <c r="K1346" s="717"/>
      <c r="L1346" s="717"/>
      <c r="M1346" s="718"/>
      <c r="N1346" s="652"/>
      <c r="O1346" s="653"/>
      <c r="P1346" s="654"/>
      <c r="Q1346" s="661"/>
      <c r="R1346" s="719"/>
      <c r="S1346" s="719"/>
      <c r="T1346" s="719"/>
      <c r="U1346" s="663"/>
      <c r="V1346" s="40"/>
      <c r="W1346" s="41"/>
      <c r="X1346" s="41"/>
      <c r="Y1346" s="41"/>
      <c r="Z1346" s="29"/>
      <c r="AA1346" s="29"/>
      <c r="AB1346" s="29"/>
      <c r="AC1346" s="29"/>
      <c r="AD1346" s="29"/>
    </row>
    <row r="1347" spans="1:30" s="491" customFormat="1" ht="41.25" hidden="1" customHeight="1">
      <c r="A1347" s="25"/>
      <c r="B1347" s="643"/>
      <c r="C1347" s="513"/>
      <c r="D1347" s="514"/>
      <c r="E1347" s="664" t="s">
        <v>29</v>
      </c>
      <c r="F1347" s="720"/>
      <c r="G1347" s="720"/>
      <c r="H1347" s="720"/>
      <c r="I1347" s="720"/>
      <c r="J1347" s="720"/>
      <c r="K1347" s="720"/>
      <c r="L1347" s="720"/>
      <c r="M1347" s="666"/>
      <c r="N1347" s="655"/>
      <c r="O1347" s="656"/>
      <c r="P1347" s="657"/>
      <c r="Q1347" s="667"/>
      <c r="R1347" s="721"/>
      <c r="S1347" s="721"/>
      <c r="T1347" s="721"/>
      <c r="U1347" s="722"/>
      <c r="V1347" s="42"/>
      <c r="W1347" s="41"/>
      <c r="X1347" s="41"/>
      <c r="Y1347" s="41"/>
      <c r="Z1347" s="29"/>
      <c r="AA1347" s="29"/>
      <c r="AB1347" s="29"/>
      <c r="AC1347" s="29"/>
      <c r="AD1347" s="29"/>
    </row>
    <row r="1348" spans="1:30" s="491" customFormat="1" ht="41.25" hidden="1" customHeight="1">
      <c r="A1348" s="25"/>
      <c r="B1348" s="643"/>
      <c r="C1348" s="513">
        <v>1010</v>
      </c>
      <c r="D1348" s="514"/>
      <c r="E1348" s="670" t="s">
        <v>30</v>
      </c>
      <c r="F1348" s="670"/>
      <c r="G1348" s="670"/>
      <c r="H1348" s="670"/>
      <c r="I1348" s="670"/>
      <c r="J1348" s="670"/>
      <c r="K1348" s="670"/>
      <c r="L1348" s="498">
        <v>291.82444000000004</v>
      </c>
      <c r="M1348" s="456">
        <f>L1348</f>
        <v>291.82444000000004</v>
      </c>
      <c r="N1348" s="655"/>
      <c r="O1348" s="656"/>
      <c r="P1348" s="657"/>
      <c r="Q1348" s="671"/>
      <c r="R1348" s="723"/>
      <c r="S1348" s="673"/>
      <c r="T1348" s="497">
        <f>H1345*M1348*N1345*O1345*P1345</f>
        <v>0</v>
      </c>
      <c r="U1348" s="458">
        <f>T1348</f>
        <v>0</v>
      </c>
      <c r="V1348" s="42"/>
      <c r="W1348" s="39"/>
      <c r="X1348" s="41"/>
      <c r="Y1348" s="41"/>
      <c r="Z1348" s="43">
        <f>T1348</f>
        <v>0</v>
      </c>
      <c r="AA1348" s="29"/>
      <c r="AB1348" s="29"/>
      <c r="AC1348" s="29"/>
      <c r="AD1348" s="29"/>
    </row>
    <row r="1349" spans="1:30" s="491" customFormat="1" ht="41.25" hidden="1" customHeight="1">
      <c r="A1349" s="25"/>
      <c r="B1349" s="643"/>
      <c r="C1349" s="513"/>
      <c r="D1349" s="514"/>
      <c r="E1349" s="670" t="s">
        <v>31</v>
      </c>
      <c r="F1349" s="670"/>
      <c r="G1349" s="670"/>
      <c r="H1349" s="670"/>
      <c r="I1349" s="670"/>
      <c r="J1349" s="670"/>
      <c r="K1349" s="670"/>
      <c r="L1349" s="498">
        <f>ROUND((I1345+J1345+K1345)*2.14%,2)</f>
        <v>29.43</v>
      </c>
      <c r="M1349" s="456">
        <f>L1349</f>
        <v>29.43</v>
      </c>
      <c r="N1349" s="655"/>
      <c r="O1349" s="656"/>
      <c r="P1349" s="657"/>
      <c r="Q1349" s="671"/>
      <c r="R1349" s="723"/>
      <c r="S1349" s="673"/>
      <c r="T1349" s="497">
        <f>H1345*M1349*N1345*O1345*P1345</f>
        <v>0</v>
      </c>
      <c r="U1349" s="458">
        <f>T1349</f>
        <v>0</v>
      </c>
      <c r="V1349" s="42"/>
      <c r="W1349" s="41"/>
      <c r="X1349" s="39"/>
      <c r="Y1349" s="41"/>
      <c r="Z1349" s="29"/>
      <c r="AA1349" s="43">
        <f>T1349</f>
        <v>0</v>
      </c>
      <c r="AB1349" s="29"/>
      <c r="AC1349" s="29"/>
      <c r="AD1349" s="29"/>
    </row>
    <row r="1350" spans="1:30" s="491" customFormat="1" ht="41.25" hidden="1" customHeight="1">
      <c r="A1350" s="25"/>
      <c r="B1350" s="643"/>
      <c r="C1350" s="515"/>
      <c r="D1350" s="514"/>
      <c r="E1350" s="670" t="s">
        <v>348</v>
      </c>
      <c r="F1350" s="670"/>
      <c r="G1350" s="670"/>
      <c r="H1350" s="670"/>
      <c r="I1350" s="670"/>
      <c r="J1350" s="670"/>
      <c r="K1350" s="670"/>
      <c r="L1350" s="498">
        <f>ROUND((I1345+J1345+K1345+L1348+L1349+L1353)*3%,2)</f>
        <v>52.85</v>
      </c>
      <c r="M1350" s="459">
        <f>L1350</f>
        <v>52.85</v>
      </c>
      <c r="N1350" s="655"/>
      <c r="O1350" s="656"/>
      <c r="P1350" s="657"/>
      <c r="Q1350" s="671"/>
      <c r="R1350" s="723"/>
      <c r="S1350" s="673"/>
      <c r="T1350" s="497">
        <f>H1345*M1350*N1345*O1345*P1345</f>
        <v>0</v>
      </c>
      <c r="U1350" s="458">
        <f>T1350</f>
        <v>0</v>
      </c>
      <c r="V1350" s="42"/>
      <c r="W1350" s="41"/>
      <c r="X1350" s="41"/>
      <c r="Y1350" s="39"/>
      <c r="Z1350" s="29"/>
      <c r="AA1350" s="29"/>
      <c r="AB1350" s="43">
        <f>T1350</f>
        <v>0</v>
      </c>
      <c r="AC1350" s="29"/>
      <c r="AD1350" s="29"/>
    </row>
    <row r="1351" spans="1:30" s="491" customFormat="1" ht="54.75" hidden="1" customHeight="1">
      <c r="A1351" s="25"/>
      <c r="B1351" s="643"/>
      <c r="C1351" s="515"/>
      <c r="D1351" s="514"/>
      <c r="E1351" s="670" t="s">
        <v>349</v>
      </c>
      <c r="F1351" s="670"/>
      <c r="G1351" s="670"/>
      <c r="H1351" s="670"/>
      <c r="I1351" s="670"/>
      <c r="J1351" s="670"/>
      <c r="K1351" s="670"/>
      <c r="L1351" s="498">
        <f>388.01444-K1345-L1348-L1349-L1353</f>
        <v>0</v>
      </c>
      <c r="M1351" s="459">
        <f>L1351</f>
        <v>0</v>
      </c>
      <c r="N1351" s="655"/>
      <c r="O1351" s="656"/>
      <c r="P1351" s="657"/>
      <c r="Q1351" s="671"/>
      <c r="R1351" s="723"/>
      <c r="S1351" s="673"/>
      <c r="T1351" s="460">
        <f>H1345*M1351*N1345*O1345*P1345</f>
        <v>0</v>
      </c>
      <c r="U1351" s="458">
        <f>T1351</f>
        <v>0</v>
      </c>
      <c r="V1351" s="42"/>
      <c r="W1351" s="41"/>
      <c r="X1351" s="41"/>
      <c r="Y1351" s="41"/>
      <c r="Z1351" s="44"/>
      <c r="AA1351" s="29"/>
      <c r="AB1351" s="29"/>
      <c r="AC1351" s="44">
        <f>T1351</f>
        <v>0</v>
      </c>
      <c r="AD1351" s="29"/>
    </row>
    <row r="1352" spans="1:30" s="491" customFormat="1" ht="24" hidden="1" customHeight="1">
      <c r="A1352" s="25"/>
      <c r="B1352" s="643"/>
      <c r="C1352" s="515"/>
      <c r="D1352" s="514"/>
      <c r="E1352" s="724"/>
      <c r="F1352" s="725"/>
      <c r="G1352" s="725"/>
      <c r="H1352" s="725"/>
      <c r="I1352" s="725"/>
      <c r="J1352" s="725"/>
      <c r="K1352" s="725"/>
      <c r="L1352" s="725"/>
      <c r="M1352" s="726"/>
      <c r="N1352" s="655"/>
      <c r="O1352" s="656"/>
      <c r="P1352" s="657"/>
      <c r="Q1352" s="677"/>
      <c r="R1352" s="727"/>
      <c r="S1352" s="727"/>
      <c r="T1352" s="727"/>
      <c r="U1352" s="679"/>
      <c r="V1352" s="45"/>
      <c r="W1352" s="41"/>
      <c r="X1352" s="41"/>
      <c r="Y1352" s="41"/>
      <c r="Z1352" s="29"/>
      <c r="AA1352" s="44"/>
      <c r="AB1352" s="29"/>
      <c r="AC1352" s="29"/>
      <c r="AD1352" s="29"/>
    </row>
    <row r="1353" spans="1:30" s="491" customFormat="1" ht="45" hidden="1" customHeight="1" thickBot="1">
      <c r="A1353" s="25"/>
      <c r="B1353" s="644"/>
      <c r="C1353" s="516"/>
      <c r="D1353" s="517"/>
      <c r="E1353" s="680" t="s">
        <v>369</v>
      </c>
      <c r="F1353" s="680" t="s">
        <v>306</v>
      </c>
      <c r="G1353" s="680"/>
      <c r="H1353" s="680"/>
      <c r="I1353" s="680"/>
      <c r="J1353" s="680"/>
      <c r="K1353" s="680"/>
      <c r="L1353" s="499">
        <f>ROUND((I1345+J1345+K1345+L1348)*3.93%,2)</f>
        <v>65.510000000000005</v>
      </c>
      <c r="M1353" s="46">
        <f>L1353</f>
        <v>65.510000000000005</v>
      </c>
      <c r="N1353" s="658"/>
      <c r="O1353" s="659"/>
      <c r="P1353" s="660"/>
      <c r="Q1353" s="681"/>
      <c r="R1353" s="682"/>
      <c r="S1353" s="683"/>
      <c r="T1353" s="385">
        <f>H1345*M1353*N1345*O1345*P1345</f>
        <v>0</v>
      </c>
      <c r="U1353" s="47">
        <f>T1353</f>
        <v>0</v>
      </c>
      <c r="V1353" s="48"/>
      <c r="W1353" s="41"/>
      <c r="X1353" s="41"/>
      <c r="Y1353" s="41"/>
      <c r="Z1353" s="29"/>
      <c r="AA1353" s="29"/>
      <c r="AB1353" s="44"/>
      <c r="AC1353" s="29"/>
      <c r="AD1353" s="44">
        <f>T1353</f>
        <v>0</v>
      </c>
    </row>
    <row r="1354" spans="1:30" s="491" customFormat="1" ht="150" hidden="1" customHeight="1">
      <c r="A1354" s="25"/>
      <c r="B1354" s="642">
        <v>3</v>
      </c>
      <c r="C1354" s="511">
        <v>10</v>
      </c>
      <c r="D1354" s="512"/>
      <c r="E1354" s="493" t="s">
        <v>704</v>
      </c>
      <c r="F1354" s="714" t="s">
        <v>705</v>
      </c>
      <c r="G1354" s="645" t="s">
        <v>357</v>
      </c>
      <c r="H1354" s="712">
        <v>0</v>
      </c>
      <c r="I1354" s="494">
        <v>0</v>
      </c>
      <c r="J1354" s="494">
        <v>1655.6599999999999</v>
      </c>
      <c r="K1354" s="494">
        <v>1.25</v>
      </c>
      <c r="L1354" s="494">
        <f>SUM(L1356:L1362)</f>
        <v>466.29822000000001</v>
      </c>
      <c r="M1354" s="33">
        <f>SUM(I1354:L1354)</f>
        <v>2123.20822</v>
      </c>
      <c r="N1354" s="501">
        <v>1</v>
      </c>
      <c r="O1354" s="502">
        <v>1</v>
      </c>
      <c r="P1354" s="37">
        <v>1</v>
      </c>
      <c r="Q1354" s="34">
        <f>H1354*I1354*N1354*O1354*P1354</f>
        <v>0</v>
      </c>
      <c r="R1354" s="35">
        <f>H1354*J1354*N1354*O1354*P1354</f>
        <v>0</v>
      </c>
      <c r="S1354" s="36">
        <f>H1354*K1354*N1354*O1354*P1354</f>
        <v>0</v>
      </c>
      <c r="T1354" s="36">
        <f>H1354*L1354*N1354*O1354*P1354</f>
        <v>0</v>
      </c>
      <c r="U1354" s="37">
        <f>SUM(Q1354:T1354)</f>
        <v>0</v>
      </c>
      <c r="V1354" s="38">
        <f>(Q1354+R1354+S1354+T1358+T1359+T1360+T1362)*'Прогнозная стоимость РСС ИП '!$M$11+T1357*'Прогнозная стоимость РСС ИП '!$M$10</f>
        <v>0</v>
      </c>
      <c r="W1354" s="39">
        <f>T1354</f>
        <v>0</v>
      </c>
      <c r="X1354" s="39">
        <f>U1354</f>
        <v>0</v>
      </c>
      <c r="Y1354" s="39">
        <f>V1354</f>
        <v>0</v>
      </c>
      <c r="Z1354" s="29"/>
      <c r="AA1354" s="29"/>
      <c r="AB1354" s="29"/>
      <c r="AC1354" s="29"/>
      <c r="AD1354" s="29"/>
    </row>
    <row r="1355" spans="1:30" s="491" customFormat="1" ht="22.5" hidden="1" customHeight="1">
      <c r="A1355" s="25"/>
      <c r="B1355" s="643"/>
      <c r="C1355" s="513"/>
      <c r="D1355" s="514"/>
      <c r="E1355" s="495"/>
      <c r="F1355" s="715"/>
      <c r="G1355" s="646"/>
      <c r="H1355" s="713"/>
      <c r="I1355" s="716"/>
      <c r="J1355" s="717"/>
      <c r="K1355" s="717"/>
      <c r="L1355" s="717"/>
      <c r="M1355" s="718"/>
      <c r="N1355" s="652"/>
      <c r="O1355" s="653"/>
      <c r="P1355" s="654"/>
      <c r="Q1355" s="661"/>
      <c r="R1355" s="719"/>
      <c r="S1355" s="719"/>
      <c r="T1355" s="719"/>
      <c r="U1355" s="663"/>
      <c r="V1355" s="40"/>
      <c r="W1355" s="41"/>
      <c r="X1355" s="41"/>
      <c r="Y1355" s="41"/>
      <c r="Z1355" s="29"/>
      <c r="AA1355" s="29"/>
      <c r="AB1355" s="29"/>
      <c r="AC1355" s="29"/>
      <c r="AD1355" s="29"/>
    </row>
    <row r="1356" spans="1:30" s="491" customFormat="1" ht="41.25" hidden="1" customHeight="1">
      <c r="A1356" s="25"/>
      <c r="B1356" s="643"/>
      <c r="C1356" s="513"/>
      <c r="D1356" s="514"/>
      <c r="E1356" s="664" t="s">
        <v>29</v>
      </c>
      <c r="F1356" s="720"/>
      <c r="G1356" s="720"/>
      <c r="H1356" s="720"/>
      <c r="I1356" s="720"/>
      <c r="J1356" s="720"/>
      <c r="K1356" s="720"/>
      <c r="L1356" s="720"/>
      <c r="M1356" s="666"/>
      <c r="N1356" s="655"/>
      <c r="O1356" s="656"/>
      <c r="P1356" s="657"/>
      <c r="Q1356" s="667"/>
      <c r="R1356" s="721"/>
      <c r="S1356" s="721"/>
      <c r="T1356" s="721"/>
      <c r="U1356" s="722"/>
      <c r="V1356" s="42"/>
      <c r="W1356" s="41"/>
      <c r="X1356" s="41"/>
      <c r="Y1356" s="41"/>
      <c r="Z1356" s="29"/>
      <c r="AA1356" s="29"/>
      <c r="AB1356" s="29"/>
      <c r="AC1356" s="29"/>
      <c r="AD1356" s="29"/>
    </row>
    <row r="1357" spans="1:30" s="491" customFormat="1" ht="41.25" hidden="1" customHeight="1">
      <c r="A1357" s="25"/>
      <c r="B1357" s="643"/>
      <c r="C1357" s="513">
        <v>1010</v>
      </c>
      <c r="D1357" s="514"/>
      <c r="E1357" s="670" t="s">
        <v>30</v>
      </c>
      <c r="F1357" s="670"/>
      <c r="G1357" s="670"/>
      <c r="H1357" s="670"/>
      <c r="I1357" s="670"/>
      <c r="J1357" s="670"/>
      <c r="K1357" s="670"/>
      <c r="L1357" s="498">
        <v>292.38821999999999</v>
      </c>
      <c r="M1357" s="456">
        <f>L1357</f>
        <v>292.38821999999999</v>
      </c>
      <c r="N1357" s="655"/>
      <c r="O1357" s="656"/>
      <c r="P1357" s="657"/>
      <c r="Q1357" s="671"/>
      <c r="R1357" s="723"/>
      <c r="S1357" s="673"/>
      <c r="T1357" s="497">
        <f>H1354*M1357*N1354*O1354*P1354</f>
        <v>0</v>
      </c>
      <c r="U1357" s="458">
        <f>T1357</f>
        <v>0</v>
      </c>
      <c r="V1357" s="42"/>
      <c r="W1357" s="39"/>
      <c r="X1357" s="41"/>
      <c r="Y1357" s="41"/>
      <c r="Z1357" s="43">
        <f>T1357</f>
        <v>0</v>
      </c>
      <c r="AA1357" s="29"/>
      <c r="AB1357" s="29"/>
      <c r="AC1357" s="29"/>
      <c r="AD1357" s="29"/>
    </row>
    <row r="1358" spans="1:30" s="491" customFormat="1" ht="41.25" hidden="1" customHeight="1">
      <c r="A1358" s="25"/>
      <c r="B1358" s="643"/>
      <c r="C1358" s="513"/>
      <c r="D1358" s="514"/>
      <c r="E1358" s="670" t="s">
        <v>31</v>
      </c>
      <c r="F1358" s="670"/>
      <c r="G1358" s="670"/>
      <c r="H1358" s="670"/>
      <c r="I1358" s="670"/>
      <c r="J1358" s="670"/>
      <c r="K1358" s="670"/>
      <c r="L1358" s="498">
        <f>ROUND((I1354+J1354+K1354)*2.14%,2)</f>
        <v>35.46</v>
      </c>
      <c r="M1358" s="456">
        <f>L1358</f>
        <v>35.46</v>
      </c>
      <c r="N1358" s="655"/>
      <c r="O1358" s="656"/>
      <c r="P1358" s="657"/>
      <c r="Q1358" s="671"/>
      <c r="R1358" s="723"/>
      <c r="S1358" s="673"/>
      <c r="T1358" s="497">
        <f>H1354*M1358*N1354*O1354*P1354</f>
        <v>0</v>
      </c>
      <c r="U1358" s="458">
        <f>T1358</f>
        <v>0</v>
      </c>
      <c r="V1358" s="42"/>
      <c r="W1358" s="41"/>
      <c r="X1358" s="39"/>
      <c r="Y1358" s="41"/>
      <c r="Z1358" s="29"/>
      <c r="AA1358" s="43">
        <f>T1358</f>
        <v>0</v>
      </c>
      <c r="AB1358" s="29"/>
      <c r="AC1358" s="29"/>
      <c r="AD1358" s="29"/>
    </row>
    <row r="1359" spans="1:30" s="491" customFormat="1" ht="41.25" hidden="1" customHeight="1">
      <c r="A1359" s="25"/>
      <c r="B1359" s="643"/>
      <c r="C1359" s="515"/>
      <c r="D1359" s="514"/>
      <c r="E1359" s="670" t="s">
        <v>348</v>
      </c>
      <c r="F1359" s="670"/>
      <c r="G1359" s="670"/>
      <c r="H1359" s="670"/>
      <c r="I1359" s="670"/>
      <c r="J1359" s="670"/>
      <c r="K1359" s="670"/>
      <c r="L1359" s="498">
        <f>ROUND((I1354+J1354+K1354+L1357+L1358+L1362)*3%,2)</f>
        <v>61.84</v>
      </c>
      <c r="M1359" s="459">
        <f>L1359</f>
        <v>61.84</v>
      </c>
      <c r="N1359" s="655"/>
      <c r="O1359" s="656"/>
      <c r="P1359" s="657"/>
      <c r="Q1359" s="671"/>
      <c r="R1359" s="723"/>
      <c r="S1359" s="673"/>
      <c r="T1359" s="497">
        <f>H1354*M1359*N1354*O1354*P1354</f>
        <v>0</v>
      </c>
      <c r="U1359" s="458">
        <f>T1359</f>
        <v>0</v>
      </c>
      <c r="V1359" s="42"/>
      <c r="W1359" s="41"/>
      <c r="X1359" s="41"/>
      <c r="Y1359" s="39"/>
      <c r="Z1359" s="29"/>
      <c r="AA1359" s="29"/>
      <c r="AB1359" s="43">
        <f>T1359</f>
        <v>0</v>
      </c>
      <c r="AC1359" s="29"/>
      <c r="AD1359" s="29"/>
    </row>
    <row r="1360" spans="1:30" s="491" customFormat="1" ht="54.75" hidden="1" customHeight="1">
      <c r="A1360" s="25"/>
      <c r="B1360" s="643"/>
      <c r="C1360" s="515"/>
      <c r="D1360" s="514"/>
      <c r="E1360" s="670" t="s">
        <v>349</v>
      </c>
      <c r="F1360" s="670"/>
      <c r="G1360" s="670"/>
      <c r="H1360" s="670"/>
      <c r="I1360" s="670"/>
      <c r="J1360" s="670"/>
      <c r="K1360" s="670"/>
      <c r="L1360" s="498">
        <f>405.70822-K1354-L1357-L1358-L1362</f>
        <v>0</v>
      </c>
      <c r="M1360" s="459">
        <f>L1360</f>
        <v>0</v>
      </c>
      <c r="N1360" s="655"/>
      <c r="O1360" s="656"/>
      <c r="P1360" s="657"/>
      <c r="Q1360" s="671"/>
      <c r="R1360" s="723"/>
      <c r="S1360" s="673"/>
      <c r="T1360" s="460">
        <f>H1354*M1360*N1354*O1354*P1354</f>
        <v>0</v>
      </c>
      <c r="U1360" s="458">
        <f>T1360</f>
        <v>0</v>
      </c>
      <c r="V1360" s="42"/>
      <c r="W1360" s="41"/>
      <c r="X1360" s="41"/>
      <c r="Y1360" s="41"/>
      <c r="Z1360" s="44"/>
      <c r="AA1360" s="29"/>
      <c r="AB1360" s="29"/>
      <c r="AC1360" s="44">
        <f>T1360</f>
        <v>0</v>
      </c>
      <c r="AD1360" s="29"/>
    </row>
    <row r="1361" spans="1:30" s="491" customFormat="1" ht="24" hidden="1" customHeight="1">
      <c r="A1361" s="25"/>
      <c r="B1361" s="643"/>
      <c r="C1361" s="515"/>
      <c r="D1361" s="514"/>
      <c r="E1361" s="724"/>
      <c r="F1361" s="725"/>
      <c r="G1361" s="725"/>
      <c r="H1361" s="725"/>
      <c r="I1361" s="725"/>
      <c r="J1361" s="725"/>
      <c r="K1361" s="725"/>
      <c r="L1361" s="725"/>
      <c r="M1361" s="726"/>
      <c r="N1361" s="655"/>
      <c r="O1361" s="656"/>
      <c r="P1361" s="657"/>
      <c r="Q1361" s="677"/>
      <c r="R1361" s="727"/>
      <c r="S1361" s="727"/>
      <c r="T1361" s="727"/>
      <c r="U1361" s="679"/>
      <c r="V1361" s="45"/>
      <c r="W1361" s="41"/>
      <c r="X1361" s="41"/>
      <c r="Y1361" s="41"/>
      <c r="Z1361" s="29"/>
      <c r="AA1361" s="44"/>
      <c r="AB1361" s="29"/>
      <c r="AC1361" s="29"/>
      <c r="AD1361" s="29"/>
    </row>
    <row r="1362" spans="1:30" s="491" customFormat="1" ht="45" hidden="1" customHeight="1" thickBot="1">
      <c r="A1362" s="25"/>
      <c r="B1362" s="644"/>
      <c r="C1362" s="516"/>
      <c r="D1362" s="517"/>
      <c r="E1362" s="680" t="s">
        <v>369</v>
      </c>
      <c r="F1362" s="680" t="s">
        <v>306</v>
      </c>
      <c r="G1362" s="680"/>
      <c r="H1362" s="680"/>
      <c r="I1362" s="680"/>
      <c r="J1362" s="680"/>
      <c r="K1362" s="680"/>
      <c r="L1362" s="499">
        <f>ROUND((I1354+J1354+K1354+L1357)*3.93%,2)</f>
        <v>76.61</v>
      </c>
      <c r="M1362" s="46">
        <f>L1362</f>
        <v>76.61</v>
      </c>
      <c r="N1362" s="658"/>
      <c r="O1362" s="659"/>
      <c r="P1362" s="660"/>
      <c r="Q1362" s="681"/>
      <c r="R1362" s="682"/>
      <c r="S1362" s="683"/>
      <c r="T1362" s="385">
        <f>H1354*M1362*N1354*O1354*P1354</f>
        <v>0</v>
      </c>
      <c r="U1362" s="47">
        <f>T1362</f>
        <v>0</v>
      </c>
      <c r="V1362" s="48"/>
      <c r="W1362" s="41"/>
      <c r="X1362" s="41"/>
      <c r="Y1362" s="41"/>
      <c r="Z1362" s="29"/>
      <c r="AA1362" s="29"/>
      <c r="AB1362" s="44"/>
      <c r="AC1362" s="29"/>
      <c r="AD1362" s="44">
        <f>T1362</f>
        <v>0</v>
      </c>
    </row>
    <row r="1363" spans="1:30" s="491" customFormat="1" ht="150" hidden="1" customHeight="1">
      <c r="A1363" s="25"/>
      <c r="B1363" s="642">
        <v>3</v>
      </c>
      <c r="C1363" s="511">
        <v>10</v>
      </c>
      <c r="D1363" s="512"/>
      <c r="E1363" s="493" t="s">
        <v>706</v>
      </c>
      <c r="F1363" s="714" t="s">
        <v>707</v>
      </c>
      <c r="G1363" s="645" t="s">
        <v>357</v>
      </c>
      <c r="H1363" s="712">
        <v>0</v>
      </c>
      <c r="I1363" s="494">
        <v>0</v>
      </c>
      <c r="J1363" s="494">
        <v>1978.67</v>
      </c>
      <c r="K1363" s="494">
        <v>1.25</v>
      </c>
      <c r="L1363" s="494">
        <f>SUM(L1365:L1371)</f>
        <v>496.87423999999999</v>
      </c>
      <c r="M1363" s="33">
        <f>SUM(I1363:L1363)</f>
        <v>2476.7942400000002</v>
      </c>
      <c r="N1363" s="501">
        <v>1</v>
      </c>
      <c r="O1363" s="502">
        <v>1</v>
      </c>
      <c r="P1363" s="37">
        <v>1</v>
      </c>
      <c r="Q1363" s="34">
        <f>H1363*I1363*N1363*O1363*P1363</f>
        <v>0</v>
      </c>
      <c r="R1363" s="35">
        <f>H1363*J1363*N1363*O1363*P1363</f>
        <v>0</v>
      </c>
      <c r="S1363" s="36">
        <f>H1363*K1363*N1363*O1363*P1363</f>
        <v>0</v>
      </c>
      <c r="T1363" s="36">
        <f>H1363*L1363*N1363*O1363*P1363</f>
        <v>0</v>
      </c>
      <c r="U1363" s="37">
        <f>SUM(Q1363:T1363)</f>
        <v>0</v>
      </c>
      <c r="V1363" s="38">
        <f>(Q1363+R1363+S1363+T1367+T1368+T1369+T1371)*'Прогнозная стоимость РСС ИП '!$M$11+T1366*'Прогнозная стоимость РСС ИП '!$M$10</f>
        <v>0</v>
      </c>
      <c r="W1363" s="39">
        <f>T1363</f>
        <v>0</v>
      </c>
      <c r="X1363" s="39">
        <f>U1363</f>
        <v>0</v>
      </c>
      <c r="Y1363" s="39">
        <f>V1363</f>
        <v>0</v>
      </c>
      <c r="Z1363" s="29"/>
      <c r="AA1363" s="29"/>
      <c r="AB1363" s="29"/>
      <c r="AC1363" s="29"/>
      <c r="AD1363" s="29"/>
    </row>
    <row r="1364" spans="1:30" s="491" customFormat="1" ht="22.5" hidden="1" customHeight="1">
      <c r="A1364" s="25"/>
      <c r="B1364" s="643"/>
      <c r="C1364" s="513"/>
      <c r="D1364" s="514"/>
      <c r="E1364" s="495"/>
      <c r="F1364" s="715"/>
      <c r="G1364" s="646"/>
      <c r="H1364" s="713"/>
      <c r="I1364" s="716"/>
      <c r="J1364" s="717"/>
      <c r="K1364" s="717"/>
      <c r="L1364" s="717"/>
      <c r="M1364" s="718"/>
      <c r="N1364" s="652"/>
      <c r="O1364" s="653"/>
      <c r="P1364" s="654"/>
      <c r="Q1364" s="661"/>
      <c r="R1364" s="719"/>
      <c r="S1364" s="719"/>
      <c r="T1364" s="719"/>
      <c r="U1364" s="663"/>
      <c r="V1364" s="40"/>
      <c r="W1364" s="41"/>
      <c r="X1364" s="41"/>
      <c r="Y1364" s="41"/>
      <c r="Z1364" s="29"/>
      <c r="AA1364" s="29"/>
      <c r="AB1364" s="29"/>
      <c r="AC1364" s="29"/>
      <c r="AD1364" s="29"/>
    </row>
    <row r="1365" spans="1:30" s="491" customFormat="1" ht="41.25" hidden="1" customHeight="1">
      <c r="A1365" s="25"/>
      <c r="B1365" s="643"/>
      <c r="C1365" s="513"/>
      <c r="D1365" s="514"/>
      <c r="E1365" s="664" t="s">
        <v>29</v>
      </c>
      <c r="F1365" s="720"/>
      <c r="G1365" s="720"/>
      <c r="H1365" s="720"/>
      <c r="I1365" s="720"/>
      <c r="J1365" s="720"/>
      <c r="K1365" s="720"/>
      <c r="L1365" s="720"/>
      <c r="M1365" s="666"/>
      <c r="N1365" s="655"/>
      <c r="O1365" s="656"/>
      <c r="P1365" s="657"/>
      <c r="Q1365" s="667"/>
      <c r="R1365" s="721"/>
      <c r="S1365" s="721"/>
      <c r="T1365" s="721"/>
      <c r="U1365" s="722"/>
      <c r="V1365" s="42"/>
      <c r="W1365" s="41"/>
      <c r="X1365" s="41"/>
      <c r="Y1365" s="41"/>
      <c r="Z1365" s="29"/>
      <c r="AA1365" s="29"/>
      <c r="AB1365" s="29"/>
      <c r="AC1365" s="29"/>
      <c r="AD1365" s="29"/>
    </row>
    <row r="1366" spans="1:30" s="491" customFormat="1" ht="41.25" hidden="1" customHeight="1">
      <c r="A1366" s="25"/>
      <c r="B1366" s="643"/>
      <c r="C1366" s="513">
        <v>1010</v>
      </c>
      <c r="D1366" s="514"/>
      <c r="E1366" s="670" t="s">
        <v>30</v>
      </c>
      <c r="F1366" s="670"/>
      <c r="G1366" s="670"/>
      <c r="H1366" s="670"/>
      <c r="I1366" s="670"/>
      <c r="J1366" s="670"/>
      <c r="K1366" s="670"/>
      <c r="L1366" s="498">
        <v>293.03424000000001</v>
      </c>
      <c r="M1366" s="456">
        <f>L1366</f>
        <v>293.03424000000001</v>
      </c>
      <c r="N1366" s="655"/>
      <c r="O1366" s="656"/>
      <c r="P1366" s="657"/>
      <c r="Q1366" s="671"/>
      <c r="R1366" s="723"/>
      <c r="S1366" s="673"/>
      <c r="T1366" s="497">
        <f>H1363*M1366*N1363*O1363*P1363</f>
        <v>0</v>
      </c>
      <c r="U1366" s="458">
        <f>T1366</f>
        <v>0</v>
      </c>
      <c r="V1366" s="42"/>
      <c r="W1366" s="39"/>
      <c r="X1366" s="41"/>
      <c r="Y1366" s="41"/>
      <c r="Z1366" s="43">
        <f>T1366</f>
        <v>0</v>
      </c>
      <c r="AA1366" s="29"/>
      <c r="AB1366" s="29"/>
      <c r="AC1366" s="29"/>
      <c r="AD1366" s="29"/>
    </row>
    <row r="1367" spans="1:30" s="491" customFormat="1" ht="41.25" hidden="1" customHeight="1">
      <c r="A1367" s="25"/>
      <c r="B1367" s="643"/>
      <c r="C1367" s="513"/>
      <c r="D1367" s="514"/>
      <c r="E1367" s="670" t="s">
        <v>31</v>
      </c>
      <c r="F1367" s="670"/>
      <c r="G1367" s="670"/>
      <c r="H1367" s="670"/>
      <c r="I1367" s="670"/>
      <c r="J1367" s="670"/>
      <c r="K1367" s="670"/>
      <c r="L1367" s="498">
        <f>ROUND((I1363+J1363+K1363)*2.14%,2)</f>
        <v>42.37</v>
      </c>
      <c r="M1367" s="456">
        <f>L1367</f>
        <v>42.37</v>
      </c>
      <c r="N1367" s="655"/>
      <c r="O1367" s="656"/>
      <c r="P1367" s="657"/>
      <c r="Q1367" s="671"/>
      <c r="R1367" s="723"/>
      <c r="S1367" s="673"/>
      <c r="T1367" s="497">
        <f>H1363*M1367*N1363*O1363*P1363</f>
        <v>0</v>
      </c>
      <c r="U1367" s="458">
        <f>T1367</f>
        <v>0</v>
      </c>
      <c r="V1367" s="42"/>
      <c r="W1367" s="41"/>
      <c r="X1367" s="39"/>
      <c r="Y1367" s="41"/>
      <c r="Z1367" s="29"/>
      <c r="AA1367" s="43">
        <f>T1367</f>
        <v>0</v>
      </c>
      <c r="AB1367" s="29"/>
      <c r="AC1367" s="29"/>
      <c r="AD1367" s="29"/>
    </row>
    <row r="1368" spans="1:30" s="491" customFormat="1" ht="41.25" hidden="1" customHeight="1">
      <c r="A1368" s="25"/>
      <c r="B1368" s="643"/>
      <c r="C1368" s="515"/>
      <c r="D1368" s="514"/>
      <c r="E1368" s="670" t="s">
        <v>348</v>
      </c>
      <c r="F1368" s="670"/>
      <c r="G1368" s="670"/>
      <c r="H1368" s="670"/>
      <c r="I1368" s="670"/>
      <c r="J1368" s="670"/>
      <c r="K1368" s="670"/>
      <c r="L1368" s="498">
        <f>ROUND((I1363+J1363+K1363+L1366+L1367+L1371)*3%,2)</f>
        <v>72.14</v>
      </c>
      <c r="M1368" s="459">
        <f>L1368</f>
        <v>72.14</v>
      </c>
      <c r="N1368" s="655"/>
      <c r="O1368" s="656"/>
      <c r="P1368" s="657"/>
      <c r="Q1368" s="671"/>
      <c r="R1368" s="723"/>
      <c r="S1368" s="673"/>
      <c r="T1368" s="497">
        <f>H1363*M1368*N1363*O1363*P1363</f>
        <v>0</v>
      </c>
      <c r="U1368" s="458">
        <f>T1368</f>
        <v>0</v>
      </c>
      <c r="V1368" s="42"/>
      <c r="W1368" s="41"/>
      <c r="X1368" s="41"/>
      <c r="Y1368" s="39"/>
      <c r="Z1368" s="29"/>
      <c r="AA1368" s="29"/>
      <c r="AB1368" s="43">
        <f>T1368</f>
        <v>0</v>
      </c>
      <c r="AC1368" s="29"/>
      <c r="AD1368" s="29"/>
    </row>
    <row r="1369" spans="1:30" s="491" customFormat="1" ht="54.75" hidden="1" customHeight="1">
      <c r="A1369" s="25"/>
      <c r="B1369" s="643"/>
      <c r="C1369" s="515"/>
      <c r="D1369" s="514"/>
      <c r="E1369" s="670" t="s">
        <v>349</v>
      </c>
      <c r="F1369" s="670"/>
      <c r="G1369" s="670"/>
      <c r="H1369" s="670"/>
      <c r="I1369" s="670"/>
      <c r="J1369" s="670"/>
      <c r="K1369" s="670"/>
      <c r="L1369" s="498">
        <f>425.98424-K1363-L1366-L1367-L1371</f>
        <v>0</v>
      </c>
      <c r="M1369" s="459">
        <f>L1369</f>
        <v>0</v>
      </c>
      <c r="N1369" s="655"/>
      <c r="O1369" s="656"/>
      <c r="P1369" s="657"/>
      <c r="Q1369" s="671"/>
      <c r="R1369" s="723"/>
      <c r="S1369" s="673"/>
      <c r="T1369" s="460">
        <f>H1363*M1369*N1363*O1363*P1363</f>
        <v>0</v>
      </c>
      <c r="U1369" s="458">
        <f>T1369</f>
        <v>0</v>
      </c>
      <c r="V1369" s="42"/>
      <c r="W1369" s="41"/>
      <c r="X1369" s="41"/>
      <c r="Y1369" s="41"/>
      <c r="Z1369" s="44"/>
      <c r="AA1369" s="29"/>
      <c r="AB1369" s="29"/>
      <c r="AC1369" s="44">
        <f>T1369</f>
        <v>0</v>
      </c>
      <c r="AD1369" s="29"/>
    </row>
    <row r="1370" spans="1:30" s="491" customFormat="1" ht="24" hidden="1" customHeight="1">
      <c r="A1370" s="25"/>
      <c r="B1370" s="643"/>
      <c r="C1370" s="515"/>
      <c r="D1370" s="514"/>
      <c r="E1370" s="724"/>
      <c r="F1370" s="725"/>
      <c r="G1370" s="725"/>
      <c r="H1370" s="725"/>
      <c r="I1370" s="725"/>
      <c r="J1370" s="725"/>
      <c r="K1370" s="725"/>
      <c r="L1370" s="725"/>
      <c r="M1370" s="726"/>
      <c r="N1370" s="655"/>
      <c r="O1370" s="656"/>
      <c r="P1370" s="657"/>
      <c r="Q1370" s="677"/>
      <c r="R1370" s="727"/>
      <c r="S1370" s="727"/>
      <c r="T1370" s="727"/>
      <c r="U1370" s="679"/>
      <c r="V1370" s="45"/>
      <c r="W1370" s="41"/>
      <c r="X1370" s="41"/>
      <c r="Y1370" s="41"/>
      <c r="Z1370" s="29"/>
      <c r="AA1370" s="44"/>
      <c r="AB1370" s="29"/>
      <c r="AC1370" s="29"/>
      <c r="AD1370" s="29"/>
    </row>
    <row r="1371" spans="1:30" s="491" customFormat="1" ht="45" hidden="1" customHeight="1" thickBot="1">
      <c r="A1371" s="25"/>
      <c r="B1371" s="644"/>
      <c r="C1371" s="516"/>
      <c r="D1371" s="517"/>
      <c r="E1371" s="680" t="s">
        <v>369</v>
      </c>
      <c r="F1371" s="680" t="s">
        <v>306</v>
      </c>
      <c r="G1371" s="680"/>
      <c r="H1371" s="680"/>
      <c r="I1371" s="680"/>
      <c r="J1371" s="680"/>
      <c r="K1371" s="680"/>
      <c r="L1371" s="499">
        <f>ROUND((I1363+J1363+K1363+L1366)*3.93%,2)</f>
        <v>89.33</v>
      </c>
      <c r="M1371" s="46">
        <f>L1371</f>
        <v>89.33</v>
      </c>
      <c r="N1371" s="658"/>
      <c r="O1371" s="659"/>
      <c r="P1371" s="660"/>
      <c r="Q1371" s="681"/>
      <c r="R1371" s="682"/>
      <c r="S1371" s="683"/>
      <c r="T1371" s="385">
        <f>H1363*M1371*N1363*O1363*P1363</f>
        <v>0</v>
      </c>
      <c r="U1371" s="47">
        <f>T1371</f>
        <v>0</v>
      </c>
      <c r="V1371" s="48"/>
      <c r="W1371" s="41"/>
      <c r="X1371" s="41"/>
      <c r="Y1371" s="41"/>
      <c r="Z1371" s="29"/>
      <c r="AA1371" s="29"/>
      <c r="AB1371" s="44"/>
      <c r="AC1371" s="29"/>
      <c r="AD1371" s="44">
        <f>T1371</f>
        <v>0</v>
      </c>
    </row>
    <row r="1372" spans="1:30" s="491" customFormat="1" ht="150" hidden="1" customHeight="1">
      <c r="A1372" s="25"/>
      <c r="B1372" s="642">
        <v>3</v>
      </c>
      <c r="C1372" s="511">
        <v>10</v>
      </c>
      <c r="D1372" s="512"/>
      <c r="E1372" s="493" t="s">
        <v>708</v>
      </c>
      <c r="F1372" s="714" t="s">
        <v>709</v>
      </c>
      <c r="G1372" s="645" t="s">
        <v>357</v>
      </c>
      <c r="H1372" s="712">
        <v>0</v>
      </c>
      <c r="I1372" s="494">
        <v>0</v>
      </c>
      <c r="J1372" s="494">
        <v>2419.62</v>
      </c>
      <c r="K1372" s="494">
        <v>1.25</v>
      </c>
      <c r="L1372" s="494">
        <f>SUM(L1374:L1380)</f>
        <v>538.61614000000009</v>
      </c>
      <c r="M1372" s="33">
        <f>SUM(I1372:L1372)</f>
        <v>2959.48614</v>
      </c>
      <c r="N1372" s="501">
        <v>1</v>
      </c>
      <c r="O1372" s="502">
        <v>1</v>
      </c>
      <c r="P1372" s="37">
        <v>1</v>
      </c>
      <c r="Q1372" s="34">
        <f>H1372*I1372*N1372*O1372*P1372</f>
        <v>0</v>
      </c>
      <c r="R1372" s="35">
        <f>H1372*J1372*N1372*O1372*P1372</f>
        <v>0</v>
      </c>
      <c r="S1372" s="36">
        <f>H1372*K1372*N1372*O1372*P1372</f>
        <v>0</v>
      </c>
      <c r="T1372" s="36">
        <f>H1372*L1372*N1372*O1372*P1372</f>
        <v>0</v>
      </c>
      <c r="U1372" s="37">
        <f>SUM(Q1372:T1372)</f>
        <v>0</v>
      </c>
      <c r="V1372" s="38">
        <f>(Q1372+R1372+S1372+T1376+T1377+T1378+T1380)*'Прогнозная стоимость РСС ИП '!$M$11+T1375*'Прогнозная стоимость РСС ИП '!$M$10</f>
        <v>0</v>
      </c>
      <c r="W1372" s="39">
        <f>T1372</f>
        <v>0</v>
      </c>
      <c r="X1372" s="39">
        <f>U1372</f>
        <v>0</v>
      </c>
      <c r="Y1372" s="39">
        <f>V1372</f>
        <v>0</v>
      </c>
      <c r="Z1372" s="29"/>
      <c r="AA1372" s="29"/>
      <c r="AB1372" s="29"/>
      <c r="AC1372" s="29"/>
      <c r="AD1372" s="29"/>
    </row>
    <row r="1373" spans="1:30" s="491" customFormat="1" ht="22.5" hidden="1" customHeight="1">
      <c r="A1373" s="25"/>
      <c r="B1373" s="643"/>
      <c r="C1373" s="513"/>
      <c r="D1373" s="514"/>
      <c r="E1373" s="495"/>
      <c r="F1373" s="715"/>
      <c r="G1373" s="646"/>
      <c r="H1373" s="713"/>
      <c r="I1373" s="716"/>
      <c r="J1373" s="717"/>
      <c r="K1373" s="717"/>
      <c r="L1373" s="717"/>
      <c r="M1373" s="718"/>
      <c r="N1373" s="652"/>
      <c r="O1373" s="653"/>
      <c r="P1373" s="654"/>
      <c r="Q1373" s="661"/>
      <c r="R1373" s="719"/>
      <c r="S1373" s="719"/>
      <c r="T1373" s="719"/>
      <c r="U1373" s="663"/>
      <c r="V1373" s="40"/>
      <c r="W1373" s="41"/>
      <c r="X1373" s="41"/>
      <c r="Y1373" s="41"/>
      <c r="Z1373" s="29"/>
      <c r="AA1373" s="29"/>
      <c r="AB1373" s="29"/>
      <c r="AC1373" s="29"/>
      <c r="AD1373" s="29"/>
    </row>
    <row r="1374" spans="1:30" s="491" customFormat="1" ht="41.25" hidden="1" customHeight="1">
      <c r="A1374" s="25"/>
      <c r="B1374" s="643"/>
      <c r="C1374" s="513"/>
      <c r="D1374" s="514"/>
      <c r="E1374" s="664" t="s">
        <v>29</v>
      </c>
      <c r="F1374" s="720"/>
      <c r="G1374" s="720"/>
      <c r="H1374" s="720"/>
      <c r="I1374" s="720"/>
      <c r="J1374" s="720"/>
      <c r="K1374" s="720"/>
      <c r="L1374" s="720"/>
      <c r="M1374" s="666"/>
      <c r="N1374" s="655"/>
      <c r="O1374" s="656"/>
      <c r="P1374" s="657"/>
      <c r="Q1374" s="667"/>
      <c r="R1374" s="721"/>
      <c r="S1374" s="721"/>
      <c r="T1374" s="721"/>
      <c r="U1374" s="722"/>
      <c r="V1374" s="42"/>
      <c r="W1374" s="41"/>
      <c r="X1374" s="41"/>
      <c r="Y1374" s="41"/>
      <c r="Z1374" s="29"/>
      <c r="AA1374" s="29"/>
      <c r="AB1374" s="29"/>
      <c r="AC1374" s="29"/>
      <c r="AD1374" s="29"/>
    </row>
    <row r="1375" spans="1:30" s="491" customFormat="1" ht="41.25" hidden="1" customHeight="1">
      <c r="A1375" s="25"/>
      <c r="B1375" s="643"/>
      <c r="C1375" s="513">
        <v>1010</v>
      </c>
      <c r="D1375" s="514"/>
      <c r="E1375" s="670" t="s">
        <v>30</v>
      </c>
      <c r="F1375" s="670"/>
      <c r="G1375" s="670"/>
      <c r="H1375" s="670"/>
      <c r="I1375" s="670"/>
      <c r="J1375" s="670"/>
      <c r="K1375" s="670"/>
      <c r="L1375" s="498">
        <v>293.91614000000004</v>
      </c>
      <c r="M1375" s="456">
        <f>L1375</f>
        <v>293.91614000000004</v>
      </c>
      <c r="N1375" s="655"/>
      <c r="O1375" s="656"/>
      <c r="P1375" s="657"/>
      <c r="Q1375" s="671"/>
      <c r="R1375" s="723"/>
      <c r="S1375" s="673"/>
      <c r="T1375" s="497">
        <f>H1372*M1375*N1372*O1372*P1372</f>
        <v>0</v>
      </c>
      <c r="U1375" s="458">
        <f>T1375</f>
        <v>0</v>
      </c>
      <c r="V1375" s="42"/>
      <c r="W1375" s="39"/>
      <c r="X1375" s="41"/>
      <c r="Y1375" s="41"/>
      <c r="Z1375" s="43">
        <f>T1375</f>
        <v>0</v>
      </c>
      <c r="AA1375" s="29"/>
      <c r="AB1375" s="29"/>
      <c r="AC1375" s="29"/>
      <c r="AD1375" s="29"/>
    </row>
    <row r="1376" spans="1:30" s="491" customFormat="1" ht="41.25" hidden="1" customHeight="1">
      <c r="A1376" s="25"/>
      <c r="B1376" s="643"/>
      <c r="C1376" s="513"/>
      <c r="D1376" s="514"/>
      <c r="E1376" s="670" t="s">
        <v>31</v>
      </c>
      <c r="F1376" s="670"/>
      <c r="G1376" s="670"/>
      <c r="H1376" s="670"/>
      <c r="I1376" s="670"/>
      <c r="J1376" s="670"/>
      <c r="K1376" s="670"/>
      <c r="L1376" s="498">
        <f>ROUND((I1372+J1372+K1372)*2.14%,2)</f>
        <v>51.81</v>
      </c>
      <c r="M1376" s="456">
        <f>L1376</f>
        <v>51.81</v>
      </c>
      <c r="N1376" s="655"/>
      <c r="O1376" s="656"/>
      <c r="P1376" s="657"/>
      <c r="Q1376" s="671"/>
      <c r="R1376" s="723"/>
      <c r="S1376" s="673"/>
      <c r="T1376" s="497">
        <f>H1372*M1376*N1372*O1372*P1372</f>
        <v>0</v>
      </c>
      <c r="U1376" s="458">
        <f>T1376</f>
        <v>0</v>
      </c>
      <c r="V1376" s="42"/>
      <c r="W1376" s="41"/>
      <c r="X1376" s="39"/>
      <c r="Y1376" s="41"/>
      <c r="Z1376" s="29"/>
      <c r="AA1376" s="43">
        <f>T1376</f>
        <v>0</v>
      </c>
      <c r="AB1376" s="29"/>
      <c r="AC1376" s="29"/>
      <c r="AD1376" s="29"/>
    </row>
    <row r="1377" spans="1:30" s="491" customFormat="1" ht="41.25" hidden="1" customHeight="1">
      <c r="A1377" s="25"/>
      <c r="B1377" s="643"/>
      <c r="C1377" s="515"/>
      <c r="D1377" s="514"/>
      <c r="E1377" s="670" t="s">
        <v>348</v>
      </c>
      <c r="F1377" s="670"/>
      <c r="G1377" s="670"/>
      <c r="H1377" s="670"/>
      <c r="I1377" s="670"/>
      <c r="J1377" s="670"/>
      <c r="K1377" s="670"/>
      <c r="L1377" s="498">
        <f>ROUND((I1372+J1372+K1372+L1375+L1376+L1380)*3%,2)</f>
        <v>86.2</v>
      </c>
      <c r="M1377" s="459">
        <f>L1377</f>
        <v>86.2</v>
      </c>
      <c r="N1377" s="655"/>
      <c r="O1377" s="656"/>
      <c r="P1377" s="657"/>
      <c r="Q1377" s="671"/>
      <c r="R1377" s="723"/>
      <c r="S1377" s="673"/>
      <c r="T1377" s="497">
        <f>H1372*M1377*N1372*O1372*P1372</f>
        <v>0</v>
      </c>
      <c r="U1377" s="458">
        <f>T1377</f>
        <v>0</v>
      </c>
      <c r="V1377" s="42"/>
      <c r="W1377" s="41"/>
      <c r="X1377" s="41"/>
      <c r="Y1377" s="39"/>
      <c r="Z1377" s="29"/>
      <c r="AA1377" s="29"/>
      <c r="AB1377" s="43">
        <f>T1377</f>
        <v>0</v>
      </c>
      <c r="AC1377" s="29"/>
      <c r="AD1377" s="29"/>
    </row>
    <row r="1378" spans="1:30" s="491" customFormat="1" ht="54.75" hidden="1" customHeight="1">
      <c r="A1378" s="25"/>
      <c r="B1378" s="643"/>
      <c r="C1378" s="515"/>
      <c r="D1378" s="514"/>
      <c r="E1378" s="670" t="s">
        <v>349</v>
      </c>
      <c r="F1378" s="670"/>
      <c r="G1378" s="670"/>
      <c r="H1378" s="670"/>
      <c r="I1378" s="670"/>
      <c r="J1378" s="670"/>
      <c r="K1378" s="670"/>
      <c r="L1378" s="498">
        <f>453.66614-K1372-L1375-L1376-L1380</f>
        <v>0</v>
      </c>
      <c r="M1378" s="459">
        <f>L1378</f>
        <v>0</v>
      </c>
      <c r="N1378" s="655"/>
      <c r="O1378" s="656"/>
      <c r="P1378" s="657"/>
      <c r="Q1378" s="671"/>
      <c r="R1378" s="723"/>
      <c r="S1378" s="673"/>
      <c r="T1378" s="460">
        <f>H1372*M1378*N1372*O1372*P1372</f>
        <v>0</v>
      </c>
      <c r="U1378" s="458">
        <f>T1378</f>
        <v>0</v>
      </c>
      <c r="V1378" s="42"/>
      <c r="W1378" s="41"/>
      <c r="X1378" s="41"/>
      <c r="Y1378" s="41"/>
      <c r="Z1378" s="44"/>
      <c r="AA1378" s="29"/>
      <c r="AB1378" s="29"/>
      <c r="AC1378" s="44">
        <f>T1378</f>
        <v>0</v>
      </c>
      <c r="AD1378" s="29"/>
    </row>
    <row r="1379" spans="1:30" s="491" customFormat="1" ht="24" hidden="1" customHeight="1">
      <c r="A1379" s="25"/>
      <c r="B1379" s="643"/>
      <c r="C1379" s="515"/>
      <c r="D1379" s="514"/>
      <c r="E1379" s="724"/>
      <c r="F1379" s="725"/>
      <c r="G1379" s="725"/>
      <c r="H1379" s="725"/>
      <c r="I1379" s="725"/>
      <c r="J1379" s="725"/>
      <c r="K1379" s="725"/>
      <c r="L1379" s="725"/>
      <c r="M1379" s="726"/>
      <c r="N1379" s="655"/>
      <c r="O1379" s="656"/>
      <c r="P1379" s="657"/>
      <c r="Q1379" s="677"/>
      <c r="R1379" s="727"/>
      <c r="S1379" s="727"/>
      <c r="T1379" s="727"/>
      <c r="U1379" s="679"/>
      <c r="V1379" s="45"/>
      <c r="W1379" s="41"/>
      <c r="X1379" s="41"/>
      <c r="Y1379" s="41"/>
      <c r="Z1379" s="29"/>
      <c r="AA1379" s="44"/>
      <c r="AB1379" s="29"/>
      <c r="AC1379" s="29"/>
      <c r="AD1379" s="29"/>
    </row>
    <row r="1380" spans="1:30" s="491" customFormat="1" ht="45" hidden="1" customHeight="1" thickBot="1">
      <c r="A1380" s="25"/>
      <c r="B1380" s="644"/>
      <c r="C1380" s="516"/>
      <c r="D1380" s="517"/>
      <c r="E1380" s="680" t="s">
        <v>369</v>
      </c>
      <c r="F1380" s="680" t="s">
        <v>306</v>
      </c>
      <c r="G1380" s="680"/>
      <c r="H1380" s="680"/>
      <c r="I1380" s="680"/>
      <c r="J1380" s="680"/>
      <c r="K1380" s="680"/>
      <c r="L1380" s="499">
        <f>ROUND((I1372+J1372+K1372+L1375)*3.93%,2)</f>
        <v>106.69</v>
      </c>
      <c r="M1380" s="46">
        <f>L1380</f>
        <v>106.69</v>
      </c>
      <c r="N1380" s="658"/>
      <c r="O1380" s="659"/>
      <c r="P1380" s="660"/>
      <c r="Q1380" s="681"/>
      <c r="R1380" s="682"/>
      <c r="S1380" s="683"/>
      <c r="T1380" s="385">
        <f>H1372*M1380*N1372*O1372*P1372</f>
        <v>0</v>
      </c>
      <c r="U1380" s="47">
        <f>T1380</f>
        <v>0</v>
      </c>
      <c r="V1380" s="48"/>
      <c r="W1380" s="41"/>
      <c r="X1380" s="41"/>
      <c r="Y1380" s="41"/>
      <c r="Z1380" s="29"/>
      <c r="AA1380" s="29"/>
      <c r="AB1380" s="44"/>
      <c r="AC1380" s="29"/>
      <c r="AD1380" s="44">
        <f>T1380</f>
        <v>0</v>
      </c>
    </row>
    <row r="1381" spans="1:30" s="491" customFormat="1" ht="150" hidden="1" customHeight="1">
      <c r="A1381" s="25"/>
      <c r="B1381" s="642">
        <v>3</v>
      </c>
      <c r="C1381" s="511">
        <v>10</v>
      </c>
      <c r="D1381" s="512"/>
      <c r="E1381" s="493" t="s">
        <v>710</v>
      </c>
      <c r="F1381" s="714" t="s">
        <v>711</v>
      </c>
      <c r="G1381" s="645" t="s">
        <v>357</v>
      </c>
      <c r="H1381" s="712">
        <v>0</v>
      </c>
      <c r="I1381" s="494">
        <v>0</v>
      </c>
      <c r="J1381" s="494">
        <v>2884.0499999999997</v>
      </c>
      <c r="K1381" s="494">
        <v>1.25</v>
      </c>
      <c r="L1381" s="494">
        <f>SUM(L1383:L1389)</f>
        <v>582.57500000000005</v>
      </c>
      <c r="M1381" s="33">
        <f>SUM(I1381:L1381)</f>
        <v>3467.875</v>
      </c>
      <c r="N1381" s="501">
        <v>1</v>
      </c>
      <c r="O1381" s="502">
        <v>1</v>
      </c>
      <c r="P1381" s="37">
        <v>1</v>
      </c>
      <c r="Q1381" s="34">
        <f>H1381*I1381*N1381*O1381*P1381</f>
        <v>0</v>
      </c>
      <c r="R1381" s="35">
        <f>H1381*J1381*N1381*O1381*P1381</f>
        <v>0</v>
      </c>
      <c r="S1381" s="36">
        <f>H1381*K1381*N1381*O1381*P1381</f>
        <v>0</v>
      </c>
      <c r="T1381" s="36">
        <f>H1381*L1381*N1381*O1381*P1381</f>
        <v>0</v>
      </c>
      <c r="U1381" s="37">
        <f>SUM(Q1381:T1381)</f>
        <v>0</v>
      </c>
      <c r="V1381" s="38">
        <f>(Q1381+R1381+S1381+T1385+T1386+T1387+T1389)*'Прогнозная стоимость РСС ИП '!$M$11+T1384*'Прогнозная стоимость РСС ИП '!$M$10</f>
        <v>0</v>
      </c>
      <c r="W1381" s="39">
        <f>T1381</f>
        <v>0</v>
      </c>
      <c r="X1381" s="39">
        <f>U1381</f>
        <v>0</v>
      </c>
      <c r="Y1381" s="39">
        <f>V1381</f>
        <v>0</v>
      </c>
      <c r="Z1381" s="29"/>
      <c r="AA1381" s="29"/>
      <c r="AB1381" s="29"/>
      <c r="AC1381" s="29"/>
      <c r="AD1381" s="29"/>
    </row>
    <row r="1382" spans="1:30" s="491" customFormat="1" ht="22.5" hidden="1" customHeight="1">
      <c r="A1382" s="25"/>
      <c r="B1382" s="643"/>
      <c r="C1382" s="513"/>
      <c r="D1382" s="514"/>
      <c r="E1382" s="495"/>
      <c r="F1382" s="715"/>
      <c r="G1382" s="646"/>
      <c r="H1382" s="713"/>
      <c r="I1382" s="716"/>
      <c r="J1382" s="717"/>
      <c r="K1382" s="717"/>
      <c r="L1382" s="717"/>
      <c r="M1382" s="718"/>
      <c r="N1382" s="652"/>
      <c r="O1382" s="653"/>
      <c r="P1382" s="654"/>
      <c r="Q1382" s="661"/>
      <c r="R1382" s="719"/>
      <c r="S1382" s="719"/>
      <c r="T1382" s="719"/>
      <c r="U1382" s="663"/>
      <c r="V1382" s="40"/>
      <c r="W1382" s="41"/>
      <c r="X1382" s="41"/>
      <c r="Y1382" s="41"/>
      <c r="Z1382" s="29"/>
      <c r="AA1382" s="29"/>
      <c r="AB1382" s="29"/>
      <c r="AC1382" s="29"/>
      <c r="AD1382" s="29"/>
    </row>
    <row r="1383" spans="1:30" s="491" customFormat="1" ht="41.25" hidden="1" customHeight="1">
      <c r="A1383" s="25"/>
      <c r="B1383" s="643"/>
      <c r="C1383" s="513"/>
      <c r="D1383" s="514"/>
      <c r="E1383" s="664" t="s">
        <v>29</v>
      </c>
      <c r="F1383" s="720"/>
      <c r="G1383" s="720"/>
      <c r="H1383" s="720"/>
      <c r="I1383" s="720"/>
      <c r="J1383" s="720"/>
      <c r="K1383" s="720"/>
      <c r="L1383" s="720"/>
      <c r="M1383" s="666"/>
      <c r="N1383" s="655"/>
      <c r="O1383" s="656"/>
      <c r="P1383" s="657"/>
      <c r="Q1383" s="667"/>
      <c r="R1383" s="721"/>
      <c r="S1383" s="721"/>
      <c r="T1383" s="721"/>
      <c r="U1383" s="722"/>
      <c r="V1383" s="42"/>
      <c r="W1383" s="41"/>
      <c r="X1383" s="41"/>
      <c r="Y1383" s="41"/>
      <c r="Z1383" s="29"/>
      <c r="AA1383" s="29"/>
      <c r="AB1383" s="29"/>
      <c r="AC1383" s="29"/>
      <c r="AD1383" s="29"/>
    </row>
    <row r="1384" spans="1:30" s="491" customFormat="1" ht="41.25" hidden="1" customHeight="1">
      <c r="A1384" s="25"/>
      <c r="B1384" s="643"/>
      <c r="C1384" s="513">
        <v>1010</v>
      </c>
      <c r="D1384" s="514"/>
      <c r="E1384" s="670" t="s">
        <v>30</v>
      </c>
      <c r="F1384" s="670"/>
      <c r="G1384" s="670"/>
      <c r="H1384" s="670"/>
      <c r="I1384" s="670"/>
      <c r="J1384" s="670"/>
      <c r="K1384" s="670"/>
      <c r="L1384" s="498">
        <v>294.84500000000003</v>
      </c>
      <c r="M1384" s="456">
        <f>L1384</f>
        <v>294.84500000000003</v>
      </c>
      <c r="N1384" s="655"/>
      <c r="O1384" s="656"/>
      <c r="P1384" s="657"/>
      <c r="Q1384" s="671"/>
      <c r="R1384" s="723"/>
      <c r="S1384" s="673"/>
      <c r="T1384" s="497">
        <f>H1381*M1384*N1381*O1381*P1381</f>
        <v>0</v>
      </c>
      <c r="U1384" s="458">
        <f>T1384</f>
        <v>0</v>
      </c>
      <c r="V1384" s="42"/>
      <c r="W1384" s="39"/>
      <c r="X1384" s="41"/>
      <c r="Y1384" s="41"/>
      <c r="Z1384" s="43">
        <f>T1384</f>
        <v>0</v>
      </c>
      <c r="AA1384" s="29"/>
      <c r="AB1384" s="29"/>
      <c r="AC1384" s="29"/>
      <c r="AD1384" s="29"/>
    </row>
    <row r="1385" spans="1:30" s="491" customFormat="1" ht="41.25" hidden="1" customHeight="1">
      <c r="A1385" s="25"/>
      <c r="B1385" s="643"/>
      <c r="C1385" s="513"/>
      <c r="D1385" s="514"/>
      <c r="E1385" s="670" t="s">
        <v>31</v>
      </c>
      <c r="F1385" s="670"/>
      <c r="G1385" s="670"/>
      <c r="H1385" s="670"/>
      <c r="I1385" s="670"/>
      <c r="J1385" s="670"/>
      <c r="K1385" s="670"/>
      <c r="L1385" s="498">
        <f>ROUND((I1381+J1381+K1381)*2.14%,2)</f>
        <v>61.75</v>
      </c>
      <c r="M1385" s="456">
        <f>L1385</f>
        <v>61.75</v>
      </c>
      <c r="N1385" s="655"/>
      <c r="O1385" s="656"/>
      <c r="P1385" s="657"/>
      <c r="Q1385" s="671"/>
      <c r="R1385" s="723"/>
      <c r="S1385" s="673"/>
      <c r="T1385" s="497">
        <f>H1381*M1385*N1381*O1381*P1381</f>
        <v>0</v>
      </c>
      <c r="U1385" s="458">
        <f>T1385</f>
        <v>0</v>
      </c>
      <c r="V1385" s="42"/>
      <c r="W1385" s="41"/>
      <c r="X1385" s="39"/>
      <c r="Y1385" s="41"/>
      <c r="Z1385" s="29"/>
      <c r="AA1385" s="43">
        <f>T1385</f>
        <v>0</v>
      </c>
      <c r="AB1385" s="29"/>
      <c r="AC1385" s="29"/>
      <c r="AD1385" s="29"/>
    </row>
    <row r="1386" spans="1:30" s="491" customFormat="1" ht="41.25" hidden="1" customHeight="1">
      <c r="A1386" s="25"/>
      <c r="B1386" s="643"/>
      <c r="C1386" s="515"/>
      <c r="D1386" s="514"/>
      <c r="E1386" s="670" t="s">
        <v>348</v>
      </c>
      <c r="F1386" s="670"/>
      <c r="G1386" s="670"/>
      <c r="H1386" s="670"/>
      <c r="I1386" s="670"/>
      <c r="J1386" s="670"/>
      <c r="K1386" s="670"/>
      <c r="L1386" s="498">
        <f>ROUND((I1381+J1381+K1381+L1384+L1385+L1389)*3%,2)-0.01</f>
        <v>101</v>
      </c>
      <c r="M1386" s="459">
        <f>L1386</f>
        <v>101</v>
      </c>
      <c r="N1386" s="655"/>
      <c r="O1386" s="656"/>
      <c r="P1386" s="657"/>
      <c r="Q1386" s="671"/>
      <c r="R1386" s="723"/>
      <c r="S1386" s="673"/>
      <c r="T1386" s="497">
        <f>H1381*M1386*N1381*O1381*P1381</f>
        <v>0</v>
      </c>
      <c r="U1386" s="458">
        <f>T1386</f>
        <v>0</v>
      </c>
      <c r="V1386" s="42"/>
      <c r="W1386" s="41"/>
      <c r="X1386" s="41"/>
      <c r="Y1386" s="39"/>
      <c r="Z1386" s="29"/>
      <c r="AA1386" s="29"/>
      <c r="AB1386" s="43">
        <f>T1386</f>
        <v>0</v>
      </c>
      <c r="AC1386" s="29"/>
      <c r="AD1386" s="29"/>
    </row>
    <row r="1387" spans="1:30" s="491" customFormat="1" ht="54.75" hidden="1" customHeight="1">
      <c r="A1387" s="25"/>
      <c r="B1387" s="643"/>
      <c r="C1387" s="515"/>
      <c r="D1387" s="514"/>
      <c r="E1387" s="670" t="s">
        <v>349</v>
      </c>
      <c r="F1387" s="670"/>
      <c r="G1387" s="670"/>
      <c r="H1387" s="670"/>
      <c r="I1387" s="670"/>
      <c r="J1387" s="670"/>
      <c r="K1387" s="670"/>
      <c r="L1387" s="498">
        <f>482.825-K1381-L1384-L1385-L1389</f>
        <v>0</v>
      </c>
      <c r="M1387" s="459">
        <f>L1387</f>
        <v>0</v>
      </c>
      <c r="N1387" s="655"/>
      <c r="O1387" s="656"/>
      <c r="P1387" s="657"/>
      <c r="Q1387" s="671"/>
      <c r="R1387" s="723"/>
      <c r="S1387" s="673"/>
      <c r="T1387" s="460">
        <f>H1381*M1387*N1381*O1381*P1381</f>
        <v>0</v>
      </c>
      <c r="U1387" s="458">
        <f>T1387</f>
        <v>0</v>
      </c>
      <c r="V1387" s="42"/>
      <c r="W1387" s="41"/>
      <c r="X1387" s="41"/>
      <c r="Y1387" s="41"/>
      <c r="Z1387" s="44"/>
      <c r="AA1387" s="29"/>
      <c r="AB1387" s="29"/>
      <c r="AC1387" s="44">
        <f>T1387</f>
        <v>0</v>
      </c>
      <c r="AD1387" s="29"/>
    </row>
    <row r="1388" spans="1:30" s="491" customFormat="1" ht="24" hidden="1" customHeight="1">
      <c r="A1388" s="25"/>
      <c r="B1388" s="643"/>
      <c r="C1388" s="515"/>
      <c r="D1388" s="514"/>
      <c r="E1388" s="724"/>
      <c r="F1388" s="725"/>
      <c r="G1388" s="725"/>
      <c r="H1388" s="725"/>
      <c r="I1388" s="725"/>
      <c r="J1388" s="725"/>
      <c r="K1388" s="725"/>
      <c r="L1388" s="725"/>
      <c r="M1388" s="726"/>
      <c r="N1388" s="655"/>
      <c r="O1388" s="656"/>
      <c r="P1388" s="657"/>
      <c r="Q1388" s="677"/>
      <c r="R1388" s="727"/>
      <c r="S1388" s="727"/>
      <c r="T1388" s="727"/>
      <c r="U1388" s="679"/>
      <c r="V1388" s="45"/>
      <c r="W1388" s="41"/>
      <c r="X1388" s="41"/>
      <c r="Y1388" s="41"/>
      <c r="Z1388" s="29"/>
      <c r="AA1388" s="44"/>
      <c r="AB1388" s="29"/>
      <c r="AC1388" s="29"/>
      <c r="AD1388" s="29"/>
    </row>
    <row r="1389" spans="1:30" s="491" customFormat="1" ht="45" hidden="1" customHeight="1" thickBot="1">
      <c r="A1389" s="25"/>
      <c r="B1389" s="644"/>
      <c r="C1389" s="516"/>
      <c r="D1389" s="517"/>
      <c r="E1389" s="680" t="s">
        <v>369</v>
      </c>
      <c r="F1389" s="680" t="s">
        <v>306</v>
      </c>
      <c r="G1389" s="680"/>
      <c r="H1389" s="680"/>
      <c r="I1389" s="680"/>
      <c r="J1389" s="680"/>
      <c r="K1389" s="680"/>
      <c r="L1389" s="499">
        <f>ROUND((I1381+J1381+K1381+L1384)*3.93%,2)</f>
        <v>124.98</v>
      </c>
      <c r="M1389" s="46">
        <f>L1389</f>
        <v>124.98</v>
      </c>
      <c r="N1389" s="658"/>
      <c r="O1389" s="659"/>
      <c r="P1389" s="660"/>
      <c r="Q1389" s="681"/>
      <c r="R1389" s="682"/>
      <c r="S1389" s="683"/>
      <c r="T1389" s="385">
        <f>H1381*M1389*N1381*O1381*P1381</f>
        <v>0</v>
      </c>
      <c r="U1389" s="47">
        <f>T1389</f>
        <v>0</v>
      </c>
      <c r="V1389" s="48"/>
      <c r="W1389" s="41"/>
      <c r="X1389" s="41"/>
      <c r="Y1389" s="41"/>
      <c r="Z1389" s="29"/>
      <c r="AA1389" s="29"/>
      <c r="AB1389" s="44"/>
      <c r="AC1389" s="29"/>
      <c r="AD1389" s="44">
        <f>T1389</f>
        <v>0</v>
      </c>
    </row>
    <row r="1390" spans="1:30" s="491" customFormat="1" ht="150" hidden="1" customHeight="1">
      <c r="A1390" s="25"/>
      <c r="B1390" s="642">
        <v>3</v>
      </c>
      <c r="C1390" s="511">
        <v>10</v>
      </c>
      <c r="D1390" s="512"/>
      <c r="E1390" s="493" t="s">
        <v>712</v>
      </c>
      <c r="F1390" s="714" t="s">
        <v>713</v>
      </c>
      <c r="G1390" s="645" t="s">
        <v>357</v>
      </c>
      <c r="H1390" s="712">
        <v>0</v>
      </c>
      <c r="I1390" s="494">
        <v>0</v>
      </c>
      <c r="J1390" s="494">
        <v>1281</v>
      </c>
      <c r="K1390" s="494">
        <v>8.85</v>
      </c>
      <c r="L1390" s="494">
        <f>SUM(L1392:L1398)</f>
        <v>508.90270000000004</v>
      </c>
      <c r="M1390" s="33">
        <f>SUM(I1390:L1390)</f>
        <v>1798.7527</v>
      </c>
      <c r="N1390" s="501">
        <v>1</v>
      </c>
      <c r="O1390" s="502">
        <v>1</v>
      </c>
      <c r="P1390" s="37">
        <v>1</v>
      </c>
      <c r="Q1390" s="34">
        <f>H1390*I1390*N1390*O1390*P1390</f>
        <v>0</v>
      </c>
      <c r="R1390" s="35">
        <f>H1390*J1390*N1390*O1390*P1390</f>
        <v>0</v>
      </c>
      <c r="S1390" s="36">
        <f>H1390*K1390*N1390*O1390*P1390</f>
        <v>0</v>
      </c>
      <c r="T1390" s="36">
        <f>H1390*L1390*N1390*O1390*P1390</f>
        <v>0</v>
      </c>
      <c r="U1390" s="37">
        <f>SUM(Q1390:T1390)</f>
        <v>0</v>
      </c>
      <c r="V1390" s="38">
        <f>(Q1390+R1390+S1390+T1394+T1395+T1396+T1398)*'Прогнозная стоимость РСС ИП '!$M$11+T1393*'Прогнозная стоимость РСС ИП '!$M$10</f>
        <v>0</v>
      </c>
      <c r="W1390" s="39">
        <f>T1390</f>
        <v>0</v>
      </c>
      <c r="X1390" s="39">
        <f>U1390</f>
        <v>0</v>
      </c>
      <c r="Y1390" s="39">
        <f>V1390</f>
        <v>0</v>
      </c>
      <c r="Z1390" s="29"/>
      <c r="AA1390" s="29"/>
      <c r="AB1390" s="29"/>
      <c r="AC1390" s="29"/>
      <c r="AD1390" s="29"/>
    </row>
    <row r="1391" spans="1:30" s="491" customFormat="1" ht="22.5" hidden="1" customHeight="1">
      <c r="A1391" s="25"/>
      <c r="B1391" s="643"/>
      <c r="C1391" s="513"/>
      <c r="D1391" s="514"/>
      <c r="E1391" s="495"/>
      <c r="F1391" s="715"/>
      <c r="G1391" s="646"/>
      <c r="H1391" s="713"/>
      <c r="I1391" s="716"/>
      <c r="J1391" s="717"/>
      <c r="K1391" s="717"/>
      <c r="L1391" s="717"/>
      <c r="M1391" s="718"/>
      <c r="N1391" s="652"/>
      <c r="O1391" s="653"/>
      <c r="P1391" s="654"/>
      <c r="Q1391" s="661"/>
      <c r="R1391" s="719"/>
      <c r="S1391" s="719"/>
      <c r="T1391" s="719"/>
      <c r="U1391" s="663"/>
      <c r="V1391" s="40"/>
      <c r="W1391" s="41"/>
      <c r="X1391" s="41"/>
      <c r="Y1391" s="41"/>
      <c r="Z1391" s="29"/>
      <c r="AA1391" s="29"/>
      <c r="AB1391" s="29"/>
      <c r="AC1391" s="29"/>
      <c r="AD1391" s="29"/>
    </row>
    <row r="1392" spans="1:30" s="491" customFormat="1" ht="41.25" hidden="1" customHeight="1">
      <c r="A1392" s="25"/>
      <c r="B1392" s="643"/>
      <c r="C1392" s="513"/>
      <c r="D1392" s="514"/>
      <c r="E1392" s="664" t="s">
        <v>29</v>
      </c>
      <c r="F1392" s="720"/>
      <c r="G1392" s="720"/>
      <c r="H1392" s="720"/>
      <c r="I1392" s="720"/>
      <c r="J1392" s="720"/>
      <c r="K1392" s="720"/>
      <c r="L1392" s="720"/>
      <c r="M1392" s="666"/>
      <c r="N1392" s="655"/>
      <c r="O1392" s="656"/>
      <c r="P1392" s="657"/>
      <c r="Q1392" s="667"/>
      <c r="R1392" s="721"/>
      <c r="S1392" s="721"/>
      <c r="T1392" s="721"/>
      <c r="U1392" s="722"/>
      <c r="V1392" s="42"/>
      <c r="W1392" s="41"/>
      <c r="X1392" s="41"/>
      <c r="Y1392" s="41"/>
      <c r="Z1392" s="29"/>
      <c r="AA1392" s="29"/>
      <c r="AB1392" s="29"/>
      <c r="AC1392" s="29"/>
      <c r="AD1392" s="29"/>
    </row>
    <row r="1393" spans="1:30" s="491" customFormat="1" ht="41.25" hidden="1" customHeight="1">
      <c r="A1393" s="25"/>
      <c r="B1393" s="643"/>
      <c r="C1393" s="513">
        <v>1010</v>
      </c>
      <c r="D1393" s="514"/>
      <c r="E1393" s="670" t="s">
        <v>30</v>
      </c>
      <c r="F1393" s="670"/>
      <c r="G1393" s="670"/>
      <c r="H1393" s="670"/>
      <c r="I1393" s="670"/>
      <c r="J1393" s="670"/>
      <c r="K1393" s="670"/>
      <c r="L1393" s="498">
        <v>363.92270000000002</v>
      </c>
      <c r="M1393" s="456">
        <f>L1393</f>
        <v>363.92270000000002</v>
      </c>
      <c r="N1393" s="655"/>
      <c r="O1393" s="656"/>
      <c r="P1393" s="657"/>
      <c r="Q1393" s="671"/>
      <c r="R1393" s="723"/>
      <c r="S1393" s="673"/>
      <c r="T1393" s="497">
        <f>H1390*M1393*N1390*O1390*P1390</f>
        <v>0</v>
      </c>
      <c r="U1393" s="458">
        <f>T1393</f>
        <v>0</v>
      </c>
      <c r="V1393" s="42"/>
      <c r="W1393" s="39"/>
      <c r="X1393" s="41"/>
      <c r="Y1393" s="41"/>
      <c r="Z1393" s="43">
        <f>T1393</f>
        <v>0</v>
      </c>
      <c r="AA1393" s="29"/>
      <c r="AB1393" s="29"/>
      <c r="AC1393" s="29"/>
      <c r="AD1393" s="29"/>
    </row>
    <row r="1394" spans="1:30" s="491" customFormat="1" ht="41.25" hidden="1" customHeight="1">
      <c r="A1394" s="25"/>
      <c r="B1394" s="643"/>
      <c r="C1394" s="513"/>
      <c r="D1394" s="514"/>
      <c r="E1394" s="670" t="s">
        <v>31</v>
      </c>
      <c r="F1394" s="670"/>
      <c r="G1394" s="670"/>
      <c r="H1394" s="670"/>
      <c r="I1394" s="670"/>
      <c r="J1394" s="670"/>
      <c r="K1394" s="670"/>
      <c r="L1394" s="498">
        <f>ROUND((I1390+J1390+K1390)*2.14%,2)</f>
        <v>27.6</v>
      </c>
      <c r="M1394" s="456">
        <f>L1394</f>
        <v>27.6</v>
      </c>
      <c r="N1394" s="655"/>
      <c r="O1394" s="656"/>
      <c r="P1394" s="657"/>
      <c r="Q1394" s="671"/>
      <c r="R1394" s="723"/>
      <c r="S1394" s="673"/>
      <c r="T1394" s="497">
        <f>H1390*M1394*N1390*O1390*P1390</f>
        <v>0</v>
      </c>
      <c r="U1394" s="458">
        <f>T1394</f>
        <v>0</v>
      </c>
      <c r="V1394" s="42"/>
      <c r="W1394" s="41"/>
      <c r="X1394" s="39"/>
      <c r="Y1394" s="41"/>
      <c r="Z1394" s="29"/>
      <c r="AA1394" s="43">
        <f>T1394</f>
        <v>0</v>
      </c>
      <c r="AB1394" s="29"/>
      <c r="AC1394" s="29"/>
      <c r="AD1394" s="29"/>
    </row>
    <row r="1395" spans="1:30" s="491" customFormat="1" ht="41.25" hidden="1" customHeight="1">
      <c r="A1395" s="25"/>
      <c r="B1395" s="643"/>
      <c r="C1395" s="515"/>
      <c r="D1395" s="514"/>
      <c r="E1395" s="670" t="s">
        <v>348</v>
      </c>
      <c r="F1395" s="670"/>
      <c r="G1395" s="670"/>
      <c r="H1395" s="670"/>
      <c r="I1395" s="670"/>
      <c r="J1395" s="670"/>
      <c r="K1395" s="670"/>
      <c r="L1395" s="498">
        <f>ROUND((I1390+J1390+K1390+L1393+L1394+L1398)*3%,2)</f>
        <v>52.39</v>
      </c>
      <c r="M1395" s="459">
        <f>L1395</f>
        <v>52.39</v>
      </c>
      <c r="N1395" s="655"/>
      <c r="O1395" s="656"/>
      <c r="P1395" s="657"/>
      <c r="Q1395" s="671"/>
      <c r="R1395" s="723"/>
      <c r="S1395" s="673"/>
      <c r="T1395" s="497">
        <f>H1390*M1395*N1390*O1390*P1390</f>
        <v>0</v>
      </c>
      <c r="U1395" s="458">
        <f>T1395</f>
        <v>0</v>
      </c>
      <c r="V1395" s="42"/>
      <c r="W1395" s="41"/>
      <c r="X1395" s="41"/>
      <c r="Y1395" s="39"/>
      <c r="Z1395" s="29"/>
      <c r="AA1395" s="29"/>
      <c r="AB1395" s="43">
        <f>T1395</f>
        <v>0</v>
      </c>
      <c r="AC1395" s="29"/>
      <c r="AD1395" s="29"/>
    </row>
    <row r="1396" spans="1:30" s="491" customFormat="1" ht="54.75" hidden="1" customHeight="1">
      <c r="A1396" s="25"/>
      <c r="B1396" s="643"/>
      <c r="C1396" s="515"/>
      <c r="D1396" s="514"/>
      <c r="E1396" s="670" t="s">
        <v>349</v>
      </c>
      <c r="F1396" s="670"/>
      <c r="G1396" s="670"/>
      <c r="H1396" s="670"/>
      <c r="I1396" s="670"/>
      <c r="J1396" s="670"/>
      <c r="K1396" s="670"/>
      <c r="L1396" s="498">
        <f>465.3627-K1390-L1393-L1394-L1398</f>
        <v>0</v>
      </c>
      <c r="M1396" s="459">
        <f>L1396</f>
        <v>0</v>
      </c>
      <c r="N1396" s="655"/>
      <c r="O1396" s="656"/>
      <c r="P1396" s="657"/>
      <c r="Q1396" s="671"/>
      <c r="R1396" s="723"/>
      <c r="S1396" s="673"/>
      <c r="T1396" s="460">
        <f>H1390*M1396*N1390*O1390*P1390</f>
        <v>0</v>
      </c>
      <c r="U1396" s="458">
        <f>T1396</f>
        <v>0</v>
      </c>
      <c r="V1396" s="42"/>
      <c r="W1396" s="41"/>
      <c r="X1396" s="41"/>
      <c r="Y1396" s="41"/>
      <c r="Z1396" s="44"/>
      <c r="AA1396" s="29"/>
      <c r="AB1396" s="29"/>
      <c r="AC1396" s="44">
        <f>T1396</f>
        <v>0</v>
      </c>
      <c r="AD1396" s="29"/>
    </row>
    <row r="1397" spans="1:30" s="491" customFormat="1" ht="24" hidden="1" customHeight="1">
      <c r="A1397" s="25"/>
      <c r="B1397" s="643"/>
      <c r="C1397" s="515"/>
      <c r="D1397" s="514"/>
      <c r="E1397" s="724"/>
      <c r="F1397" s="725"/>
      <c r="G1397" s="725"/>
      <c r="H1397" s="725"/>
      <c r="I1397" s="725"/>
      <c r="J1397" s="725"/>
      <c r="K1397" s="725"/>
      <c r="L1397" s="725"/>
      <c r="M1397" s="726"/>
      <c r="N1397" s="655"/>
      <c r="O1397" s="656"/>
      <c r="P1397" s="657"/>
      <c r="Q1397" s="677"/>
      <c r="R1397" s="727"/>
      <c r="S1397" s="727"/>
      <c r="T1397" s="727"/>
      <c r="U1397" s="679"/>
      <c r="V1397" s="45"/>
      <c r="W1397" s="41"/>
      <c r="X1397" s="41"/>
      <c r="Y1397" s="41"/>
      <c r="Z1397" s="29"/>
      <c r="AA1397" s="44"/>
      <c r="AB1397" s="29"/>
      <c r="AC1397" s="29"/>
      <c r="AD1397" s="29"/>
    </row>
    <row r="1398" spans="1:30" s="491" customFormat="1" ht="45" hidden="1" customHeight="1" thickBot="1">
      <c r="A1398" s="25"/>
      <c r="B1398" s="644"/>
      <c r="C1398" s="516"/>
      <c r="D1398" s="517"/>
      <c r="E1398" s="680" t="s">
        <v>369</v>
      </c>
      <c r="F1398" s="680" t="s">
        <v>306</v>
      </c>
      <c r="G1398" s="680"/>
      <c r="H1398" s="680"/>
      <c r="I1398" s="680"/>
      <c r="J1398" s="680"/>
      <c r="K1398" s="680"/>
      <c r="L1398" s="499">
        <f>ROUND((I1390+J1390+K1390+L1393)*3.93%,2)</f>
        <v>64.989999999999995</v>
      </c>
      <c r="M1398" s="46">
        <f>L1398</f>
        <v>64.989999999999995</v>
      </c>
      <c r="N1398" s="658"/>
      <c r="O1398" s="659"/>
      <c r="P1398" s="660"/>
      <c r="Q1398" s="681"/>
      <c r="R1398" s="682"/>
      <c r="S1398" s="683"/>
      <c r="T1398" s="385">
        <f>H1390*M1398*N1390*O1390*P1390</f>
        <v>0</v>
      </c>
      <c r="U1398" s="47">
        <f>T1398</f>
        <v>0</v>
      </c>
      <c r="V1398" s="48"/>
      <c r="W1398" s="41"/>
      <c r="X1398" s="41"/>
      <c r="Y1398" s="41"/>
      <c r="Z1398" s="29"/>
      <c r="AA1398" s="29"/>
      <c r="AB1398" s="44"/>
      <c r="AC1398" s="29"/>
      <c r="AD1398" s="44">
        <f>T1398</f>
        <v>0</v>
      </c>
    </row>
    <row r="1399" spans="1:30" s="491" customFormat="1" ht="150" hidden="1" customHeight="1">
      <c r="A1399" s="25"/>
      <c r="B1399" s="642">
        <v>3</v>
      </c>
      <c r="C1399" s="511">
        <v>10</v>
      </c>
      <c r="D1399" s="512"/>
      <c r="E1399" s="493" t="s">
        <v>715</v>
      </c>
      <c r="F1399" s="714" t="s">
        <v>714</v>
      </c>
      <c r="G1399" s="645" t="s">
        <v>357</v>
      </c>
      <c r="H1399" s="712">
        <v>0</v>
      </c>
      <c r="I1399" s="494">
        <v>0</v>
      </c>
      <c r="J1399" s="494">
        <v>1383.72</v>
      </c>
      <c r="K1399" s="494">
        <v>8.85</v>
      </c>
      <c r="L1399" s="494">
        <f>SUM(L1401:L1407)</f>
        <v>518.62814000000003</v>
      </c>
      <c r="M1399" s="33">
        <f>SUM(I1399:L1399)</f>
        <v>1911.19814</v>
      </c>
      <c r="N1399" s="501">
        <v>1</v>
      </c>
      <c r="O1399" s="502">
        <v>1</v>
      </c>
      <c r="P1399" s="37">
        <v>1</v>
      </c>
      <c r="Q1399" s="34">
        <f>H1399*I1399*N1399*O1399*P1399</f>
        <v>0</v>
      </c>
      <c r="R1399" s="35">
        <f>H1399*J1399*N1399*O1399*P1399</f>
        <v>0</v>
      </c>
      <c r="S1399" s="36">
        <f>H1399*K1399*N1399*O1399*P1399</f>
        <v>0</v>
      </c>
      <c r="T1399" s="36">
        <f>H1399*L1399*N1399*O1399*P1399</f>
        <v>0</v>
      </c>
      <c r="U1399" s="37">
        <f>SUM(Q1399:T1399)</f>
        <v>0</v>
      </c>
      <c r="V1399" s="38">
        <f>(Q1399+R1399+S1399+T1403+T1404+T1405+T1407)*'Прогнозная стоимость РСС ИП '!$M$11+T1402*'Прогнозная стоимость РСС ИП '!$M$10</f>
        <v>0</v>
      </c>
      <c r="W1399" s="39">
        <f>T1399</f>
        <v>0</v>
      </c>
      <c r="X1399" s="39">
        <f>U1399</f>
        <v>0</v>
      </c>
      <c r="Y1399" s="39">
        <f>V1399</f>
        <v>0</v>
      </c>
      <c r="Z1399" s="29"/>
      <c r="AA1399" s="29"/>
      <c r="AB1399" s="29"/>
      <c r="AC1399" s="29"/>
      <c r="AD1399" s="29"/>
    </row>
    <row r="1400" spans="1:30" s="491" customFormat="1" ht="22.5" hidden="1" customHeight="1">
      <c r="A1400" s="25"/>
      <c r="B1400" s="643"/>
      <c r="C1400" s="513"/>
      <c r="D1400" s="514"/>
      <c r="E1400" s="495"/>
      <c r="F1400" s="715"/>
      <c r="G1400" s="646"/>
      <c r="H1400" s="713"/>
      <c r="I1400" s="716"/>
      <c r="J1400" s="717"/>
      <c r="K1400" s="717"/>
      <c r="L1400" s="717"/>
      <c r="M1400" s="718"/>
      <c r="N1400" s="652"/>
      <c r="O1400" s="653"/>
      <c r="P1400" s="654"/>
      <c r="Q1400" s="661"/>
      <c r="R1400" s="719"/>
      <c r="S1400" s="719"/>
      <c r="T1400" s="719"/>
      <c r="U1400" s="663"/>
      <c r="V1400" s="40"/>
      <c r="W1400" s="41"/>
      <c r="X1400" s="41"/>
      <c r="Y1400" s="41"/>
      <c r="Z1400" s="29"/>
      <c r="AA1400" s="29"/>
      <c r="AB1400" s="29"/>
      <c r="AC1400" s="29"/>
      <c r="AD1400" s="29"/>
    </row>
    <row r="1401" spans="1:30" s="491" customFormat="1" ht="41.25" hidden="1" customHeight="1">
      <c r="A1401" s="25"/>
      <c r="B1401" s="643"/>
      <c r="C1401" s="513"/>
      <c r="D1401" s="514"/>
      <c r="E1401" s="664" t="s">
        <v>29</v>
      </c>
      <c r="F1401" s="720"/>
      <c r="G1401" s="720"/>
      <c r="H1401" s="720"/>
      <c r="I1401" s="720"/>
      <c r="J1401" s="720"/>
      <c r="K1401" s="720"/>
      <c r="L1401" s="720"/>
      <c r="M1401" s="666"/>
      <c r="N1401" s="655"/>
      <c r="O1401" s="656"/>
      <c r="P1401" s="657"/>
      <c r="Q1401" s="667"/>
      <c r="R1401" s="721"/>
      <c r="S1401" s="721"/>
      <c r="T1401" s="721"/>
      <c r="U1401" s="722"/>
      <c r="V1401" s="42"/>
      <c r="W1401" s="41"/>
      <c r="X1401" s="41"/>
      <c r="Y1401" s="41"/>
      <c r="Z1401" s="29"/>
      <c r="AA1401" s="29"/>
      <c r="AB1401" s="29"/>
      <c r="AC1401" s="29"/>
      <c r="AD1401" s="29"/>
    </row>
    <row r="1402" spans="1:30" s="491" customFormat="1" ht="41.25" hidden="1" customHeight="1">
      <c r="A1402" s="25"/>
      <c r="B1402" s="643"/>
      <c r="C1402" s="513">
        <v>1010</v>
      </c>
      <c r="D1402" s="514"/>
      <c r="E1402" s="670" t="s">
        <v>30</v>
      </c>
      <c r="F1402" s="670"/>
      <c r="G1402" s="670"/>
      <c r="H1402" s="670"/>
      <c r="I1402" s="670"/>
      <c r="J1402" s="670"/>
      <c r="K1402" s="670"/>
      <c r="L1402" s="498">
        <v>364.12814000000003</v>
      </c>
      <c r="M1402" s="456">
        <f>L1402</f>
        <v>364.12814000000003</v>
      </c>
      <c r="N1402" s="655"/>
      <c r="O1402" s="656"/>
      <c r="P1402" s="657"/>
      <c r="Q1402" s="671"/>
      <c r="R1402" s="723"/>
      <c r="S1402" s="673"/>
      <c r="T1402" s="497">
        <f>H1399*M1402*N1399*O1399*P1399</f>
        <v>0</v>
      </c>
      <c r="U1402" s="458">
        <f>T1402</f>
        <v>0</v>
      </c>
      <c r="V1402" s="42"/>
      <c r="W1402" s="39"/>
      <c r="X1402" s="41"/>
      <c r="Y1402" s="41"/>
      <c r="Z1402" s="43">
        <f>T1402</f>
        <v>0</v>
      </c>
      <c r="AA1402" s="29"/>
      <c r="AB1402" s="29"/>
      <c r="AC1402" s="29"/>
      <c r="AD1402" s="29"/>
    </row>
    <row r="1403" spans="1:30" s="491" customFormat="1" ht="41.25" hidden="1" customHeight="1">
      <c r="A1403" s="25"/>
      <c r="B1403" s="643"/>
      <c r="C1403" s="513"/>
      <c r="D1403" s="514"/>
      <c r="E1403" s="670" t="s">
        <v>31</v>
      </c>
      <c r="F1403" s="670"/>
      <c r="G1403" s="670"/>
      <c r="H1403" s="670"/>
      <c r="I1403" s="670"/>
      <c r="J1403" s="670"/>
      <c r="K1403" s="670"/>
      <c r="L1403" s="498">
        <f>ROUND((I1399+J1399+K1399)*2.14%,2)</f>
        <v>29.8</v>
      </c>
      <c r="M1403" s="456">
        <f>L1403</f>
        <v>29.8</v>
      </c>
      <c r="N1403" s="655"/>
      <c r="O1403" s="656"/>
      <c r="P1403" s="657"/>
      <c r="Q1403" s="671"/>
      <c r="R1403" s="723"/>
      <c r="S1403" s="673"/>
      <c r="T1403" s="497">
        <f>H1399*M1403*N1399*O1399*P1399</f>
        <v>0</v>
      </c>
      <c r="U1403" s="458">
        <f>T1403</f>
        <v>0</v>
      </c>
      <c r="V1403" s="42"/>
      <c r="W1403" s="41"/>
      <c r="X1403" s="39"/>
      <c r="Y1403" s="41"/>
      <c r="Z1403" s="29"/>
      <c r="AA1403" s="43">
        <f>T1403</f>
        <v>0</v>
      </c>
      <c r="AB1403" s="29"/>
      <c r="AC1403" s="29"/>
      <c r="AD1403" s="29"/>
    </row>
    <row r="1404" spans="1:30" s="491" customFormat="1" ht="41.25" hidden="1" customHeight="1">
      <c r="A1404" s="25"/>
      <c r="B1404" s="643"/>
      <c r="C1404" s="515"/>
      <c r="D1404" s="514"/>
      <c r="E1404" s="670" t="s">
        <v>348</v>
      </c>
      <c r="F1404" s="670"/>
      <c r="G1404" s="670"/>
      <c r="H1404" s="670"/>
      <c r="I1404" s="670"/>
      <c r="J1404" s="670"/>
      <c r="K1404" s="670"/>
      <c r="L1404" s="498">
        <f>ROUND((I1399+J1399+K1399+L1402+L1403+L1407)*3%,2)-0.01</f>
        <v>55.660000000000004</v>
      </c>
      <c r="M1404" s="459">
        <f>L1404</f>
        <v>55.660000000000004</v>
      </c>
      <c r="N1404" s="655"/>
      <c r="O1404" s="656"/>
      <c r="P1404" s="657"/>
      <c r="Q1404" s="671"/>
      <c r="R1404" s="723"/>
      <c r="S1404" s="673"/>
      <c r="T1404" s="497">
        <f>H1399*M1404*N1399*O1399*P1399</f>
        <v>0</v>
      </c>
      <c r="U1404" s="458">
        <f>T1404</f>
        <v>0</v>
      </c>
      <c r="V1404" s="42"/>
      <c r="W1404" s="41"/>
      <c r="X1404" s="41"/>
      <c r="Y1404" s="39"/>
      <c r="Z1404" s="29"/>
      <c r="AA1404" s="29"/>
      <c r="AB1404" s="43">
        <f>T1404</f>
        <v>0</v>
      </c>
      <c r="AC1404" s="29"/>
      <c r="AD1404" s="29"/>
    </row>
    <row r="1405" spans="1:30" s="491" customFormat="1" ht="54.75" hidden="1" customHeight="1">
      <c r="A1405" s="25"/>
      <c r="B1405" s="643"/>
      <c r="C1405" s="515"/>
      <c r="D1405" s="514"/>
      <c r="E1405" s="670" t="s">
        <v>349</v>
      </c>
      <c r="F1405" s="670"/>
      <c r="G1405" s="670"/>
      <c r="H1405" s="670"/>
      <c r="I1405" s="670"/>
      <c r="J1405" s="670"/>
      <c r="K1405" s="670"/>
      <c r="L1405" s="498">
        <f>471.81814-K1399-L1402-L1403-L1407</f>
        <v>0</v>
      </c>
      <c r="M1405" s="459">
        <f>L1405</f>
        <v>0</v>
      </c>
      <c r="N1405" s="655"/>
      <c r="O1405" s="656"/>
      <c r="P1405" s="657"/>
      <c r="Q1405" s="671"/>
      <c r="R1405" s="723"/>
      <c r="S1405" s="673"/>
      <c r="T1405" s="460">
        <f>H1399*M1405*N1399*O1399*P1399</f>
        <v>0</v>
      </c>
      <c r="U1405" s="458">
        <f>T1405</f>
        <v>0</v>
      </c>
      <c r="V1405" s="42"/>
      <c r="W1405" s="41"/>
      <c r="X1405" s="41"/>
      <c r="Y1405" s="41"/>
      <c r="Z1405" s="44"/>
      <c r="AA1405" s="29"/>
      <c r="AB1405" s="29"/>
      <c r="AC1405" s="44">
        <f>T1405</f>
        <v>0</v>
      </c>
      <c r="AD1405" s="29"/>
    </row>
    <row r="1406" spans="1:30" s="491" customFormat="1" ht="24" hidden="1" customHeight="1">
      <c r="A1406" s="25"/>
      <c r="B1406" s="643"/>
      <c r="C1406" s="515"/>
      <c r="D1406" s="514"/>
      <c r="E1406" s="724"/>
      <c r="F1406" s="725"/>
      <c r="G1406" s="725"/>
      <c r="H1406" s="725"/>
      <c r="I1406" s="725"/>
      <c r="J1406" s="725"/>
      <c r="K1406" s="725"/>
      <c r="L1406" s="725"/>
      <c r="M1406" s="726"/>
      <c r="N1406" s="655"/>
      <c r="O1406" s="656"/>
      <c r="P1406" s="657"/>
      <c r="Q1406" s="677"/>
      <c r="R1406" s="727"/>
      <c r="S1406" s="727"/>
      <c r="T1406" s="727"/>
      <c r="U1406" s="679"/>
      <c r="V1406" s="45"/>
      <c r="W1406" s="41"/>
      <c r="X1406" s="41"/>
      <c r="Y1406" s="41"/>
      <c r="Z1406" s="29"/>
      <c r="AA1406" s="44"/>
      <c r="AB1406" s="29"/>
      <c r="AC1406" s="29"/>
      <c r="AD1406" s="29"/>
    </row>
    <row r="1407" spans="1:30" s="491" customFormat="1" ht="45" hidden="1" customHeight="1" thickBot="1">
      <c r="A1407" s="25"/>
      <c r="B1407" s="644"/>
      <c r="C1407" s="516"/>
      <c r="D1407" s="517"/>
      <c r="E1407" s="680" t="s">
        <v>369</v>
      </c>
      <c r="F1407" s="680" t="s">
        <v>306</v>
      </c>
      <c r="G1407" s="680"/>
      <c r="H1407" s="680"/>
      <c r="I1407" s="680"/>
      <c r="J1407" s="680"/>
      <c r="K1407" s="680"/>
      <c r="L1407" s="499">
        <f>ROUND((I1399+J1399+K1399+L1402)*3.93%,2)</f>
        <v>69.040000000000006</v>
      </c>
      <c r="M1407" s="46">
        <f>L1407</f>
        <v>69.040000000000006</v>
      </c>
      <c r="N1407" s="658"/>
      <c r="O1407" s="659"/>
      <c r="P1407" s="660"/>
      <c r="Q1407" s="681"/>
      <c r="R1407" s="682"/>
      <c r="S1407" s="683"/>
      <c r="T1407" s="385">
        <f>H1399*M1407*N1399*O1399*P1399</f>
        <v>0</v>
      </c>
      <c r="U1407" s="47">
        <f>T1407</f>
        <v>0</v>
      </c>
      <c r="V1407" s="48"/>
      <c r="W1407" s="41"/>
      <c r="X1407" s="41"/>
      <c r="Y1407" s="41"/>
      <c r="Z1407" s="29"/>
      <c r="AA1407" s="29"/>
      <c r="AB1407" s="44"/>
      <c r="AC1407" s="29"/>
      <c r="AD1407" s="44">
        <f>T1407</f>
        <v>0</v>
      </c>
    </row>
    <row r="1408" spans="1:30" s="491" customFormat="1" ht="150" hidden="1" customHeight="1">
      <c r="A1408" s="25"/>
      <c r="B1408" s="642">
        <v>3</v>
      </c>
      <c r="C1408" s="511">
        <v>10</v>
      </c>
      <c r="D1408" s="512"/>
      <c r="E1408" s="493" t="s">
        <v>717</v>
      </c>
      <c r="F1408" s="714" t="s">
        <v>716</v>
      </c>
      <c r="G1408" s="645" t="s">
        <v>357</v>
      </c>
      <c r="H1408" s="712">
        <v>0</v>
      </c>
      <c r="I1408" s="494">
        <v>0</v>
      </c>
      <c r="J1408" s="494">
        <v>1556.3400000000001</v>
      </c>
      <c r="K1408" s="494">
        <v>8.85</v>
      </c>
      <c r="L1408" s="494">
        <f>SUM(L1410:L1416)</f>
        <v>534.98338000000001</v>
      </c>
      <c r="M1408" s="33">
        <f>SUM(I1408:L1408)</f>
        <v>2100.1733800000002</v>
      </c>
      <c r="N1408" s="501">
        <v>1</v>
      </c>
      <c r="O1408" s="502">
        <v>1</v>
      </c>
      <c r="P1408" s="37">
        <v>1</v>
      </c>
      <c r="Q1408" s="34">
        <f>H1408*I1408*N1408*O1408*P1408</f>
        <v>0</v>
      </c>
      <c r="R1408" s="35">
        <f>H1408*J1408*N1408*O1408*P1408</f>
        <v>0</v>
      </c>
      <c r="S1408" s="36">
        <f>H1408*K1408*N1408*O1408*P1408</f>
        <v>0</v>
      </c>
      <c r="T1408" s="36">
        <f>H1408*L1408*N1408*O1408*P1408</f>
        <v>0</v>
      </c>
      <c r="U1408" s="37">
        <f>SUM(Q1408:T1408)</f>
        <v>0</v>
      </c>
      <c r="V1408" s="38">
        <f>(Q1408+R1408+S1408+T1412+T1413+T1414+T1416)*'Прогнозная стоимость РСС ИП '!$M$11+T1411*'Прогнозная стоимость РСС ИП '!$M$10</f>
        <v>0</v>
      </c>
      <c r="W1408" s="39">
        <f>T1408</f>
        <v>0</v>
      </c>
      <c r="X1408" s="39">
        <f>U1408</f>
        <v>0</v>
      </c>
      <c r="Y1408" s="39">
        <f>V1408</f>
        <v>0</v>
      </c>
      <c r="Z1408" s="29"/>
      <c r="AA1408" s="29"/>
      <c r="AB1408" s="29"/>
      <c r="AC1408" s="29"/>
      <c r="AD1408" s="29"/>
    </row>
    <row r="1409" spans="1:30" s="491" customFormat="1" ht="22.5" hidden="1" customHeight="1">
      <c r="A1409" s="25"/>
      <c r="B1409" s="643"/>
      <c r="C1409" s="513"/>
      <c r="D1409" s="514"/>
      <c r="E1409" s="495"/>
      <c r="F1409" s="715"/>
      <c r="G1409" s="646"/>
      <c r="H1409" s="713"/>
      <c r="I1409" s="716"/>
      <c r="J1409" s="717"/>
      <c r="K1409" s="717"/>
      <c r="L1409" s="717"/>
      <c r="M1409" s="718"/>
      <c r="N1409" s="652"/>
      <c r="O1409" s="653"/>
      <c r="P1409" s="654"/>
      <c r="Q1409" s="661"/>
      <c r="R1409" s="719"/>
      <c r="S1409" s="719"/>
      <c r="T1409" s="719"/>
      <c r="U1409" s="663"/>
      <c r="V1409" s="40"/>
      <c r="W1409" s="41"/>
      <c r="X1409" s="41"/>
      <c r="Y1409" s="41"/>
      <c r="Z1409" s="29"/>
      <c r="AA1409" s="29"/>
      <c r="AB1409" s="29"/>
      <c r="AC1409" s="29"/>
      <c r="AD1409" s="29"/>
    </row>
    <row r="1410" spans="1:30" s="491" customFormat="1" ht="41.25" hidden="1" customHeight="1">
      <c r="A1410" s="25"/>
      <c r="B1410" s="643"/>
      <c r="C1410" s="513"/>
      <c r="D1410" s="514"/>
      <c r="E1410" s="664" t="s">
        <v>29</v>
      </c>
      <c r="F1410" s="720"/>
      <c r="G1410" s="720"/>
      <c r="H1410" s="720"/>
      <c r="I1410" s="720"/>
      <c r="J1410" s="720"/>
      <c r="K1410" s="720"/>
      <c r="L1410" s="720"/>
      <c r="M1410" s="666"/>
      <c r="N1410" s="655"/>
      <c r="O1410" s="656"/>
      <c r="P1410" s="657"/>
      <c r="Q1410" s="667"/>
      <c r="R1410" s="721"/>
      <c r="S1410" s="721"/>
      <c r="T1410" s="721"/>
      <c r="U1410" s="722"/>
      <c r="V1410" s="42"/>
      <c r="W1410" s="41"/>
      <c r="X1410" s="41"/>
      <c r="Y1410" s="41"/>
      <c r="Z1410" s="29"/>
      <c r="AA1410" s="29"/>
      <c r="AB1410" s="29"/>
      <c r="AC1410" s="29"/>
      <c r="AD1410" s="29"/>
    </row>
    <row r="1411" spans="1:30" s="491" customFormat="1" ht="41.25" hidden="1" customHeight="1">
      <c r="A1411" s="25"/>
      <c r="B1411" s="643"/>
      <c r="C1411" s="513">
        <v>1010</v>
      </c>
      <c r="D1411" s="514"/>
      <c r="E1411" s="670" t="s">
        <v>30</v>
      </c>
      <c r="F1411" s="670"/>
      <c r="G1411" s="670"/>
      <c r="H1411" s="670"/>
      <c r="I1411" s="670"/>
      <c r="J1411" s="670"/>
      <c r="K1411" s="670"/>
      <c r="L1411" s="498">
        <v>364.47338000000002</v>
      </c>
      <c r="M1411" s="456">
        <f>L1411</f>
        <v>364.47338000000002</v>
      </c>
      <c r="N1411" s="655"/>
      <c r="O1411" s="656"/>
      <c r="P1411" s="657"/>
      <c r="Q1411" s="671"/>
      <c r="R1411" s="723"/>
      <c r="S1411" s="673"/>
      <c r="T1411" s="497">
        <f>H1408*M1411*N1408*O1408*P1408</f>
        <v>0</v>
      </c>
      <c r="U1411" s="458">
        <f>T1411</f>
        <v>0</v>
      </c>
      <c r="V1411" s="42"/>
      <c r="W1411" s="39"/>
      <c r="X1411" s="41"/>
      <c r="Y1411" s="41"/>
      <c r="Z1411" s="43">
        <f>T1411</f>
        <v>0</v>
      </c>
      <c r="AA1411" s="29"/>
      <c r="AB1411" s="29"/>
      <c r="AC1411" s="29"/>
      <c r="AD1411" s="29"/>
    </row>
    <row r="1412" spans="1:30" s="491" customFormat="1" ht="41.25" hidden="1" customHeight="1">
      <c r="A1412" s="25"/>
      <c r="B1412" s="643"/>
      <c r="C1412" s="513"/>
      <c r="D1412" s="514"/>
      <c r="E1412" s="670" t="s">
        <v>31</v>
      </c>
      <c r="F1412" s="670"/>
      <c r="G1412" s="670"/>
      <c r="H1412" s="670"/>
      <c r="I1412" s="670"/>
      <c r="J1412" s="670"/>
      <c r="K1412" s="670"/>
      <c r="L1412" s="498">
        <f>ROUND((I1408+J1408+K1408)*2.14%,2)</f>
        <v>33.5</v>
      </c>
      <c r="M1412" s="456">
        <f>L1412</f>
        <v>33.5</v>
      </c>
      <c r="N1412" s="655"/>
      <c r="O1412" s="656"/>
      <c r="P1412" s="657"/>
      <c r="Q1412" s="671"/>
      <c r="R1412" s="723"/>
      <c r="S1412" s="673"/>
      <c r="T1412" s="497">
        <f>H1408*M1412*N1408*O1408*P1408</f>
        <v>0</v>
      </c>
      <c r="U1412" s="458">
        <f>T1412</f>
        <v>0</v>
      </c>
      <c r="V1412" s="42"/>
      <c r="W1412" s="41"/>
      <c r="X1412" s="39"/>
      <c r="Y1412" s="41"/>
      <c r="Z1412" s="29"/>
      <c r="AA1412" s="43">
        <f>T1412</f>
        <v>0</v>
      </c>
      <c r="AB1412" s="29"/>
      <c r="AC1412" s="29"/>
      <c r="AD1412" s="29"/>
    </row>
    <row r="1413" spans="1:30" s="491" customFormat="1" ht="41.25" hidden="1" customHeight="1">
      <c r="A1413" s="25"/>
      <c r="B1413" s="643"/>
      <c r="C1413" s="515"/>
      <c r="D1413" s="514"/>
      <c r="E1413" s="670" t="s">
        <v>348</v>
      </c>
      <c r="F1413" s="670"/>
      <c r="G1413" s="670"/>
      <c r="H1413" s="670"/>
      <c r="I1413" s="670"/>
      <c r="J1413" s="670"/>
      <c r="K1413" s="670"/>
      <c r="L1413" s="498">
        <f>ROUND((I1408+J1408+K1408+L1411+L1412+L1416)*3%,2)</f>
        <v>61.17</v>
      </c>
      <c r="M1413" s="459">
        <f>L1413</f>
        <v>61.17</v>
      </c>
      <c r="N1413" s="655"/>
      <c r="O1413" s="656"/>
      <c r="P1413" s="657"/>
      <c r="Q1413" s="671"/>
      <c r="R1413" s="723"/>
      <c r="S1413" s="673"/>
      <c r="T1413" s="497">
        <f>H1408*M1413*N1408*O1408*P1408</f>
        <v>0</v>
      </c>
      <c r="U1413" s="458">
        <f>T1413</f>
        <v>0</v>
      </c>
      <c r="V1413" s="42"/>
      <c r="W1413" s="41"/>
      <c r="X1413" s="41"/>
      <c r="Y1413" s="39"/>
      <c r="Z1413" s="29"/>
      <c r="AA1413" s="29"/>
      <c r="AB1413" s="43">
        <f>T1413</f>
        <v>0</v>
      </c>
      <c r="AC1413" s="29"/>
      <c r="AD1413" s="29"/>
    </row>
    <row r="1414" spans="1:30" s="491" customFormat="1" ht="54.75" hidden="1" customHeight="1">
      <c r="A1414" s="25"/>
      <c r="B1414" s="643"/>
      <c r="C1414" s="515"/>
      <c r="D1414" s="514"/>
      <c r="E1414" s="670" t="s">
        <v>349</v>
      </c>
      <c r="F1414" s="670"/>
      <c r="G1414" s="670"/>
      <c r="H1414" s="670"/>
      <c r="I1414" s="670"/>
      <c r="J1414" s="670"/>
      <c r="K1414" s="670"/>
      <c r="L1414" s="498">
        <f>482.66338-K1408-L1411-L1412-L1416</f>
        <v>0</v>
      </c>
      <c r="M1414" s="459">
        <f>L1414</f>
        <v>0</v>
      </c>
      <c r="N1414" s="655"/>
      <c r="O1414" s="656"/>
      <c r="P1414" s="657"/>
      <c r="Q1414" s="671"/>
      <c r="R1414" s="723"/>
      <c r="S1414" s="673"/>
      <c r="T1414" s="460">
        <f>H1408*M1414*N1408*O1408*P1408</f>
        <v>0</v>
      </c>
      <c r="U1414" s="458">
        <f>T1414</f>
        <v>0</v>
      </c>
      <c r="V1414" s="42"/>
      <c r="W1414" s="41"/>
      <c r="X1414" s="41"/>
      <c r="Y1414" s="41"/>
      <c r="Z1414" s="44"/>
      <c r="AA1414" s="29"/>
      <c r="AB1414" s="29"/>
      <c r="AC1414" s="44">
        <f>T1414</f>
        <v>0</v>
      </c>
      <c r="AD1414" s="29"/>
    </row>
    <row r="1415" spans="1:30" s="491" customFormat="1" ht="24" hidden="1" customHeight="1">
      <c r="A1415" s="25"/>
      <c r="B1415" s="643"/>
      <c r="C1415" s="515"/>
      <c r="D1415" s="514"/>
      <c r="E1415" s="724"/>
      <c r="F1415" s="725"/>
      <c r="G1415" s="725"/>
      <c r="H1415" s="725"/>
      <c r="I1415" s="725"/>
      <c r="J1415" s="725"/>
      <c r="K1415" s="725"/>
      <c r="L1415" s="725"/>
      <c r="M1415" s="726"/>
      <c r="N1415" s="655"/>
      <c r="O1415" s="656"/>
      <c r="P1415" s="657"/>
      <c r="Q1415" s="677"/>
      <c r="R1415" s="727"/>
      <c r="S1415" s="727"/>
      <c r="T1415" s="727"/>
      <c r="U1415" s="679"/>
      <c r="V1415" s="45"/>
      <c r="W1415" s="41"/>
      <c r="X1415" s="41"/>
      <c r="Y1415" s="41"/>
      <c r="Z1415" s="29"/>
      <c r="AA1415" s="44"/>
      <c r="AB1415" s="29"/>
      <c r="AC1415" s="29"/>
      <c r="AD1415" s="29"/>
    </row>
    <row r="1416" spans="1:30" s="491" customFormat="1" ht="45" hidden="1" customHeight="1" thickBot="1">
      <c r="A1416" s="25"/>
      <c r="B1416" s="644"/>
      <c r="C1416" s="516"/>
      <c r="D1416" s="517"/>
      <c r="E1416" s="680" t="s">
        <v>369</v>
      </c>
      <c r="F1416" s="680" t="s">
        <v>306</v>
      </c>
      <c r="G1416" s="680"/>
      <c r="H1416" s="680"/>
      <c r="I1416" s="680"/>
      <c r="J1416" s="680"/>
      <c r="K1416" s="680"/>
      <c r="L1416" s="499">
        <f>ROUND((I1408+J1408+K1408+L1411)*3.93%,2)</f>
        <v>75.84</v>
      </c>
      <c r="M1416" s="46">
        <f>L1416</f>
        <v>75.84</v>
      </c>
      <c r="N1416" s="658"/>
      <c r="O1416" s="659"/>
      <c r="P1416" s="660"/>
      <c r="Q1416" s="681"/>
      <c r="R1416" s="682"/>
      <c r="S1416" s="683"/>
      <c r="T1416" s="385">
        <f>H1408*M1416*N1408*O1408*P1408</f>
        <v>0</v>
      </c>
      <c r="U1416" s="47">
        <f>T1416</f>
        <v>0</v>
      </c>
      <c r="V1416" s="48"/>
      <c r="W1416" s="41"/>
      <c r="X1416" s="41"/>
      <c r="Y1416" s="41"/>
      <c r="Z1416" s="29"/>
      <c r="AA1416" s="29"/>
      <c r="AB1416" s="44"/>
      <c r="AC1416" s="29"/>
      <c r="AD1416" s="44">
        <f>T1416</f>
        <v>0</v>
      </c>
    </row>
    <row r="1417" spans="1:30" s="491" customFormat="1" ht="150" hidden="1" customHeight="1">
      <c r="A1417" s="25"/>
      <c r="B1417" s="642">
        <v>3</v>
      </c>
      <c r="C1417" s="511">
        <v>10</v>
      </c>
      <c r="D1417" s="512"/>
      <c r="E1417" s="493" t="s">
        <v>718</v>
      </c>
      <c r="F1417" s="714" t="s">
        <v>719</v>
      </c>
      <c r="G1417" s="645" t="s">
        <v>357</v>
      </c>
      <c r="H1417" s="712">
        <v>0</v>
      </c>
      <c r="I1417" s="494">
        <v>0</v>
      </c>
      <c r="J1417" s="494">
        <v>1764.5</v>
      </c>
      <c r="K1417" s="494">
        <v>8.85</v>
      </c>
      <c r="L1417" s="494">
        <f>SUM(L1419:L1425)</f>
        <v>554.67970000000003</v>
      </c>
      <c r="M1417" s="33">
        <f>SUM(I1417:L1417)</f>
        <v>2328.0297</v>
      </c>
      <c r="N1417" s="501">
        <v>1</v>
      </c>
      <c r="O1417" s="502">
        <v>1</v>
      </c>
      <c r="P1417" s="37">
        <v>1</v>
      </c>
      <c r="Q1417" s="34">
        <f>H1417*I1417*N1417*O1417*P1417</f>
        <v>0</v>
      </c>
      <c r="R1417" s="35">
        <f>H1417*J1417*N1417*O1417*P1417</f>
        <v>0</v>
      </c>
      <c r="S1417" s="36">
        <f>H1417*K1417*N1417*O1417*P1417</f>
        <v>0</v>
      </c>
      <c r="T1417" s="36">
        <f>H1417*L1417*N1417*O1417*P1417</f>
        <v>0</v>
      </c>
      <c r="U1417" s="37">
        <f>SUM(Q1417:T1417)</f>
        <v>0</v>
      </c>
      <c r="V1417" s="38">
        <f>(Q1417+R1417+S1417+T1421+T1422+T1423+T1425)*'Прогнозная стоимость РСС ИП '!$M$11+T1420*'Прогнозная стоимость РСС ИП '!$M$10</f>
        <v>0</v>
      </c>
      <c r="W1417" s="39">
        <f>T1417</f>
        <v>0</v>
      </c>
      <c r="X1417" s="39">
        <f>U1417</f>
        <v>0</v>
      </c>
      <c r="Y1417" s="39">
        <f>V1417</f>
        <v>0</v>
      </c>
      <c r="Z1417" s="29"/>
      <c r="AA1417" s="29"/>
      <c r="AB1417" s="29"/>
      <c r="AC1417" s="29"/>
      <c r="AD1417" s="29"/>
    </row>
    <row r="1418" spans="1:30" s="491" customFormat="1" ht="22.5" hidden="1" customHeight="1">
      <c r="A1418" s="25"/>
      <c r="B1418" s="643"/>
      <c r="C1418" s="513"/>
      <c r="D1418" s="514"/>
      <c r="E1418" s="495"/>
      <c r="F1418" s="715"/>
      <c r="G1418" s="646"/>
      <c r="H1418" s="713"/>
      <c r="I1418" s="716"/>
      <c r="J1418" s="717"/>
      <c r="K1418" s="717"/>
      <c r="L1418" s="717"/>
      <c r="M1418" s="718"/>
      <c r="N1418" s="652"/>
      <c r="O1418" s="653"/>
      <c r="P1418" s="654"/>
      <c r="Q1418" s="661"/>
      <c r="R1418" s="719"/>
      <c r="S1418" s="719"/>
      <c r="T1418" s="719"/>
      <c r="U1418" s="663"/>
      <c r="V1418" s="40"/>
      <c r="W1418" s="41"/>
      <c r="X1418" s="41"/>
      <c r="Y1418" s="41"/>
      <c r="Z1418" s="29"/>
      <c r="AA1418" s="29"/>
      <c r="AB1418" s="29"/>
      <c r="AC1418" s="29"/>
      <c r="AD1418" s="29"/>
    </row>
    <row r="1419" spans="1:30" s="491" customFormat="1" ht="41.25" hidden="1" customHeight="1">
      <c r="A1419" s="25"/>
      <c r="B1419" s="643"/>
      <c r="C1419" s="513"/>
      <c r="D1419" s="514"/>
      <c r="E1419" s="664" t="s">
        <v>29</v>
      </c>
      <c r="F1419" s="720"/>
      <c r="G1419" s="720"/>
      <c r="H1419" s="720"/>
      <c r="I1419" s="720"/>
      <c r="J1419" s="720"/>
      <c r="K1419" s="720"/>
      <c r="L1419" s="720"/>
      <c r="M1419" s="666"/>
      <c r="N1419" s="655"/>
      <c r="O1419" s="656"/>
      <c r="P1419" s="657"/>
      <c r="Q1419" s="667"/>
      <c r="R1419" s="721"/>
      <c r="S1419" s="721"/>
      <c r="T1419" s="721"/>
      <c r="U1419" s="722"/>
      <c r="V1419" s="42"/>
      <c r="W1419" s="41"/>
      <c r="X1419" s="41"/>
      <c r="Y1419" s="41"/>
      <c r="Z1419" s="29"/>
      <c r="AA1419" s="29"/>
      <c r="AB1419" s="29"/>
      <c r="AC1419" s="29"/>
      <c r="AD1419" s="29"/>
    </row>
    <row r="1420" spans="1:30" s="491" customFormat="1" ht="41.25" hidden="1" customHeight="1">
      <c r="A1420" s="25"/>
      <c r="B1420" s="643"/>
      <c r="C1420" s="513">
        <v>1010</v>
      </c>
      <c r="D1420" s="514"/>
      <c r="E1420" s="670" t="s">
        <v>30</v>
      </c>
      <c r="F1420" s="670"/>
      <c r="G1420" s="670"/>
      <c r="H1420" s="670"/>
      <c r="I1420" s="670"/>
      <c r="J1420" s="670"/>
      <c r="K1420" s="670"/>
      <c r="L1420" s="498">
        <v>364.8897</v>
      </c>
      <c r="M1420" s="456">
        <f>L1420</f>
        <v>364.8897</v>
      </c>
      <c r="N1420" s="655"/>
      <c r="O1420" s="656"/>
      <c r="P1420" s="657"/>
      <c r="Q1420" s="671"/>
      <c r="R1420" s="723"/>
      <c r="S1420" s="673"/>
      <c r="T1420" s="497">
        <f>H1417*M1420*N1417*O1417*P1417</f>
        <v>0</v>
      </c>
      <c r="U1420" s="458">
        <f>T1420</f>
        <v>0</v>
      </c>
      <c r="V1420" s="42"/>
      <c r="W1420" s="39"/>
      <c r="X1420" s="41"/>
      <c r="Y1420" s="41"/>
      <c r="Z1420" s="43">
        <f>T1420</f>
        <v>0</v>
      </c>
      <c r="AA1420" s="29"/>
      <c r="AB1420" s="29"/>
      <c r="AC1420" s="29"/>
      <c r="AD1420" s="29"/>
    </row>
    <row r="1421" spans="1:30" s="491" customFormat="1" ht="41.25" hidden="1" customHeight="1">
      <c r="A1421" s="25"/>
      <c r="B1421" s="643"/>
      <c r="C1421" s="513"/>
      <c r="D1421" s="514"/>
      <c r="E1421" s="670" t="s">
        <v>31</v>
      </c>
      <c r="F1421" s="670"/>
      <c r="G1421" s="670"/>
      <c r="H1421" s="670"/>
      <c r="I1421" s="670"/>
      <c r="J1421" s="670"/>
      <c r="K1421" s="670"/>
      <c r="L1421" s="498">
        <f>ROUND((I1417+J1417+K1417)*2.14%,2)</f>
        <v>37.950000000000003</v>
      </c>
      <c r="M1421" s="456">
        <f>L1421</f>
        <v>37.950000000000003</v>
      </c>
      <c r="N1421" s="655"/>
      <c r="O1421" s="656"/>
      <c r="P1421" s="657"/>
      <c r="Q1421" s="671"/>
      <c r="R1421" s="723"/>
      <c r="S1421" s="673"/>
      <c r="T1421" s="497">
        <f>H1417*M1421*N1417*O1417*P1417</f>
        <v>0</v>
      </c>
      <c r="U1421" s="458">
        <f>T1421</f>
        <v>0</v>
      </c>
      <c r="V1421" s="42"/>
      <c r="W1421" s="41"/>
      <c r="X1421" s="39"/>
      <c r="Y1421" s="41"/>
      <c r="Z1421" s="29"/>
      <c r="AA1421" s="43">
        <f>T1421</f>
        <v>0</v>
      </c>
      <c r="AB1421" s="29"/>
      <c r="AC1421" s="29"/>
      <c r="AD1421" s="29"/>
    </row>
    <row r="1422" spans="1:30" s="491" customFormat="1" ht="41.25" hidden="1" customHeight="1">
      <c r="A1422" s="25"/>
      <c r="B1422" s="643"/>
      <c r="C1422" s="515"/>
      <c r="D1422" s="514"/>
      <c r="E1422" s="670" t="s">
        <v>348</v>
      </c>
      <c r="F1422" s="670"/>
      <c r="G1422" s="670"/>
      <c r="H1422" s="670"/>
      <c r="I1422" s="670"/>
      <c r="J1422" s="670"/>
      <c r="K1422" s="670"/>
      <c r="L1422" s="498">
        <f>ROUND((I1417+J1417+K1417+L1420+L1421+L1425)*3%,2)</f>
        <v>67.81</v>
      </c>
      <c r="M1422" s="459">
        <f>L1422</f>
        <v>67.81</v>
      </c>
      <c r="N1422" s="655"/>
      <c r="O1422" s="656"/>
      <c r="P1422" s="657"/>
      <c r="Q1422" s="671"/>
      <c r="R1422" s="723"/>
      <c r="S1422" s="673"/>
      <c r="T1422" s="497">
        <f>H1417*M1422*N1417*O1417*P1417</f>
        <v>0</v>
      </c>
      <c r="U1422" s="458">
        <f>T1422</f>
        <v>0</v>
      </c>
      <c r="V1422" s="42"/>
      <c r="W1422" s="41"/>
      <c r="X1422" s="41"/>
      <c r="Y1422" s="39"/>
      <c r="Z1422" s="29"/>
      <c r="AA1422" s="29"/>
      <c r="AB1422" s="43">
        <f>T1422</f>
        <v>0</v>
      </c>
      <c r="AC1422" s="29"/>
      <c r="AD1422" s="29"/>
    </row>
    <row r="1423" spans="1:30" s="491" customFormat="1" ht="54.75" hidden="1" customHeight="1">
      <c r="A1423" s="25"/>
      <c r="B1423" s="643"/>
      <c r="C1423" s="515"/>
      <c r="D1423" s="514"/>
      <c r="E1423" s="670" t="s">
        <v>349</v>
      </c>
      <c r="F1423" s="670"/>
      <c r="G1423" s="670"/>
      <c r="H1423" s="670"/>
      <c r="I1423" s="670"/>
      <c r="J1423" s="670"/>
      <c r="K1423" s="670"/>
      <c r="L1423" s="498">
        <f>495.7197-K1417-L1420-L1421-L1425</f>
        <v>0</v>
      </c>
      <c r="M1423" s="459">
        <f>L1423</f>
        <v>0</v>
      </c>
      <c r="N1423" s="655"/>
      <c r="O1423" s="656"/>
      <c r="P1423" s="657"/>
      <c r="Q1423" s="671"/>
      <c r="R1423" s="723"/>
      <c r="S1423" s="673"/>
      <c r="T1423" s="460">
        <f>H1417*M1423*N1417*O1417*P1417</f>
        <v>0</v>
      </c>
      <c r="U1423" s="458">
        <f>T1423</f>
        <v>0</v>
      </c>
      <c r="V1423" s="42"/>
      <c r="W1423" s="41"/>
      <c r="X1423" s="41"/>
      <c r="Y1423" s="41"/>
      <c r="Z1423" s="44"/>
      <c r="AA1423" s="29"/>
      <c r="AB1423" s="29"/>
      <c r="AC1423" s="44">
        <f>T1423</f>
        <v>0</v>
      </c>
      <c r="AD1423" s="29"/>
    </row>
    <row r="1424" spans="1:30" s="491" customFormat="1" ht="24" hidden="1" customHeight="1">
      <c r="A1424" s="25"/>
      <c r="B1424" s="643"/>
      <c r="C1424" s="515"/>
      <c r="D1424" s="514"/>
      <c r="E1424" s="724"/>
      <c r="F1424" s="725"/>
      <c r="G1424" s="725"/>
      <c r="H1424" s="725"/>
      <c r="I1424" s="725"/>
      <c r="J1424" s="725"/>
      <c r="K1424" s="725"/>
      <c r="L1424" s="725"/>
      <c r="M1424" s="726"/>
      <c r="N1424" s="655"/>
      <c r="O1424" s="656"/>
      <c r="P1424" s="657"/>
      <c r="Q1424" s="677"/>
      <c r="R1424" s="727"/>
      <c r="S1424" s="727"/>
      <c r="T1424" s="727"/>
      <c r="U1424" s="679"/>
      <c r="V1424" s="45"/>
      <c r="W1424" s="41"/>
      <c r="X1424" s="41"/>
      <c r="Y1424" s="41"/>
      <c r="Z1424" s="29"/>
      <c r="AA1424" s="44"/>
      <c r="AB1424" s="29"/>
      <c r="AC1424" s="29"/>
      <c r="AD1424" s="29"/>
    </row>
    <row r="1425" spans="1:30" s="491" customFormat="1" ht="45" hidden="1" customHeight="1" thickBot="1">
      <c r="A1425" s="25"/>
      <c r="B1425" s="644"/>
      <c r="C1425" s="516"/>
      <c r="D1425" s="517"/>
      <c r="E1425" s="680" t="s">
        <v>369</v>
      </c>
      <c r="F1425" s="680" t="s">
        <v>306</v>
      </c>
      <c r="G1425" s="680"/>
      <c r="H1425" s="680"/>
      <c r="I1425" s="680"/>
      <c r="J1425" s="680"/>
      <c r="K1425" s="680"/>
      <c r="L1425" s="499">
        <f>ROUND((I1417+J1417+K1417+L1420)*3.93%,2)</f>
        <v>84.03</v>
      </c>
      <c r="M1425" s="46">
        <f>L1425</f>
        <v>84.03</v>
      </c>
      <c r="N1425" s="658"/>
      <c r="O1425" s="659"/>
      <c r="P1425" s="660"/>
      <c r="Q1425" s="681"/>
      <c r="R1425" s="682"/>
      <c r="S1425" s="683"/>
      <c r="T1425" s="385">
        <f>H1417*M1425*N1417*O1417*P1417</f>
        <v>0</v>
      </c>
      <c r="U1425" s="47">
        <f>T1425</f>
        <v>0</v>
      </c>
      <c r="V1425" s="48"/>
      <c r="W1425" s="41"/>
      <c r="X1425" s="41"/>
      <c r="Y1425" s="41"/>
      <c r="Z1425" s="29"/>
      <c r="AA1425" s="29"/>
      <c r="AB1425" s="44"/>
      <c r="AC1425" s="29"/>
      <c r="AD1425" s="44">
        <f>T1425</f>
        <v>0</v>
      </c>
    </row>
    <row r="1426" spans="1:30" s="491" customFormat="1" ht="150" hidden="1" customHeight="1">
      <c r="A1426" s="25"/>
      <c r="B1426" s="642">
        <v>3</v>
      </c>
      <c r="C1426" s="511">
        <v>10</v>
      </c>
      <c r="D1426" s="512"/>
      <c r="E1426" s="493" t="s">
        <v>721</v>
      </c>
      <c r="F1426" s="714" t="s">
        <v>720</v>
      </c>
      <c r="G1426" s="645" t="s">
        <v>357</v>
      </c>
      <c r="H1426" s="712">
        <v>0</v>
      </c>
      <c r="I1426" s="494">
        <v>0</v>
      </c>
      <c r="J1426" s="494">
        <v>1966.5900000000001</v>
      </c>
      <c r="K1426" s="494">
        <v>8.85</v>
      </c>
      <c r="L1426" s="494">
        <f>SUM(L1428:L1434)</f>
        <v>573.80387999999994</v>
      </c>
      <c r="M1426" s="33">
        <f>SUM(I1426:L1426)</f>
        <v>2549.24388</v>
      </c>
      <c r="N1426" s="501">
        <v>1</v>
      </c>
      <c r="O1426" s="502">
        <v>1</v>
      </c>
      <c r="P1426" s="37">
        <v>1</v>
      </c>
      <c r="Q1426" s="34">
        <f>H1426*I1426*N1426*O1426*P1426</f>
        <v>0</v>
      </c>
      <c r="R1426" s="35">
        <f>H1426*J1426*N1426*O1426*P1426</f>
        <v>0</v>
      </c>
      <c r="S1426" s="36">
        <f>H1426*K1426*N1426*O1426*P1426</f>
        <v>0</v>
      </c>
      <c r="T1426" s="36">
        <f>H1426*L1426*N1426*O1426*P1426</f>
        <v>0</v>
      </c>
      <c r="U1426" s="37">
        <f>SUM(Q1426:T1426)</f>
        <v>0</v>
      </c>
      <c r="V1426" s="38">
        <f>(Q1426+R1426+S1426+T1430+T1431+T1432+T1434)*'Прогнозная стоимость РСС ИП '!$M$11+T1429*'Прогнозная стоимость РСС ИП '!$M$10</f>
        <v>0</v>
      </c>
      <c r="W1426" s="39">
        <f>T1426</f>
        <v>0</v>
      </c>
      <c r="X1426" s="39">
        <f>U1426</f>
        <v>0</v>
      </c>
      <c r="Y1426" s="39">
        <f>V1426</f>
        <v>0</v>
      </c>
      <c r="Z1426" s="29"/>
      <c r="AA1426" s="29"/>
      <c r="AB1426" s="29"/>
      <c r="AC1426" s="29"/>
      <c r="AD1426" s="29"/>
    </row>
    <row r="1427" spans="1:30" s="491" customFormat="1" ht="22.5" hidden="1" customHeight="1">
      <c r="A1427" s="25"/>
      <c r="B1427" s="643"/>
      <c r="C1427" s="513"/>
      <c r="D1427" s="514"/>
      <c r="E1427" s="495"/>
      <c r="F1427" s="715"/>
      <c r="G1427" s="646"/>
      <c r="H1427" s="713"/>
      <c r="I1427" s="716"/>
      <c r="J1427" s="717"/>
      <c r="K1427" s="717"/>
      <c r="L1427" s="717"/>
      <c r="M1427" s="718"/>
      <c r="N1427" s="652"/>
      <c r="O1427" s="653"/>
      <c r="P1427" s="654"/>
      <c r="Q1427" s="661"/>
      <c r="R1427" s="719"/>
      <c r="S1427" s="719"/>
      <c r="T1427" s="719"/>
      <c r="U1427" s="663"/>
      <c r="V1427" s="40"/>
      <c r="W1427" s="41"/>
      <c r="X1427" s="41"/>
      <c r="Y1427" s="41"/>
      <c r="Z1427" s="29"/>
      <c r="AA1427" s="29"/>
      <c r="AB1427" s="29"/>
      <c r="AC1427" s="29"/>
      <c r="AD1427" s="29"/>
    </row>
    <row r="1428" spans="1:30" s="491" customFormat="1" ht="41.25" hidden="1" customHeight="1">
      <c r="A1428" s="25"/>
      <c r="B1428" s="643"/>
      <c r="C1428" s="513"/>
      <c r="D1428" s="514"/>
      <c r="E1428" s="664" t="s">
        <v>29</v>
      </c>
      <c r="F1428" s="720"/>
      <c r="G1428" s="720"/>
      <c r="H1428" s="720"/>
      <c r="I1428" s="720"/>
      <c r="J1428" s="720"/>
      <c r="K1428" s="720"/>
      <c r="L1428" s="720"/>
      <c r="M1428" s="666"/>
      <c r="N1428" s="655"/>
      <c r="O1428" s="656"/>
      <c r="P1428" s="657"/>
      <c r="Q1428" s="667"/>
      <c r="R1428" s="721"/>
      <c r="S1428" s="721"/>
      <c r="T1428" s="721"/>
      <c r="U1428" s="722"/>
      <c r="V1428" s="42"/>
      <c r="W1428" s="41"/>
      <c r="X1428" s="41"/>
      <c r="Y1428" s="41"/>
      <c r="Z1428" s="29"/>
      <c r="AA1428" s="29"/>
      <c r="AB1428" s="29"/>
      <c r="AC1428" s="29"/>
      <c r="AD1428" s="29"/>
    </row>
    <row r="1429" spans="1:30" s="491" customFormat="1" ht="41.25" hidden="1" customHeight="1">
      <c r="A1429" s="25"/>
      <c r="B1429" s="643"/>
      <c r="C1429" s="513">
        <v>1010</v>
      </c>
      <c r="D1429" s="514"/>
      <c r="E1429" s="670" t="s">
        <v>30</v>
      </c>
      <c r="F1429" s="670"/>
      <c r="G1429" s="670"/>
      <c r="H1429" s="670"/>
      <c r="I1429" s="670"/>
      <c r="J1429" s="670"/>
      <c r="K1429" s="670"/>
      <c r="L1429" s="498">
        <v>365.29388</v>
      </c>
      <c r="M1429" s="456">
        <f>L1429</f>
        <v>365.29388</v>
      </c>
      <c r="N1429" s="655"/>
      <c r="O1429" s="656"/>
      <c r="P1429" s="657"/>
      <c r="Q1429" s="671"/>
      <c r="R1429" s="723"/>
      <c r="S1429" s="673"/>
      <c r="T1429" s="497">
        <f>H1426*M1429*N1426*O1426*P1426</f>
        <v>0</v>
      </c>
      <c r="U1429" s="458">
        <f>T1429</f>
        <v>0</v>
      </c>
      <c r="V1429" s="42"/>
      <c r="W1429" s="39"/>
      <c r="X1429" s="41"/>
      <c r="Y1429" s="41"/>
      <c r="Z1429" s="43">
        <f>T1429</f>
        <v>0</v>
      </c>
      <c r="AA1429" s="29"/>
      <c r="AB1429" s="29"/>
      <c r="AC1429" s="29"/>
      <c r="AD1429" s="29"/>
    </row>
    <row r="1430" spans="1:30" s="491" customFormat="1" ht="41.25" hidden="1" customHeight="1">
      <c r="A1430" s="25"/>
      <c r="B1430" s="643"/>
      <c r="C1430" s="513"/>
      <c r="D1430" s="514"/>
      <c r="E1430" s="670" t="s">
        <v>31</v>
      </c>
      <c r="F1430" s="670"/>
      <c r="G1430" s="670"/>
      <c r="H1430" s="670"/>
      <c r="I1430" s="670"/>
      <c r="J1430" s="670"/>
      <c r="K1430" s="670"/>
      <c r="L1430" s="498">
        <f>ROUND((I1426+J1426+K1426)*2.14%,2)</f>
        <v>42.27</v>
      </c>
      <c r="M1430" s="456">
        <f>L1430</f>
        <v>42.27</v>
      </c>
      <c r="N1430" s="655"/>
      <c r="O1430" s="656"/>
      <c r="P1430" s="657"/>
      <c r="Q1430" s="671"/>
      <c r="R1430" s="723"/>
      <c r="S1430" s="673"/>
      <c r="T1430" s="497">
        <f>H1426*M1430*N1426*O1426*P1426</f>
        <v>0</v>
      </c>
      <c r="U1430" s="458">
        <f>T1430</f>
        <v>0</v>
      </c>
      <c r="V1430" s="42"/>
      <c r="W1430" s="41"/>
      <c r="X1430" s="39"/>
      <c r="Y1430" s="41"/>
      <c r="Z1430" s="29"/>
      <c r="AA1430" s="43">
        <f>T1430</f>
        <v>0</v>
      </c>
      <c r="AB1430" s="29"/>
      <c r="AC1430" s="29"/>
      <c r="AD1430" s="29"/>
    </row>
    <row r="1431" spans="1:30" s="491" customFormat="1" ht="41.25" hidden="1" customHeight="1">
      <c r="A1431" s="25"/>
      <c r="B1431" s="643"/>
      <c r="C1431" s="515"/>
      <c r="D1431" s="514"/>
      <c r="E1431" s="670" t="s">
        <v>348</v>
      </c>
      <c r="F1431" s="670"/>
      <c r="G1431" s="670"/>
      <c r="H1431" s="670"/>
      <c r="I1431" s="670"/>
      <c r="J1431" s="670"/>
      <c r="K1431" s="670"/>
      <c r="L1431" s="498">
        <f>ROUND((I1426+J1426+K1426+L1429+L1430+L1434)*3%,2)</f>
        <v>74.25</v>
      </c>
      <c r="M1431" s="459">
        <f>L1431</f>
        <v>74.25</v>
      </c>
      <c r="N1431" s="655"/>
      <c r="O1431" s="656"/>
      <c r="P1431" s="657"/>
      <c r="Q1431" s="671"/>
      <c r="R1431" s="723"/>
      <c r="S1431" s="673"/>
      <c r="T1431" s="497">
        <f>H1426*M1431*N1426*O1426*P1426</f>
        <v>0</v>
      </c>
      <c r="U1431" s="458">
        <f>T1431</f>
        <v>0</v>
      </c>
      <c r="V1431" s="42"/>
      <c r="W1431" s="41"/>
      <c r="X1431" s="41"/>
      <c r="Y1431" s="39"/>
      <c r="Z1431" s="29"/>
      <c r="AA1431" s="29"/>
      <c r="AB1431" s="43">
        <f>T1431</f>
        <v>0</v>
      </c>
      <c r="AC1431" s="29"/>
      <c r="AD1431" s="29"/>
    </row>
    <row r="1432" spans="1:30" s="491" customFormat="1" ht="54.75" hidden="1" customHeight="1">
      <c r="A1432" s="25"/>
      <c r="B1432" s="643"/>
      <c r="C1432" s="515"/>
      <c r="D1432" s="514"/>
      <c r="E1432" s="670" t="s">
        <v>349</v>
      </c>
      <c r="F1432" s="670"/>
      <c r="G1432" s="670"/>
      <c r="H1432" s="670"/>
      <c r="I1432" s="670"/>
      <c r="J1432" s="670"/>
      <c r="K1432" s="670"/>
      <c r="L1432" s="498">
        <f>508.40388-K1426-L1429-L1430-L1434</f>
        <v>0</v>
      </c>
      <c r="M1432" s="459">
        <f>L1432</f>
        <v>0</v>
      </c>
      <c r="N1432" s="655"/>
      <c r="O1432" s="656"/>
      <c r="P1432" s="657"/>
      <c r="Q1432" s="671"/>
      <c r="R1432" s="723"/>
      <c r="S1432" s="673"/>
      <c r="T1432" s="460">
        <f>H1426*M1432*N1426*O1426*P1426</f>
        <v>0</v>
      </c>
      <c r="U1432" s="458">
        <f>T1432</f>
        <v>0</v>
      </c>
      <c r="V1432" s="42"/>
      <c r="W1432" s="41"/>
      <c r="X1432" s="41"/>
      <c r="Y1432" s="41"/>
      <c r="Z1432" s="44"/>
      <c r="AA1432" s="29"/>
      <c r="AB1432" s="29"/>
      <c r="AC1432" s="44">
        <f>T1432</f>
        <v>0</v>
      </c>
      <c r="AD1432" s="29"/>
    </row>
    <row r="1433" spans="1:30" s="491" customFormat="1" ht="24" hidden="1" customHeight="1">
      <c r="A1433" s="25"/>
      <c r="B1433" s="643"/>
      <c r="C1433" s="515"/>
      <c r="D1433" s="514"/>
      <c r="E1433" s="724"/>
      <c r="F1433" s="725"/>
      <c r="G1433" s="725"/>
      <c r="H1433" s="725"/>
      <c r="I1433" s="725"/>
      <c r="J1433" s="725"/>
      <c r="K1433" s="725"/>
      <c r="L1433" s="725"/>
      <c r="M1433" s="726"/>
      <c r="N1433" s="655"/>
      <c r="O1433" s="656"/>
      <c r="P1433" s="657"/>
      <c r="Q1433" s="677"/>
      <c r="R1433" s="727"/>
      <c r="S1433" s="727"/>
      <c r="T1433" s="727"/>
      <c r="U1433" s="679"/>
      <c r="V1433" s="45"/>
      <c r="W1433" s="41"/>
      <c r="X1433" s="41"/>
      <c r="Y1433" s="41"/>
      <c r="Z1433" s="29"/>
      <c r="AA1433" s="44"/>
      <c r="AB1433" s="29"/>
      <c r="AC1433" s="29"/>
      <c r="AD1433" s="29"/>
    </row>
    <row r="1434" spans="1:30" s="491" customFormat="1" ht="45" hidden="1" customHeight="1" thickBot="1">
      <c r="A1434" s="25"/>
      <c r="B1434" s="644"/>
      <c r="C1434" s="516"/>
      <c r="D1434" s="517"/>
      <c r="E1434" s="680" t="s">
        <v>369</v>
      </c>
      <c r="F1434" s="680" t="s">
        <v>306</v>
      </c>
      <c r="G1434" s="680"/>
      <c r="H1434" s="680"/>
      <c r="I1434" s="680"/>
      <c r="J1434" s="680"/>
      <c r="K1434" s="680"/>
      <c r="L1434" s="499">
        <f>ROUND((I1426+J1426+K1426+L1429)*3.93%,2)</f>
        <v>91.99</v>
      </c>
      <c r="M1434" s="46">
        <f>L1434</f>
        <v>91.99</v>
      </c>
      <c r="N1434" s="658"/>
      <c r="O1434" s="659"/>
      <c r="P1434" s="660"/>
      <c r="Q1434" s="681"/>
      <c r="R1434" s="682"/>
      <c r="S1434" s="683"/>
      <c r="T1434" s="385">
        <f>H1426*M1434*N1426*O1426*P1426</f>
        <v>0</v>
      </c>
      <c r="U1434" s="47">
        <f>T1434</f>
        <v>0</v>
      </c>
      <c r="V1434" s="48"/>
      <c r="W1434" s="41"/>
      <c r="X1434" s="41"/>
      <c r="Y1434" s="41"/>
      <c r="Z1434" s="29"/>
      <c r="AA1434" s="29"/>
      <c r="AB1434" s="44"/>
      <c r="AC1434" s="29"/>
      <c r="AD1434" s="44">
        <f>T1434</f>
        <v>0</v>
      </c>
    </row>
    <row r="1435" spans="1:30" s="491" customFormat="1" ht="150" hidden="1" customHeight="1">
      <c r="A1435" s="25"/>
      <c r="B1435" s="642">
        <v>3</v>
      </c>
      <c r="C1435" s="511">
        <v>10</v>
      </c>
      <c r="D1435" s="512"/>
      <c r="E1435" s="493" t="s">
        <v>723</v>
      </c>
      <c r="F1435" s="714" t="s">
        <v>722</v>
      </c>
      <c r="G1435" s="645" t="s">
        <v>357</v>
      </c>
      <c r="H1435" s="712">
        <v>0</v>
      </c>
      <c r="I1435" s="494">
        <v>0</v>
      </c>
      <c r="J1435" s="494">
        <v>2171.9399999999996</v>
      </c>
      <c r="K1435" s="494">
        <v>8.85</v>
      </c>
      <c r="L1435" s="494">
        <f>SUM(L1437:L1443)</f>
        <v>593.25458000000003</v>
      </c>
      <c r="M1435" s="33">
        <f>SUM(I1435:L1435)</f>
        <v>2774.0445799999998</v>
      </c>
      <c r="N1435" s="501">
        <v>1</v>
      </c>
      <c r="O1435" s="502">
        <v>1</v>
      </c>
      <c r="P1435" s="37">
        <v>1</v>
      </c>
      <c r="Q1435" s="34">
        <f>H1435*I1435*N1435*O1435*P1435</f>
        <v>0</v>
      </c>
      <c r="R1435" s="35">
        <f>H1435*J1435*N1435*O1435*P1435</f>
        <v>0</v>
      </c>
      <c r="S1435" s="36">
        <f>H1435*K1435*N1435*O1435*P1435</f>
        <v>0</v>
      </c>
      <c r="T1435" s="36">
        <f>H1435*L1435*N1435*O1435*P1435</f>
        <v>0</v>
      </c>
      <c r="U1435" s="37">
        <f>SUM(Q1435:T1435)</f>
        <v>0</v>
      </c>
      <c r="V1435" s="38">
        <f>(Q1435+R1435+S1435+T1439+T1440+T1441+T1443)*'Прогнозная стоимость РСС ИП '!$M$11+T1438*'Прогнозная стоимость РСС ИП '!$M$10</f>
        <v>0</v>
      </c>
      <c r="W1435" s="39">
        <f>T1435</f>
        <v>0</v>
      </c>
      <c r="X1435" s="39">
        <f>U1435</f>
        <v>0</v>
      </c>
      <c r="Y1435" s="39">
        <f>V1435</f>
        <v>0</v>
      </c>
      <c r="Z1435" s="29"/>
      <c r="AA1435" s="29"/>
      <c r="AB1435" s="29"/>
      <c r="AC1435" s="29"/>
      <c r="AD1435" s="29"/>
    </row>
    <row r="1436" spans="1:30" s="491" customFormat="1" ht="22.5" hidden="1" customHeight="1">
      <c r="A1436" s="25"/>
      <c r="B1436" s="643"/>
      <c r="C1436" s="513"/>
      <c r="D1436" s="514"/>
      <c r="E1436" s="495"/>
      <c r="F1436" s="715"/>
      <c r="G1436" s="646"/>
      <c r="H1436" s="713"/>
      <c r="I1436" s="716"/>
      <c r="J1436" s="717"/>
      <c r="K1436" s="717"/>
      <c r="L1436" s="717"/>
      <c r="M1436" s="718"/>
      <c r="N1436" s="652"/>
      <c r="O1436" s="653"/>
      <c r="P1436" s="654"/>
      <c r="Q1436" s="661"/>
      <c r="R1436" s="719"/>
      <c r="S1436" s="719"/>
      <c r="T1436" s="719"/>
      <c r="U1436" s="663"/>
      <c r="V1436" s="40"/>
      <c r="W1436" s="41"/>
      <c r="X1436" s="41"/>
      <c r="Y1436" s="41"/>
      <c r="Z1436" s="29"/>
      <c r="AA1436" s="29"/>
      <c r="AB1436" s="29"/>
      <c r="AC1436" s="29"/>
      <c r="AD1436" s="29"/>
    </row>
    <row r="1437" spans="1:30" s="491" customFormat="1" ht="41.25" hidden="1" customHeight="1">
      <c r="A1437" s="25"/>
      <c r="B1437" s="643"/>
      <c r="C1437" s="513"/>
      <c r="D1437" s="514"/>
      <c r="E1437" s="664" t="s">
        <v>29</v>
      </c>
      <c r="F1437" s="720"/>
      <c r="G1437" s="720"/>
      <c r="H1437" s="720"/>
      <c r="I1437" s="720"/>
      <c r="J1437" s="720"/>
      <c r="K1437" s="720"/>
      <c r="L1437" s="720"/>
      <c r="M1437" s="666"/>
      <c r="N1437" s="655"/>
      <c r="O1437" s="656"/>
      <c r="P1437" s="657"/>
      <c r="Q1437" s="667"/>
      <c r="R1437" s="721"/>
      <c r="S1437" s="721"/>
      <c r="T1437" s="721"/>
      <c r="U1437" s="722"/>
      <c r="V1437" s="42"/>
      <c r="W1437" s="41"/>
      <c r="X1437" s="41"/>
      <c r="Y1437" s="41"/>
      <c r="Z1437" s="29"/>
      <c r="AA1437" s="29"/>
      <c r="AB1437" s="29"/>
      <c r="AC1437" s="29"/>
      <c r="AD1437" s="29"/>
    </row>
    <row r="1438" spans="1:30" s="491" customFormat="1" ht="41.25" hidden="1" customHeight="1">
      <c r="A1438" s="25"/>
      <c r="B1438" s="643"/>
      <c r="C1438" s="513">
        <v>1010</v>
      </c>
      <c r="D1438" s="514"/>
      <c r="E1438" s="670" t="s">
        <v>30</v>
      </c>
      <c r="F1438" s="670"/>
      <c r="G1438" s="670"/>
      <c r="H1438" s="670"/>
      <c r="I1438" s="670"/>
      <c r="J1438" s="670"/>
      <c r="K1438" s="670"/>
      <c r="L1438" s="498">
        <v>365.70458000000002</v>
      </c>
      <c r="M1438" s="456">
        <f>L1438</f>
        <v>365.70458000000002</v>
      </c>
      <c r="N1438" s="655"/>
      <c r="O1438" s="656"/>
      <c r="P1438" s="657"/>
      <c r="Q1438" s="671"/>
      <c r="R1438" s="723"/>
      <c r="S1438" s="673"/>
      <c r="T1438" s="497">
        <f>H1435*M1438*N1435*O1435*P1435</f>
        <v>0</v>
      </c>
      <c r="U1438" s="458">
        <f>T1438</f>
        <v>0</v>
      </c>
      <c r="V1438" s="42"/>
      <c r="W1438" s="39"/>
      <c r="X1438" s="41"/>
      <c r="Y1438" s="41"/>
      <c r="Z1438" s="43">
        <f>T1438</f>
        <v>0</v>
      </c>
      <c r="AA1438" s="29"/>
      <c r="AB1438" s="29"/>
      <c r="AC1438" s="29"/>
      <c r="AD1438" s="29"/>
    </row>
    <row r="1439" spans="1:30" s="491" customFormat="1" ht="41.25" hidden="1" customHeight="1">
      <c r="A1439" s="25"/>
      <c r="B1439" s="643"/>
      <c r="C1439" s="513"/>
      <c r="D1439" s="514"/>
      <c r="E1439" s="670" t="s">
        <v>31</v>
      </c>
      <c r="F1439" s="670"/>
      <c r="G1439" s="670"/>
      <c r="H1439" s="670"/>
      <c r="I1439" s="670"/>
      <c r="J1439" s="670"/>
      <c r="K1439" s="670"/>
      <c r="L1439" s="498">
        <f>ROUND((I1435+J1435+K1435)*2.14%,2)</f>
        <v>46.67</v>
      </c>
      <c r="M1439" s="456">
        <f>L1439</f>
        <v>46.67</v>
      </c>
      <c r="N1439" s="655"/>
      <c r="O1439" s="656"/>
      <c r="P1439" s="657"/>
      <c r="Q1439" s="671"/>
      <c r="R1439" s="723"/>
      <c r="S1439" s="673"/>
      <c r="T1439" s="497">
        <f>H1435*M1439*N1435*O1435*P1435</f>
        <v>0</v>
      </c>
      <c r="U1439" s="458">
        <f>T1439</f>
        <v>0</v>
      </c>
      <c r="V1439" s="42"/>
      <c r="W1439" s="41"/>
      <c r="X1439" s="39"/>
      <c r="Y1439" s="41"/>
      <c r="Z1439" s="29"/>
      <c r="AA1439" s="43">
        <f>T1439</f>
        <v>0</v>
      </c>
      <c r="AB1439" s="29"/>
      <c r="AC1439" s="29"/>
      <c r="AD1439" s="29"/>
    </row>
    <row r="1440" spans="1:30" s="491" customFormat="1" ht="41.25" hidden="1" customHeight="1">
      <c r="A1440" s="25"/>
      <c r="B1440" s="643"/>
      <c r="C1440" s="515"/>
      <c r="D1440" s="514"/>
      <c r="E1440" s="670" t="s">
        <v>348</v>
      </c>
      <c r="F1440" s="670"/>
      <c r="G1440" s="670"/>
      <c r="H1440" s="670"/>
      <c r="I1440" s="670"/>
      <c r="J1440" s="670"/>
      <c r="K1440" s="670"/>
      <c r="L1440" s="498">
        <f>ROUND((I1435+J1435+K1435+L1438+L1439+L1443)*3%,2)</f>
        <v>80.8</v>
      </c>
      <c r="M1440" s="459">
        <f>L1440</f>
        <v>80.8</v>
      </c>
      <c r="N1440" s="655"/>
      <c r="O1440" s="656"/>
      <c r="P1440" s="657"/>
      <c r="Q1440" s="671"/>
      <c r="R1440" s="723"/>
      <c r="S1440" s="673"/>
      <c r="T1440" s="497">
        <f>H1435*M1440*N1435*O1435*P1435</f>
        <v>0</v>
      </c>
      <c r="U1440" s="458">
        <f>T1440</f>
        <v>0</v>
      </c>
      <c r="V1440" s="42"/>
      <c r="W1440" s="41"/>
      <c r="X1440" s="41"/>
      <c r="Y1440" s="39"/>
      <c r="Z1440" s="29"/>
      <c r="AA1440" s="29"/>
      <c r="AB1440" s="43">
        <f>T1440</f>
        <v>0</v>
      </c>
      <c r="AC1440" s="29"/>
      <c r="AD1440" s="29"/>
    </row>
    <row r="1441" spans="1:30" s="491" customFormat="1" ht="54.75" hidden="1" customHeight="1">
      <c r="A1441" s="25"/>
      <c r="B1441" s="643"/>
      <c r="C1441" s="515"/>
      <c r="D1441" s="514"/>
      <c r="E1441" s="670" t="s">
        <v>349</v>
      </c>
      <c r="F1441" s="670"/>
      <c r="G1441" s="670"/>
      <c r="H1441" s="670"/>
      <c r="I1441" s="670"/>
      <c r="J1441" s="670"/>
      <c r="K1441" s="670"/>
      <c r="L1441" s="498">
        <f>521.30458-K1435-L1438-L1439-L1443</f>
        <v>0</v>
      </c>
      <c r="M1441" s="459">
        <f>L1441</f>
        <v>0</v>
      </c>
      <c r="N1441" s="655"/>
      <c r="O1441" s="656"/>
      <c r="P1441" s="657"/>
      <c r="Q1441" s="671"/>
      <c r="R1441" s="723"/>
      <c r="S1441" s="673"/>
      <c r="T1441" s="460">
        <f>H1435*M1441*N1435*O1435*P1435</f>
        <v>0</v>
      </c>
      <c r="U1441" s="458">
        <f>T1441</f>
        <v>0</v>
      </c>
      <c r="V1441" s="42"/>
      <c r="W1441" s="41"/>
      <c r="X1441" s="41"/>
      <c r="Y1441" s="41"/>
      <c r="Z1441" s="44"/>
      <c r="AA1441" s="29"/>
      <c r="AB1441" s="29"/>
      <c r="AC1441" s="44">
        <f>T1441</f>
        <v>0</v>
      </c>
      <c r="AD1441" s="29"/>
    </row>
    <row r="1442" spans="1:30" s="491" customFormat="1" ht="24" hidden="1" customHeight="1">
      <c r="A1442" s="25"/>
      <c r="B1442" s="643"/>
      <c r="C1442" s="515"/>
      <c r="D1442" s="514"/>
      <c r="E1442" s="724"/>
      <c r="F1442" s="725"/>
      <c r="G1442" s="725"/>
      <c r="H1442" s="725"/>
      <c r="I1442" s="725"/>
      <c r="J1442" s="725"/>
      <c r="K1442" s="725"/>
      <c r="L1442" s="725"/>
      <c r="M1442" s="726"/>
      <c r="N1442" s="655"/>
      <c r="O1442" s="656"/>
      <c r="P1442" s="657"/>
      <c r="Q1442" s="677"/>
      <c r="R1442" s="727"/>
      <c r="S1442" s="727"/>
      <c r="T1442" s="727"/>
      <c r="U1442" s="679"/>
      <c r="V1442" s="45"/>
      <c r="W1442" s="41"/>
      <c r="X1442" s="41"/>
      <c r="Y1442" s="41"/>
      <c r="Z1442" s="29"/>
      <c r="AA1442" s="44"/>
      <c r="AB1442" s="29"/>
      <c r="AC1442" s="29"/>
      <c r="AD1442" s="29"/>
    </row>
    <row r="1443" spans="1:30" s="491" customFormat="1" ht="45" hidden="1" customHeight="1" thickBot="1">
      <c r="A1443" s="25"/>
      <c r="B1443" s="644"/>
      <c r="C1443" s="516"/>
      <c r="D1443" s="517"/>
      <c r="E1443" s="680" t="s">
        <v>369</v>
      </c>
      <c r="F1443" s="680" t="s">
        <v>306</v>
      </c>
      <c r="G1443" s="680"/>
      <c r="H1443" s="680"/>
      <c r="I1443" s="680"/>
      <c r="J1443" s="680"/>
      <c r="K1443" s="680"/>
      <c r="L1443" s="499">
        <f>ROUND((I1435+J1435+K1435+L1438)*3.93%,2)</f>
        <v>100.08</v>
      </c>
      <c r="M1443" s="46">
        <f>L1443</f>
        <v>100.08</v>
      </c>
      <c r="N1443" s="658"/>
      <c r="O1443" s="659"/>
      <c r="P1443" s="660"/>
      <c r="Q1443" s="681"/>
      <c r="R1443" s="682"/>
      <c r="S1443" s="683"/>
      <c r="T1443" s="385">
        <f>H1435*M1443*N1435*O1435*P1435</f>
        <v>0</v>
      </c>
      <c r="U1443" s="47">
        <f>T1443</f>
        <v>0</v>
      </c>
      <c r="V1443" s="48"/>
      <c r="W1443" s="41"/>
      <c r="X1443" s="41"/>
      <c r="Y1443" s="41"/>
      <c r="Z1443" s="29"/>
      <c r="AA1443" s="29"/>
      <c r="AB1443" s="44"/>
      <c r="AC1443" s="29"/>
      <c r="AD1443" s="44">
        <f>T1443</f>
        <v>0</v>
      </c>
    </row>
    <row r="1444" spans="1:30" s="491" customFormat="1" ht="150" hidden="1" customHeight="1">
      <c r="A1444" s="25"/>
      <c r="B1444" s="642">
        <v>3</v>
      </c>
      <c r="C1444" s="511">
        <v>10</v>
      </c>
      <c r="D1444" s="512"/>
      <c r="E1444" s="493" t="s">
        <v>725</v>
      </c>
      <c r="F1444" s="714" t="s">
        <v>724</v>
      </c>
      <c r="G1444" s="645" t="s">
        <v>357</v>
      </c>
      <c r="H1444" s="712">
        <v>0</v>
      </c>
      <c r="I1444" s="494">
        <v>0</v>
      </c>
      <c r="J1444" s="494">
        <v>2513.46</v>
      </c>
      <c r="K1444" s="494">
        <v>8.85</v>
      </c>
      <c r="L1444" s="494">
        <f>SUM(L1446:L1452)</f>
        <v>625.57762000000002</v>
      </c>
      <c r="M1444" s="33">
        <f>SUM(I1444:L1444)</f>
        <v>3147.88762</v>
      </c>
      <c r="N1444" s="501">
        <v>1</v>
      </c>
      <c r="O1444" s="502">
        <v>1</v>
      </c>
      <c r="P1444" s="37">
        <v>1</v>
      </c>
      <c r="Q1444" s="34">
        <f>H1444*I1444*N1444*O1444*P1444</f>
        <v>0</v>
      </c>
      <c r="R1444" s="35">
        <f>H1444*J1444*N1444*O1444*P1444</f>
        <v>0</v>
      </c>
      <c r="S1444" s="36">
        <f>H1444*K1444*N1444*O1444*P1444</f>
        <v>0</v>
      </c>
      <c r="T1444" s="36">
        <f>H1444*L1444*N1444*O1444*P1444</f>
        <v>0</v>
      </c>
      <c r="U1444" s="37">
        <f>SUM(Q1444:T1444)</f>
        <v>0</v>
      </c>
      <c r="V1444" s="38">
        <f>(Q1444+R1444+S1444+T1448+T1449+T1450+T1452)*'Прогнозная стоимость РСС ИП '!$M$11+T1447*'Прогнозная стоимость РСС ИП '!$M$10</f>
        <v>0</v>
      </c>
      <c r="W1444" s="39">
        <f>T1444</f>
        <v>0</v>
      </c>
      <c r="X1444" s="39">
        <f>U1444</f>
        <v>0</v>
      </c>
      <c r="Y1444" s="39">
        <f>V1444</f>
        <v>0</v>
      </c>
      <c r="Z1444" s="29"/>
      <c r="AA1444" s="29"/>
      <c r="AB1444" s="29"/>
      <c r="AC1444" s="29"/>
      <c r="AD1444" s="29"/>
    </row>
    <row r="1445" spans="1:30" s="491" customFormat="1" ht="22.5" hidden="1" customHeight="1">
      <c r="A1445" s="25"/>
      <c r="B1445" s="643"/>
      <c r="C1445" s="513"/>
      <c r="D1445" s="514"/>
      <c r="E1445" s="495"/>
      <c r="F1445" s="715"/>
      <c r="G1445" s="646"/>
      <c r="H1445" s="713"/>
      <c r="I1445" s="716"/>
      <c r="J1445" s="717"/>
      <c r="K1445" s="717"/>
      <c r="L1445" s="717"/>
      <c r="M1445" s="718"/>
      <c r="N1445" s="652"/>
      <c r="O1445" s="653"/>
      <c r="P1445" s="654"/>
      <c r="Q1445" s="661"/>
      <c r="R1445" s="719"/>
      <c r="S1445" s="719"/>
      <c r="T1445" s="719"/>
      <c r="U1445" s="663"/>
      <c r="V1445" s="40"/>
      <c r="W1445" s="41"/>
      <c r="X1445" s="41"/>
      <c r="Y1445" s="41"/>
      <c r="Z1445" s="29"/>
      <c r="AA1445" s="29"/>
      <c r="AB1445" s="29"/>
      <c r="AC1445" s="29"/>
      <c r="AD1445" s="29"/>
    </row>
    <row r="1446" spans="1:30" s="491" customFormat="1" ht="41.25" hidden="1" customHeight="1">
      <c r="A1446" s="25"/>
      <c r="B1446" s="643"/>
      <c r="C1446" s="513"/>
      <c r="D1446" s="514"/>
      <c r="E1446" s="664" t="s">
        <v>29</v>
      </c>
      <c r="F1446" s="720"/>
      <c r="G1446" s="720"/>
      <c r="H1446" s="720"/>
      <c r="I1446" s="720"/>
      <c r="J1446" s="720"/>
      <c r="K1446" s="720"/>
      <c r="L1446" s="720"/>
      <c r="M1446" s="666"/>
      <c r="N1446" s="655"/>
      <c r="O1446" s="656"/>
      <c r="P1446" s="657"/>
      <c r="Q1446" s="667"/>
      <c r="R1446" s="721"/>
      <c r="S1446" s="721"/>
      <c r="T1446" s="721"/>
      <c r="U1446" s="722"/>
      <c r="V1446" s="42"/>
      <c r="W1446" s="41"/>
      <c r="X1446" s="41"/>
      <c r="Y1446" s="41"/>
      <c r="Z1446" s="29"/>
      <c r="AA1446" s="29"/>
      <c r="AB1446" s="29"/>
      <c r="AC1446" s="29"/>
      <c r="AD1446" s="29"/>
    </row>
    <row r="1447" spans="1:30" s="491" customFormat="1" ht="41.25" hidden="1" customHeight="1">
      <c r="A1447" s="25"/>
      <c r="B1447" s="643"/>
      <c r="C1447" s="513">
        <v>1010</v>
      </c>
      <c r="D1447" s="514"/>
      <c r="E1447" s="670" t="s">
        <v>30</v>
      </c>
      <c r="F1447" s="670"/>
      <c r="G1447" s="670"/>
      <c r="H1447" s="670"/>
      <c r="I1447" s="670"/>
      <c r="J1447" s="670"/>
      <c r="K1447" s="670"/>
      <c r="L1447" s="498">
        <v>366.38762000000003</v>
      </c>
      <c r="M1447" s="456">
        <f>L1447</f>
        <v>366.38762000000003</v>
      </c>
      <c r="N1447" s="655"/>
      <c r="O1447" s="656"/>
      <c r="P1447" s="657"/>
      <c r="Q1447" s="671"/>
      <c r="R1447" s="723"/>
      <c r="S1447" s="673"/>
      <c r="T1447" s="497">
        <f>H1444*M1447*N1444*O1444*P1444</f>
        <v>0</v>
      </c>
      <c r="U1447" s="458">
        <f>T1447</f>
        <v>0</v>
      </c>
      <c r="V1447" s="42"/>
      <c r="W1447" s="39"/>
      <c r="X1447" s="41"/>
      <c r="Y1447" s="41"/>
      <c r="Z1447" s="43">
        <f>T1447</f>
        <v>0</v>
      </c>
      <c r="AA1447" s="29"/>
      <c r="AB1447" s="29"/>
      <c r="AC1447" s="29"/>
      <c r="AD1447" s="29"/>
    </row>
    <row r="1448" spans="1:30" s="491" customFormat="1" ht="41.25" hidden="1" customHeight="1">
      <c r="A1448" s="25"/>
      <c r="B1448" s="643"/>
      <c r="C1448" s="513"/>
      <c r="D1448" s="514"/>
      <c r="E1448" s="670" t="s">
        <v>31</v>
      </c>
      <c r="F1448" s="670"/>
      <c r="G1448" s="670"/>
      <c r="H1448" s="670"/>
      <c r="I1448" s="670"/>
      <c r="J1448" s="670"/>
      <c r="K1448" s="670"/>
      <c r="L1448" s="498">
        <f>ROUND((I1444+J1444+K1444)*2.14%,2)</f>
        <v>53.98</v>
      </c>
      <c r="M1448" s="456">
        <f>L1448</f>
        <v>53.98</v>
      </c>
      <c r="N1448" s="655"/>
      <c r="O1448" s="656"/>
      <c r="P1448" s="657"/>
      <c r="Q1448" s="671"/>
      <c r="R1448" s="723"/>
      <c r="S1448" s="673"/>
      <c r="T1448" s="497">
        <f>H1444*M1448*N1444*O1444*P1444</f>
        <v>0</v>
      </c>
      <c r="U1448" s="458">
        <f>T1448</f>
        <v>0</v>
      </c>
      <c r="V1448" s="42"/>
      <c r="W1448" s="41"/>
      <c r="X1448" s="39"/>
      <c r="Y1448" s="41"/>
      <c r="Z1448" s="29"/>
      <c r="AA1448" s="43">
        <f>T1448</f>
        <v>0</v>
      </c>
      <c r="AB1448" s="29"/>
      <c r="AC1448" s="29"/>
      <c r="AD1448" s="29"/>
    </row>
    <row r="1449" spans="1:30" s="491" customFormat="1" ht="41.25" hidden="1" customHeight="1">
      <c r="A1449" s="25"/>
      <c r="B1449" s="643"/>
      <c r="C1449" s="515"/>
      <c r="D1449" s="514"/>
      <c r="E1449" s="670" t="s">
        <v>348</v>
      </c>
      <c r="F1449" s="670"/>
      <c r="G1449" s="670"/>
      <c r="H1449" s="670"/>
      <c r="I1449" s="670"/>
      <c r="J1449" s="670"/>
      <c r="K1449" s="670"/>
      <c r="L1449" s="498">
        <f>ROUND((I1444+J1444+K1444+L1447+L1448+L1452)*3%,2)-0.01</f>
        <v>91.679999999999993</v>
      </c>
      <c r="M1449" s="459">
        <f>L1449</f>
        <v>91.679999999999993</v>
      </c>
      <c r="N1449" s="655"/>
      <c r="O1449" s="656"/>
      <c r="P1449" s="657"/>
      <c r="Q1449" s="671"/>
      <c r="R1449" s="723"/>
      <c r="S1449" s="673"/>
      <c r="T1449" s="497">
        <f>H1444*M1449*N1444*O1444*P1444</f>
        <v>0</v>
      </c>
      <c r="U1449" s="458">
        <f>T1449</f>
        <v>0</v>
      </c>
      <c r="V1449" s="42"/>
      <c r="W1449" s="41"/>
      <c r="X1449" s="41"/>
      <c r="Y1449" s="39"/>
      <c r="Z1449" s="29"/>
      <c r="AA1449" s="29"/>
      <c r="AB1449" s="43">
        <f>T1449</f>
        <v>0</v>
      </c>
      <c r="AC1449" s="29"/>
      <c r="AD1449" s="29"/>
    </row>
    <row r="1450" spans="1:30" s="491" customFormat="1" ht="54.75" hidden="1" customHeight="1">
      <c r="A1450" s="25"/>
      <c r="B1450" s="643"/>
      <c r="C1450" s="515"/>
      <c r="D1450" s="514"/>
      <c r="E1450" s="670" t="s">
        <v>349</v>
      </c>
      <c r="F1450" s="670"/>
      <c r="G1450" s="670"/>
      <c r="H1450" s="670"/>
      <c r="I1450" s="670"/>
      <c r="J1450" s="670"/>
      <c r="K1450" s="670"/>
      <c r="L1450" s="498">
        <f>542.74762-K1444-L1447-L1448-L1452</f>
        <v>0</v>
      </c>
      <c r="M1450" s="459">
        <f>L1450</f>
        <v>0</v>
      </c>
      <c r="N1450" s="655"/>
      <c r="O1450" s="656"/>
      <c r="P1450" s="657"/>
      <c r="Q1450" s="671"/>
      <c r="R1450" s="723"/>
      <c r="S1450" s="673"/>
      <c r="T1450" s="460">
        <f>H1444*M1450*N1444*O1444*P1444</f>
        <v>0</v>
      </c>
      <c r="U1450" s="458">
        <f>T1450</f>
        <v>0</v>
      </c>
      <c r="V1450" s="42"/>
      <c r="W1450" s="41"/>
      <c r="X1450" s="41"/>
      <c r="Y1450" s="41"/>
      <c r="Z1450" s="44"/>
      <c r="AA1450" s="29"/>
      <c r="AB1450" s="29"/>
      <c r="AC1450" s="44">
        <f>T1450</f>
        <v>0</v>
      </c>
      <c r="AD1450" s="29"/>
    </row>
    <row r="1451" spans="1:30" s="491" customFormat="1" ht="24" hidden="1" customHeight="1">
      <c r="A1451" s="25"/>
      <c r="B1451" s="643"/>
      <c r="C1451" s="515"/>
      <c r="D1451" s="514"/>
      <c r="E1451" s="724"/>
      <c r="F1451" s="725"/>
      <c r="G1451" s="725"/>
      <c r="H1451" s="725"/>
      <c r="I1451" s="725"/>
      <c r="J1451" s="725"/>
      <c r="K1451" s="725"/>
      <c r="L1451" s="725"/>
      <c r="M1451" s="726"/>
      <c r="N1451" s="655"/>
      <c r="O1451" s="656"/>
      <c r="P1451" s="657"/>
      <c r="Q1451" s="677"/>
      <c r="R1451" s="727"/>
      <c r="S1451" s="727"/>
      <c r="T1451" s="727"/>
      <c r="U1451" s="679"/>
      <c r="V1451" s="45"/>
      <c r="W1451" s="41"/>
      <c r="X1451" s="41"/>
      <c r="Y1451" s="41"/>
      <c r="Z1451" s="29"/>
      <c r="AA1451" s="44"/>
      <c r="AB1451" s="29"/>
      <c r="AC1451" s="29"/>
      <c r="AD1451" s="29"/>
    </row>
    <row r="1452" spans="1:30" s="491" customFormat="1" ht="45" hidden="1" customHeight="1" thickBot="1">
      <c r="A1452" s="25"/>
      <c r="B1452" s="644"/>
      <c r="C1452" s="516"/>
      <c r="D1452" s="517"/>
      <c r="E1452" s="680" t="s">
        <v>369</v>
      </c>
      <c r="F1452" s="680" t="s">
        <v>306</v>
      </c>
      <c r="G1452" s="680"/>
      <c r="H1452" s="680"/>
      <c r="I1452" s="680"/>
      <c r="J1452" s="680"/>
      <c r="K1452" s="680"/>
      <c r="L1452" s="499">
        <f>ROUND((I1444+J1444+K1444+L1447)*3.93%,2)</f>
        <v>113.53</v>
      </c>
      <c r="M1452" s="46">
        <f>L1452</f>
        <v>113.53</v>
      </c>
      <c r="N1452" s="658"/>
      <c r="O1452" s="659"/>
      <c r="P1452" s="660"/>
      <c r="Q1452" s="681"/>
      <c r="R1452" s="682"/>
      <c r="S1452" s="683"/>
      <c r="T1452" s="385">
        <f>H1444*M1452*N1444*O1444*P1444</f>
        <v>0</v>
      </c>
      <c r="U1452" s="47">
        <f>T1452</f>
        <v>0</v>
      </c>
      <c r="V1452" s="48"/>
      <c r="W1452" s="41"/>
      <c r="X1452" s="41"/>
      <c r="Y1452" s="41"/>
      <c r="Z1452" s="29"/>
      <c r="AA1452" s="29"/>
      <c r="AB1452" s="44"/>
      <c r="AC1452" s="29"/>
      <c r="AD1452" s="44">
        <f>T1452</f>
        <v>0</v>
      </c>
    </row>
    <row r="1453" spans="1:30" s="491" customFormat="1" ht="150" hidden="1" customHeight="1">
      <c r="A1453" s="25"/>
      <c r="B1453" s="642">
        <v>3</v>
      </c>
      <c r="C1453" s="511">
        <v>10</v>
      </c>
      <c r="D1453" s="512"/>
      <c r="E1453" s="493" t="s">
        <v>726</v>
      </c>
      <c r="F1453" s="714" t="s">
        <v>727</v>
      </c>
      <c r="G1453" s="645" t="s">
        <v>357</v>
      </c>
      <c r="H1453" s="712">
        <v>0</v>
      </c>
      <c r="I1453" s="494">
        <v>0</v>
      </c>
      <c r="J1453" s="494">
        <v>2941.7000000000003</v>
      </c>
      <c r="K1453" s="494">
        <v>8.85</v>
      </c>
      <c r="L1453" s="494">
        <f>SUM(L1455:L1461)</f>
        <v>666.11410000000001</v>
      </c>
      <c r="M1453" s="33">
        <f>SUM(I1453:L1453)</f>
        <v>3616.6641</v>
      </c>
      <c r="N1453" s="501">
        <v>1</v>
      </c>
      <c r="O1453" s="502">
        <v>1</v>
      </c>
      <c r="P1453" s="37">
        <v>1</v>
      </c>
      <c r="Q1453" s="34">
        <f>H1453*I1453*N1453*O1453*P1453</f>
        <v>0</v>
      </c>
      <c r="R1453" s="35">
        <f>H1453*J1453*N1453*O1453*P1453</f>
        <v>0</v>
      </c>
      <c r="S1453" s="36">
        <f>H1453*K1453*N1453*O1453*P1453</f>
        <v>0</v>
      </c>
      <c r="T1453" s="36">
        <f>H1453*L1453*N1453*O1453*P1453</f>
        <v>0</v>
      </c>
      <c r="U1453" s="37">
        <f>SUM(Q1453:T1453)</f>
        <v>0</v>
      </c>
      <c r="V1453" s="38">
        <f>(Q1453+R1453+S1453+T1457+T1458+T1459+T1461)*'Прогнозная стоимость РСС ИП '!$M$11+T1456*'Прогнозная стоимость РСС ИП '!$M$10</f>
        <v>0</v>
      </c>
      <c r="W1453" s="39">
        <f>T1453</f>
        <v>0</v>
      </c>
      <c r="X1453" s="39">
        <f>U1453</f>
        <v>0</v>
      </c>
      <c r="Y1453" s="39">
        <f>V1453</f>
        <v>0</v>
      </c>
      <c r="Z1453" s="29"/>
      <c r="AA1453" s="29"/>
      <c r="AB1453" s="29"/>
      <c r="AC1453" s="29"/>
      <c r="AD1453" s="29"/>
    </row>
    <row r="1454" spans="1:30" s="491" customFormat="1" ht="22.5" hidden="1" customHeight="1">
      <c r="A1454" s="25"/>
      <c r="B1454" s="643"/>
      <c r="C1454" s="513"/>
      <c r="D1454" s="514"/>
      <c r="E1454" s="495"/>
      <c r="F1454" s="715"/>
      <c r="G1454" s="646"/>
      <c r="H1454" s="713"/>
      <c r="I1454" s="716"/>
      <c r="J1454" s="717"/>
      <c r="K1454" s="717"/>
      <c r="L1454" s="717"/>
      <c r="M1454" s="718"/>
      <c r="N1454" s="652"/>
      <c r="O1454" s="653"/>
      <c r="P1454" s="654"/>
      <c r="Q1454" s="661"/>
      <c r="R1454" s="719"/>
      <c r="S1454" s="719"/>
      <c r="T1454" s="719"/>
      <c r="U1454" s="663"/>
      <c r="V1454" s="40"/>
      <c r="W1454" s="41"/>
      <c r="X1454" s="41"/>
      <c r="Y1454" s="41"/>
      <c r="Z1454" s="29"/>
      <c r="AA1454" s="29"/>
      <c r="AB1454" s="29"/>
      <c r="AC1454" s="29"/>
      <c r="AD1454" s="29"/>
    </row>
    <row r="1455" spans="1:30" s="491" customFormat="1" ht="41.25" hidden="1" customHeight="1">
      <c r="A1455" s="25"/>
      <c r="B1455" s="643"/>
      <c r="C1455" s="513"/>
      <c r="D1455" s="514"/>
      <c r="E1455" s="664" t="s">
        <v>29</v>
      </c>
      <c r="F1455" s="720"/>
      <c r="G1455" s="720"/>
      <c r="H1455" s="720"/>
      <c r="I1455" s="720"/>
      <c r="J1455" s="720"/>
      <c r="K1455" s="720"/>
      <c r="L1455" s="720"/>
      <c r="M1455" s="666"/>
      <c r="N1455" s="655"/>
      <c r="O1455" s="656"/>
      <c r="P1455" s="657"/>
      <c r="Q1455" s="667"/>
      <c r="R1455" s="721"/>
      <c r="S1455" s="721"/>
      <c r="T1455" s="721"/>
      <c r="U1455" s="722"/>
      <c r="V1455" s="42"/>
      <c r="W1455" s="41"/>
      <c r="X1455" s="41"/>
      <c r="Y1455" s="41"/>
      <c r="Z1455" s="29"/>
      <c r="AA1455" s="29"/>
      <c r="AB1455" s="29"/>
      <c r="AC1455" s="29"/>
      <c r="AD1455" s="29"/>
    </row>
    <row r="1456" spans="1:30" s="491" customFormat="1" ht="41.25" hidden="1" customHeight="1">
      <c r="A1456" s="25"/>
      <c r="B1456" s="643"/>
      <c r="C1456" s="513">
        <v>1010</v>
      </c>
      <c r="D1456" s="514"/>
      <c r="E1456" s="670" t="s">
        <v>30</v>
      </c>
      <c r="F1456" s="670"/>
      <c r="G1456" s="670"/>
      <c r="H1456" s="670"/>
      <c r="I1456" s="670"/>
      <c r="J1456" s="670"/>
      <c r="K1456" s="670"/>
      <c r="L1456" s="498">
        <v>367.2441</v>
      </c>
      <c r="M1456" s="456">
        <f>L1456</f>
        <v>367.2441</v>
      </c>
      <c r="N1456" s="655"/>
      <c r="O1456" s="656"/>
      <c r="P1456" s="657"/>
      <c r="Q1456" s="671"/>
      <c r="R1456" s="723"/>
      <c r="S1456" s="673"/>
      <c r="T1456" s="497">
        <f>H1453*M1456*N1453*O1453*P1453</f>
        <v>0</v>
      </c>
      <c r="U1456" s="458">
        <f>T1456</f>
        <v>0</v>
      </c>
      <c r="V1456" s="42"/>
      <c r="W1456" s="39"/>
      <c r="X1456" s="41"/>
      <c r="Y1456" s="41"/>
      <c r="Z1456" s="43">
        <f>T1456</f>
        <v>0</v>
      </c>
      <c r="AA1456" s="29"/>
      <c r="AB1456" s="29"/>
      <c r="AC1456" s="29"/>
      <c r="AD1456" s="29"/>
    </row>
    <row r="1457" spans="1:30" s="491" customFormat="1" ht="41.25" hidden="1" customHeight="1">
      <c r="A1457" s="25"/>
      <c r="B1457" s="643"/>
      <c r="C1457" s="513"/>
      <c r="D1457" s="514"/>
      <c r="E1457" s="670" t="s">
        <v>31</v>
      </c>
      <c r="F1457" s="670"/>
      <c r="G1457" s="670"/>
      <c r="H1457" s="670"/>
      <c r="I1457" s="670"/>
      <c r="J1457" s="670"/>
      <c r="K1457" s="670"/>
      <c r="L1457" s="498">
        <f>ROUND((I1453+J1453+K1453)*2.14%,2)</f>
        <v>63.14</v>
      </c>
      <c r="M1457" s="456">
        <f>L1457</f>
        <v>63.14</v>
      </c>
      <c r="N1457" s="655"/>
      <c r="O1457" s="656"/>
      <c r="P1457" s="657"/>
      <c r="Q1457" s="671"/>
      <c r="R1457" s="723"/>
      <c r="S1457" s="673"/>
      <c r="T1457" s="497">
        <f>H1453*M1457*N1453*O1453*P1453</f>
        <v>0</v>
      </c>
      <c r="U1457" s="458">
        <f>T1457</f>
        <v>0</v>
      </c>
      <c r="V1457" s="42"/>
      <c r="W1457" s="41"/>
      <c r="X1457" s="39"/>
      <c r="Y1457" s="41"/>
      <c r="Z1457" s="29"/>
      <c r="AA1457" s="43">
        <f>T1457</f>
        <v>0</v>
      </c>
      <c r="AB1457" s="29"/>
      <c r="AC1457" s="29"/>
      <c r="AD1457" s="29"/>
    </row>
    <row r="1458" spans="1:30" s="491" customFormat="1" ht="41.25" hidden="1" customHeight="1">
      <c r="A1458" s="25"/>
      <c r="B1458" s="643"/>
      <c r="C1458" s="515"/>
      <c r="D1458" s="514"/>
      <c r="E1458" s="670" t="s">
        <v>348</v>
      </c>
      <c r="F1458" s="670"/>
      <c r="G1458" s="670"/>
      <c r="H1458" s="670"/>
      <c r="I1458" s="670"/>
      <c r="J1458" s="670"/>
      <c r="K1458" s="670"/>
      <c r="L1458" s="498">
        <f>ROUND((I1453+J1453+K1453+L1456+L1457+L1461)*3%,2)</f>
        <v>105.34</v>
      </c>
      <c r="M1458" s="459">
        <f>L1458</f>
        <v>105.34</v>
      </c>
      <c r="N1458" s="655"/>
      <c r="O1458" s="656"/>
      <c r="P1458" s="657"/>
      <c r="Q1458" s="671"/>
      <c r="R1458" s="723"/>
      <c r="S1458" s="673"/>
      <c r="T1458" s="497">
        <f>H1453*M1458*N1453*O1453*P1453</f>
        <v>0</v>
      </c>
      <c r="U1458" s="458">
        <f>T1458</f>
        <v>0</v>
      </c>
      <c r="V1458" s="42"/>
      <c r="W1458" s="41"/>
      <c r="X1458" s="41"/>
      <c r="Y1458" s="39"/>
      <c r="Z1458" s="29"/>
      <c r="AA1458" s="29"/>
      <c r="AB1458" s="43">
        <f>T1458</f>
        <v>0</v>
      </c>
      <c r="AC1458" s="29"/>
      <c r="AD1458" s="29"/>
    </row>
    <row r="1459" spans="1:30" s="491" customFormat="1" ht="54.75" hidden="1" customHeight="1">
      <c r="A1459" s="25"/>
      <c r="B1459" s="643"/>
      <c r="C1459" s="515"/>
      <c r="D1459" s="514"/>
      <c r="E1459" s="670" t="s">
        <v>349</v>
      </c>
      <c r="F1459" s="670"/>
      <c r="G1459" s="670"/>
      <c r="H1459" s="670"/>
      <c r="I1459" s="670"/>
      <c r="J1459" s="670"/>
      <c r="K1459" s="670"/>
      <c r="L1459" s="498">
        <f>569.6241-K1453-L1456-L1457-L1461</f>
        <v>0</v>
      </c>
      <c r="M1459" s="459">
        <f>L1459</f>
        <v>0</v>
      </c>
      <c r="N1459" s="655"/>
      <c r="O1459" s="656"/>
      <c r="P1459" s="657"/>
      <c r="Q1459" s="671"/>
      <c r="R1459" s="723"/>
      <c r="S1459" s="673"/>
      <c r="T1459" s="460">
        <f>H1453*M1459*N1453*O1453*P1453</f>
        <v>0</v>
      </c>
      <c r="U1459" s="458">
        <f>T1459</f>
        <v>0</v>
      </c>
      <c r="V1459" s="42"/>
      <c r="W1459" s="41"/>
      <c r="X1459" s="41"/>
      <c r="Y1459" s="41"/>
      <c r="Z1459" s="44"/>
      <c r="AA1459" s="29"/>
      <c r="AB1459" s="29"/>
      <c r="AC1459" s="44">
        <f>T1459</f>
        <v>0</v>
      </c>
      <c r="AD1459" s="29"/>
    </row>
    <row r="1460" spans="1:30" s="491" customFormat="1" ht="24" hidden="1" customHeight="1">
      <c r="A1460" s="25"/>
      <c r="B1460" s="643"/>
      <c r="C1460" s="515"/>
      <c r="D1460" s="514"/>
      <c r="E1460" s="724"/>
      <c r="F1460" s="725"/>
      <c r="G1460" s="725"/>
      <c r="H1460" s="725"/>
      <c r="I1460" s="725"/>
      <c r="J1460" s="725"/>
      <c r="K1460" s="725"/>
      <c r="L1460" s="725"/>
      <c r="M1460" s="726"/>
      <c r="N1460" s="655"/>
      <c r="O1460" s="656"/>
      <c r="P1460" s="657"/>
      <c r="Q1460" s="677"/>
      <c r="R1460" s="727"/>
      <c r="S1460" s="727"/>
      <c r="T1460" s="727"/>
      <c r="U1460" s="679"/>
      <c r="V1460" s="45"/>
      <c r="W1460" s="41"/>
      <c r="X1460" s="41"/>
      <c r="Y1460" s="41"/>
      <c r="Z1460" s="29"/>
      <c r="AA1460" s="44"/>
      <c r="AB1460" s="29"/>
      <c r="AC1460" s="29"/>
      <c r="AD1460" s="29"/>
    </row>
    <row r="1461" spans="1:30" s="491" customFormat="1" ht="45" hidden="1" customHeight="1" thickBot="1">
      <c r="A1461" s="25"/>
      <c r="B1461" s="644"/>
      <c r="C1461" s="516"/>
      <c r="D1461" s="517"/>
      <c r="E1461" s="680" t="s">
        <v>369</v>
      </c>
      <c r="F1461" s="680" t="s">
        <v>306</v>
      </c>
      <c r="G1461" s="680"/>
      <c r="H1461" s="680"/>
      <c r="I1461" s="680"/>
      <c r="J1461" s="680"/>
      <c r="K1461" s="680"/>
      <c r="L1461" s="499">
        <f>ROUND((I1453+J1453+K1453+L1456)*3.93%,2)</f>
        <v>130.38999999999999</v>
      </c>
      <c r="M1461" s="46">
        <f>L1461</f>
        <v>130.38999999999999</v>
      </c>
      <c r="N1461" s="658"/>
      <c r="O1461" s="659"/>
      <c r="P1461" s="660"/>
      <c r="Q1461" s="681"/>
      <c r="R1461" s="682"/>
      <c r="S1461" s="683"/>
      <c r="T1461" s="385">
        <f>H1453*M1461*N1453*O1453*P1453</f>
        <v>0</v>
      </c>
      <c r="U1461" s="47">
        <f>T1461</f>
        <v>0</v>
      </c>
      <c r="V1461" s="48"/>
      <c r="W1461" s="41"/>
      <c r="X1461" s="41"/>
      <c r="Y1461" s="41"/>
      <c r="Z1461" s="29"/>
      <c r="AA1461" s="29"/>
      <c r="AB1461" s="44"/>
      <c r="AC1461" s="29"/>
      <c r="AD1461" s="44">
        <f>T1461</f>
        <v>0</v>
      </c>
    </row>
    <row r="1462" spans="1:30" s="491" customFormat="1" ht="150" hidden="1" customHeight="1">
      <c r="A1462" s="25"/>
      <c r="B1462" s="642">
        <v>3</v>
      </c>
      <c r="C1462" s="511">
        <v>10</v>
      </c>
      <c r="D1462" s="512"/>
      <c r="E1462" s="493" t="s">
        <v>728</v>
      </c>
      <c r="F1462" s="714" t="s">
        <v>729</v>
      </c>
      <c r="G1462" s="645" t="s">
        <v>357</v>
      </c>
      <c r="H1462" s="712">
        <v>0</v>
      </c>
      <c r="I1462" s="494">
        <v>0</v>
      </c>
      <c r="J1462" s="494">
        <v>3246.02</v>
      </c>
      <c r="K1462" s="494">
        <v>8.85</v>
      </c>
      <c r="L1462" s="494">
        <f>SUM(L1464:L1470)</f>
        <v>694.91273999999999</v>
      </c>
      <c r="M1462" s="33">
        <f>SUM(I1462:L1462)</f>
        <v>3949.7827399999996</v>
      </c>
      <c r="N1462" s="501">
        <v>1</v>
      </c>
      <c r="O1462" s="502">
        <v>1</v>
      </c>
      <c r="P1462" s="37">
        <v>1</v>
      </c>
      <c r="Q1462" s="34">
        <f>H1462*I1462*N1462*O1462*P1462</f>
        <v>0</v>
      </c>
      <c r="R1462" s="35">
        <f>H1462*J1462*N1462*O1462*P1462</f>
        <v>0</v>
      </c>
      <c r="S1462" s="36">
        <f>H1462*K1462*N1462*O1462*P1462</f>
        <v>0</v>
      </c>
      <c r="T1462" s="36">
        <f>H1462*L1462*N1462*O1462*P1462</f>
        <v>0</v>
      </c>
      <c r="U1462" s="37">
        <f>SUM(Q1462:T1462)</f>
        <v>0</v>
      </c>
      <c r="V1462" s="38">
        <f>(Q1462+R1462+S1462+T1466+T1467+T1468+T1470)*'Прогнозная стоимость РСС ИП '!$M$11+T1465*'Прогнозная стоимость РСС ИП '!$M$10</f>
        <v>0</v>
      </c>
      <c r="W1462" s="39">
        <f>T1462</f>
        <v>0</v>
      </c>
      <c r="X1462" s="39">
        <f>U1462</f>
        <v>0</v>
      </c>
      <c r="Y1462" s="39">
        <f>V1462</f>
        <v>0</v>
      </c>
      <c r="Z1462" s="29"/>
      <c r="AA1462" s="29"/>
      <c r="AB1462" s="29"/>
      <c r="AC1462" s="29"/>
      <c r="AD1462" s="29"/>
    </row>
    <row r="1463" spans="1:30" s="491" customFormat="1" ht="22.5" hidden="1" customHeight="1">
      <c r="A1463" s="25"/>
      <c r="B1463" s="643"/>
      <c r="C1463" s="513"/>
      <c r="D1463" s="514"/>
      <c r="E1463" s="495"/>
      <c r="F1463" s="715"/>
      <c r="G1463" s="646"/>
      <c r="H1463" s="713"/>
      <c r="I1463" s="716"/>
      <c r="J1463" s="717"/>
      <c r="K1463" s="717"/>
      <c r="L1463" s="717"/>
      <c r="M1463" s="718"/>
      <c r="N1463" s="652"/>
      <c r="O1463" s="653"/>
      <c r="P1463" s="654"/>
      <c r="Q1463" s="661"/>
      <c r="R1463" s="719"/>
      <c r="S1463" s="719"/>
      <c r="T1463" s="719"/>
      <c r="U1463" s="663"/>
      <c r="V1463" s="40"/>
      <c r="W1463" s="41"/>
      <c r="X1463" s="41"/>
      <c r="Y1463" s="41"/>
      <c r="Z1463" s="29"/>
      <c r="AA1463" s="29"/>
      <c r="AB1463" s="29"/>
      <c r="AC1463" s="29"/>
      <c r="AD1463" s="29"/>
    </row>
    <row r="1464" spans="1:30" s="491" customFormat="1" ht="41.25" hidden="1" customHeight="1">
      <c r="A1464" s="25"/>
      <c r="B1464" s="643"/>
      <c r="C1464" s="513"/>
      <c r="D1464" s="514"/>
      <c r="E1464" s="664" t="s">
        <v>29</v>
      </c>
      <c r="F1464" s="720"/>
      <c r="G1464" s="720"/>
      <c r="H1464" s="720"/>
      <c r="I1464" s="720"/>
      <c r="J1464" s="720"/>
      <c r="K1464" s="720"/>
      <c r="L1464" s="720"/>
      <c r="M1464" s="666"/>
      <c r="N1464" s="655"/>
      <c r="O1464" s="656"/>
      <c r="P1464" s="657"/>
      <c r="Q1464" s="667"/>
      <c r="R1464" s="721"/>
      <c r="S1464" s="721"/>
      <c r="T1464" s="721"/>
      <c r="U1464" s="722"/>
      <c r="V1464" s="42"/>
      <c r="W1464" s="41"/>
      <c r="X1464" s="41"/>
      <c r="Y1464" s="41"/>
      <c r="Z1464" s="29"/>
      <c r="AA1464" s="29"/>
      <c r="AB1464" s="29"/>
      <c r="AC1464" s="29"/>
      <c r="AD1464" s="29"/>
    </row>
    <row r="1465" spans="1:30" s="491" customFormat="1" ht="41.25" hidden="1" customHeight="1">
      <c r="A1465" s="25"/>
      <c r="B1465" s="643"/>
      <c r="C1465" s="513">
        <v>1010</v>
      </c>
      <c r="D1465" s="514"/>
      <c r="E1465" s="670" t="s">
        <v>30</v>
      </c>
      <c r="F1465" s="670"/>
      <c r="G1465" s="670"/>
      <c r="H1465" s="670"/>
      <c r="I1465" s="670"/>
      <c r="J1465" s="670"/>
      <c r="K1465" s="670"/>
      <c r="L1465" s="498">
        <v>367.85274000000004</v>
      </c>
      <c r="M1465" s="456">
        <f>L1465</f>
        <v>367.85274000000004</v>
      </c>
      <c r="N1465" s="655"/>
      <c r="O1465" s="656"/>
      <c r="P1465" s="657"/>
      <c r="Q1465" s="671"/>
      <c r="R1465" s="723"/>
      <c r="S1465" s="673"/>
      <c r="T1465" s="497">
        <f>H1462*M1465*N1462*O1462*P1462</f>
        <v>0</v>
      </c>
      <c r="U1465" s="458">
        <f>T1465</f>
        <v>0</v>
      </c>
      <c r="V1465" s="42"/>
      <c r="W1465" s="39"/>
      <c r="X1465" s="41"/>
      <c r="Y1465" s="41"/>
      <c r="Z1465" s="43">
        <f>T1465</f>
        <v>0</v>
      </c>
      <c r="AA1465" s="29"/>
      <c r="AB1465" s="29"/>
      <c r="AC1465" s="29"/>
      <c r="AD1465" s="29"/>
    </row>
    <row r="1466" spans="1:30" s="491" customFormat="1" ht="41.25" hidden="1" customHeight="1">
      <c r="A1466" s="25"/>
      <c r="B1466" s="643"/>
      <c r="C1466" s="513"/>
      <c r="D1466" s="514"/>
      <c r="E1466" s="670" t="s">
        <v>31</v>
      </c>
      <c r="F1466" s="670"/>
      <c r="G1466" s="670"/>
      <c r="H1466" s="670"/>
      <c r="I1466" s="670"/>
      <c r="J1466" s="670"/>
      <c r="K1466" s="670"/>
      <c r="L1466" s="498">
        <f>ROUND((I1462+J1462+K1462)*2.14%,2)</f>
        <v>69.650000000000006</v>
      </c>
      <c r="M1466" s="456">
        <f>L1466</f>
        <v>69.650000000000006</v>
      </c>
      <c r="N1466" s="655"/>
      <c r="O1466" s="656"/>
      <c r="P1466" s="657"/>
      <c r="Q1466" s="671"/>
      <c r="R1466" s="723"/>
      <c r="S1466" s="673"/>
      <c r="T1466" s="497">
        <f>H1462*M1466*N1462*O1462*P1462</f>
        <v>0</v>
      </c>
      <c r="U1466" s="458">
        <f>T1466</f>
        <v>0</v>
      </c>
      <c r="V1466" s="42"/>
      <c r="W1466" s="41"/>
      <c r="X1466" s="39"/>
      <c r="Y1466" s="41"/>
      <c r="Z1466" s="29"/>
      <c r="AA1466" s="43">
        <f>T1466</f>
        <v>0</v>
      </c>
      <c r="AB1466" s="29"/>
      <c r="AC1466" s="29"/>
      <c r="AD1466" s="29"/>
    </row>
    <row r="1467" spans="1:30" s="491" customFormat="1" ht="41.25" hidden="1" customHeight="1">
      <c r="A1467" s="25"/>
      <c r="B1467" s="643"/>
      <c r="C1467" s="515"/>
      <c r="D1467" s="514"/>
      <c r="E1467" s="670" t="s">
        <v>348</v>
      </c>
      <c r="F1467" s="670"/>
      <c r="G1467" s="670"/>
      <c r="H1467" s="670"/>
      <c r="I1467" s="670"/>
      <c r="J1467" s="670"/>
      <c r="K1467" s="670"/>
      <c r="L1467" s="498">
        <f>ROUND((I1462+J1462+K1462+L1465+L1466+L1470)*3%,2)</f>
        <v>115.04</v>
      </c>
      <c r="M1467" s="459">
        <f>L1467</f>
        <v>115.04</v>
      </c>
      <c r="N1467" s="655"/>
      <c r="O1467" s="656"/>
      <c r="P1467" s="657"/>
      <c r="Q1467" s="671"/>
      <c r="R1467" s="723"/>
      <c r="S1467" s="673"/>
      <c r="T1467" s="497">
        <f>H1462*M1467*N1462*O1462*P1462</f>
        <v>0</v>
      </c>
      <c r="U1467" s="458">
        <f>T1467</f>
        <v>0</v>
      </c>
      <c r="V1467" s="42"/>
      <c r="W1467" s="41"/>
      <c r="X1467" s="41"/>
      <c r="Y1467" s="39"/>
      <c r="Z1467" s="29"/>
      <c r="AA1467" s="29"/>
      <c r="AB1467" s="43">
        <f>T1467</f>
        <v>0</v>
      </c>
      <c r="AC1467" s="29"/>
      <c r="AD1467" s="29"/>
    </row>
    <row r="1468" spans="1:30" s="491" customFormat="1" ht="54.75" hidden="1" customHeight="1">
      <c r="A1468" s="25"/>
      <c r="B1468" s="643"/>
      <c r="C1468" s="515"/>
      <c r="D1468" s="514"/>
      <c r="E1468" s="670" t="s">
        <v>349</v>
      </c>
      <c r="F1468" s="670"/>
      <c r="G1468" s="670"/>
      <c r="H1468" s="670"/>
      <c r="I1468" s="670"/>
      <c r="J1468" s="670"/>
      <c r="K1468" s="670"/>
      <c r="L1468" s="498">
        <f>588.72274-K1462-L1465-L1466-L1470</f>
        <v>0</v>
      </c>
      <c r="M1468" s="459">
        <f>L1468</f>
        <v>0</v>
      </c>
      <c r="N1468" s="655"/>
      <c r="O1468" s="656"/>
      <c r="P1468" s="657"/>
      <c r="Q1468" s="671"/>
      <c r="R1468" s="723"/>
      <c r="S1468" s="673"/>
      <c r="T1468" s="460">
        <f>H1462*M1468*N1462*O1462*P1462</f>
        <v>0</v>
      </c>
      <c r="U1468" s="458">
        <f>T1468</f>
        <v>0</v>
      </c>
      <c r="V1468" s="42"/>
      <c r="W1468" s="41"/>
      <c r="X1468" s="41"/>
      <c r="Y1468" s="41"/>
      <c r="Z1468" s="44"/>
      <c r="AA1468" s="29"/>
      <c r="AB1468" s="29"/>
      <c r="AC1468" s="44">
        <f>T1468</f>
        <v>0</v>
      </c>
      <c r="AD1468" s="29"/>
    </row>
    <row r="1469" spans="1:30" s="491" customFormat="1" ht="24" hidden="1" customHeight="1">
      <c r="A1469" s="25"/>
      <c r="B1469" s="643"/>
      <c r="C1469" s="515"/>
      <c r="D1469" s="514"/>
      <c r="E1469" s="724"/>
      <c r="F1469" s="725"/>
      <c r="G1469" s="725"/>
      <c r="H1469" s="725"/>
      <c r="I1469" s="725"/>
      <c r="J1469" s="725"/>
      <c r="K1469" s="725"/>
      <c r="L1469" s="725"/>
      <c r="M1469" s="726"/>
      <c r="N1469" s="655"/>
      <c r="O1469" s="656"/>
      <c r="P1469" s="657"/>
      <c r="Q1469" s="677"/>
      <c r="R1469" s="727"/>
      <c r="S1469" s="727"/>
      <c r="T1469" s="727"/>
      <c r="U1469" s="679"/>
      <c r="V1469" s="45"/>
      <c r="W1469" s="41"/>
      <c r="X1469" s="41"/>
      <c r="Y1469" s="41"/>
      <c r="Z1469" s="29"/>
      <c r="AA1469" s="44"/>
      <c r="AB1469" s="29"/>
      <c r="AC1469" s="29"/>
      <c r="AD1469" s="29"/>
    </row>
    <row r="1470" spans="1:30" s="491" customFormat="1" ht="45" hidden="1" customHeight="1" thickBot="1">
      <c r="A1470" s="25"/>
      <c r="B1470" s="644"/>
      <c r="C1470" s="516"/>
      <c r="D1470" s="517"/>
      <c r="E1470" s="680" t="s">
        <v>369</v>
      </c>
      <c r="F1470" s="680" t="s">
        <v>306</v>
      </c>
      <c r="G1470" s="680"/>
      <c r="H1470" s="680"/>
      <c r="I1470" s="680"/>
      <c r="J1470" s="680"/>
      <c r="K1470" s="680"/>
      <c r="L1470" s="499">
        <f>ROUND((I1462+J1462+K1462+L1465)*3.93%,2)</f>
        <v>142.37</v>
      </c>
      <c r="M1470" s="46">
        <f>L1470</f>
        <v>142.37</v>
      </c>
      <c r="N1470" s="658"/>
      <c r="O1470" s="659"/>
      <c r="P1470" s="660"/>
      <c r="Q1470" s="681"/>
      <c r="R1470" s="682"/>
      <c r="S1470" s="683"/>
      <c r="T1470" s="385">
        <f>H1462*M1470*N1462*O1462*P1462</f>
        <v>0</v>
      </c>
      <c r="U1470" s="47">
        <f>T1470</f>
        <v>0</v>
      </c>
      <c r="V1470" s="48"/>
      <c r="W1470" s="41"/>
      <c r="X1470" s="41"/>
      <c r="Y1470" s="41"/>
      <c r="Z1470" s="29"/>
      <c r="AA1470" s="29"/>
      <c r="AB1470" s="44"/>
      <c r="AC1470" s="29"/>
      <c r="AD1470" s="44">
        <f>T1470</f>
        <v>0</v>
      </c>
    </row>
    <row r="1471" spans="1:30" s="491" customFormat="1" ht="150" hidden="1" customHeight="1">
      <c r="A1471" s="25"/>
      <c r="B1471" s="642">
        <v>3</v>
      </c>
      <c r="C1471" s="511">
        <v>10</v>
      </c>
      <c r="D1471" s="512"/>
      <c r="E1471" s="493" t="s">
        <v>372</v>
      </c>
      <c r="F1471" s="714" t="s">
        <v>363</v>
      </c>
      <c r="G1471" s="645" t="s">
        <v>357</v>
      </c>
      <c r="H1471" s="712">
        <v>0</v>
      </c>
      <c r="I1471" s="494">
        <v>0</v>
      </c>
      <c r="J1471" s="494">
        <v>3608.08</v>
      </c>
      <c r="K1471" s="494">
        <v>8.85</v>
      </c>
      <c r="L1471" s="494">
        <f>SUM(L1473:L1479)</f>
        <v>729.19686000000002</v>
      </c>
      <c r="M1471" s="33">
        <f>SUM(I1471:L1471)</f>
        <v>4346.1268600000003</v>
      </c>
      <c r="N1471" s="501">
        <v>1</v>
      </c>
      <c r="O1471" s="502">
        <v>1</v>
      </c>
      <c r="P1471" s="37">
        <v>1</v>
      </c>
      <c r="Q1471" s="34">
        <f>H1471*I1471*N1471*O1471*P1471</f>
        <v>0</v>
      </c>
      <c r="R1471" s="35">
        <f>H1471*J1471*N1471*O1471*P1471</f>
        <v>0</v>
      </c>
      <c r="S1471" s="36">
        <f>H1471*K1471*N1471*O1471*P1471</f>
        <v>0</v>
      </c>
      <c r="T1471" s="36">
        <f>H1471*L1471*N1471*O1471*P1471</f>
        <v>0</v>
      </c>
      <c r="U1471" s="37">
        <f>SUM(Q1471:T1471)</f>
        <v>0</v>
      </c>
      <c r="V1471" s="38">
        <f>(Q1471+R1471+S1471+T1475+T1476+T1477+T1479)*'Прогнозная стоимость РСС ИП '!$M$11+T1474*'Прогнозная стоимость РСС ИП '!$M$10</f>
        <v>0</v>
      </c>
      <c r="W1471" s="39">
        <f>T1471</f>
        <v>0</v>
      </c>
      <c r="X1471" s="39">
        <f>U1471</f>
        <v>0</v>
      </c>
      <c r="Y1471" s="39">
        <f>V1471</f>
        <v>0</v>
      </c>
      <c r="Z1471" s="29"/>
      <c r="AA1471" s="29"/>
      <c r="AB1471" s="29"/>
      <c r="AC1471" s="29"/>
      <c r="AD1471" s="29"/>
    </row>
    <row r="1472" spans="1:30" s="491" customFormat="1" ht="22.5" hidden="1" customHeight="1">
      <c r="A1472" s="25"/>
      <c r="B1472" s="643"/>
      <c r="C1472" s="513"/>
      <c r="D1472" s="514"/>
      <c r="E1472" s="495"/>
      <c r="F1472" s="715"/>
      <c r="G1472" s="646"/>
      <c r="H1472" s="713"/>
      <c r="I1472" s="716"/>
      <c r="J1472" s="717"/>
      <c r="K1472" s="717"/>
      <c r="L1472" s="717"/>
      <c r="M1472" s="718"/>
      <c r="N1472" s="652"/>
      <c r="O1472" s="653"/>
      <c r="P1472" s="654"/>
      <c r="Q1472" s="661"/>
      <c r="R1472" s="719"/>
      <c r="S1472" s="719"/>
      <c r="T1472" s="719"/>
      <c r="U1472" s="663"/>
      <c r="V1472" s="40"/>
      <c r="W1472" s="41"/>
      <c r="X1472" s="41"/>
      <c r="Y1472" s="41"/>
      <c r="Z1472" s="29"/>
      <c r="AA1472" s="29"/>
      <c r="AB1472" s="29"/>
      <c r="AC1472" s="29"/>
      <c r="AD1472" s="29"/>
    </row>
    <row r="1473" spans="1:30" s="491" customFormat="1" ht="41.25" hidden="1" customHeight="1">
      <c r="A1473" s="25"/>
      <c r="B1473" s="643"/>
      <c r="C1473" s="513"/>
      <c r="D1473" s="514"/>
      <c r="E1473" s="664" t="s">
        <v>29</v>
      </c>
      <c r="F1473" s="720"/>
      <c r="G1473" s="720"/>
      <c r="H1473" s="720"/>
      <c r="I1473" s="720"/>
      <c r="J1473" s="720"/>
      <c r="K1473" s="720"/>
      <c r="L1473" s="720"/>
      <c r="M1473" s="666"/>
      <c r="N1473" s="655"/>
      <c r="O1473" s="656"/>
      <c r="P1473" s="657"/>
      <c r="Q1473" s="667"/>
      <c r="R1473" s="721"/>
      <c r="S1473" s="721"/>
      <c r="T1473" s="721"/>
      <c r="U1473" s="722"/>
      <c r="V1473" s="42"/>
      <c r="W1473" s="41"/>
      <c r="X1473" s="41"/>
      <c r="Y1473" s="41"/>
      <c r="Z1473" s="29"/>
      <c r="AA1473" s="29"/>
      <c r="AB1473" s="29"/>
      <c r="AC1473" s="29"/>
      <c r="AD1473" s="29"/>
    </row>
    <row r="1474" spans="1:30" s="491" customFormat="1" ht="41.25" hidden="1" customHeight="1">
      <c r="A1474" s="25"/>
      <c r="B1474" s="643"/>
      <c r="C1474" s="513">
        <v>1010</v>
      </c>
      <c r="D1474" s="514"/>
      <c r="E1474" s="670" t="s">
        <v>30</v>
      </c>
      <c r="F1474" s="670"/>
      <c r="G1474" s="670"/>
      <c r="H1474" s="670"/>
      <c r="I1474" s="670"/>
      <c r="J1474" s="670"/>
      <c r="K1474" s="670"/>
      <c r="L1474" s="498">
        <v>368.57686000000001</v>
      </c>
      <c r="M1474" s="456">
        <f>L1474</f>
        <v>368.57686000000001</v>
      </c>
      <c r="N1474" s="655"/>
      <c r="O1474" s="656"/>
      <c r="P1474" s="657"/>
      <c r="Q1474" s="671"/>
      <c r="R1474" s="723"/>
      <c r="S1474" s="673"/>
      <c r="T1474" s="497">
        <f>H1471*M1474*N1471*O1471*P1471</f>
        <v>0</v>
      </c>
      <c r="U1474" s="458">
        <f>T1474</f>
        <v>0</v>
      </c>
      <c r="V1474" s="42"/>
      <c r="W1474" s="39"/>
      <c r="X1474" s="41"/>
      <c r="Y1474" s="41"/>
      <c r="Z1474" s="43">
        <f>T1474</f>
        <v>0</v>
      </c>
      <c r="AA1474" s="29"/>
      <c r="AB1474" s="29"/>
      <c r="AC1474" s="29"/>
      <c r="AD1474" s="29"/>
    </row>
    <row r="1475" spans="1:30" s="491" customFormat="1" ht="41.25" hidden="1" customHeight="1">
      <c r="A1475" s="25"/>
      <c r="B1475" s="643"/>
      <c r="C1475" s="513"/>
      <c r="D1475" s="514"/>
      <c r="E1475" s="670" t="s">
        <v>31</v>
      </c>
      <c r="F1475" s="670"/>
      <c r="G1475" s="670"/>
      <c r="H1475" s="670"/>
      <c r="I1475" s="670"/>
      <c r="J1475" s="670"/>
      <c r="K1475" s="670"/>
      <c r="L1475" s="498">
        <f>ROUND((I1471+J1471+K1471)*2.14%,2)</f>
        <v>77.400000000000006</v>
      </c>
      <c r="M1475" s="456">
        <f>L1475</f>
        <v>77.400000000000006</v>
      </c>
      <c r="N1475" s="655"/>
      <c r="O1475" s="656"/>
      <c r="P1475" s="657"/>
      <c r="Q1475" s="671"/>
      <c r="R1475" s="723"/>
      <c r="S1475" s="673"/>
      <c r="T1475" s="497">
        <f>H1471*M1475*N1471*O1471*P1471</f>
        <v>0</v>
      </c>
      <c r="U1475" s="458">
        <f>T1475</f>
        <v>0</v>
      </c>
      <c r="V1475" s="42"/>
      <c r="W1475" s="41"/>
      <c r="X1475" s="39"/>
      <c r="Y1475" s="41"/>
      <c r="Z1475" s="29"/>
      <c r="AA1475" s="43">
        <f>T1475</f>
        <v>0</v>
      </c>
      <c r="AB1475" s="29"/>
      <c r="AC1475" s="29"/>
      <c r="AD1475" s="29"/>
    </row>
    <row r="1476" spans="1:30" s="491" customFormat="1" ht="41.25" hidden="1" customHeight="1">
      <c r="A1476" s="25"/>
      <c r="B1476" s="643"/>
      <c r="C1476" s="515"/>
      <c r="D1476" s="514"/>
      <c r="E1476" s="670" t="s">
        <v>348</v>
      </c>
      <c r="F1476" s="670"/>
      <c r="G1476" s="670"/>
      <c r="H1476" s="670"/>
      <c r="I1476" s="670"/>
      <c r="J1476" s="670"/>
      <c r="K1476" s="670"/>
      <c r="L1476" s="498">
        <f>ROUND((I1471+J1471+K1471+L1474+L1475+L1479)*3%,2)</f>
        <v>126.59</v>
      </c>
      <c r="M1476" s="459">
        <f>L1476</f>
        <v>126.59</v>
      </c>
      <c r="N1476" s="655"/>
      <c r="O1476" s="656"/>
      <c r="P1476" s="657"/>
      <c r="Q1476" s="671"/>
      <c r="R1476" s="723"/>
      <c r="S1476" s="673"/>
      <c r="T1476" s="497">
        <f>H1471*M1476*N1471*O1471*P1471</f>
        <v>0</v>
      </c>
      <c r="U1476" s="458">
        <f>T1476</f>
        <v>0</v>
      </c>
      <c r="V1476" s="42"/>
      <c r="W1476" s="41"/>
      <c r="X1476" s="41"/>
      <c r="Y1476" s="39"/>
      <c r="Z1476" s="29"/>
      <c r="AA1476" s="29"/>
      <c r="AB1476" s="43">
        <f>T1476</f>
        <v>0</v>
      </c>
      <c r="AC1476" s="29"/>
      <c r="AD1476" s="29"/>
    </row>
    <row r="1477" spans="1:30" s="491" customFormat="1" ht="54.75" hidden="1" customHeight="1">
      <c r="A1477" s="25"/>
      <c r="B1477" s="643"/>
      <c r="C1477" s="515"/>
      <c r="D1477" s="514"/>
      <c r="E1477" s="670" t="s">
        <v>349</v>
      </c>
      <c r="F1477" s="670"/>
      <c r="G1477" s="670"/>
      <c r="H1477" s="670"/>
      <c r="I1477" s="670"/>
      <c r="J1477" s="670"/>
      <c r="K1477" s="670"/>
      <c r="L1477" s="498">
        <f>611.45686-K1471-L1474-L1475-L1479</f>
        <v>0</v>
      </c>
      <c r="M1477" s="459">
        <f>L1477</f>
        <v>0</v>
      </c>
      <c r="N1477" s="655"/>
      <c r="O1477" s="656"/>
      <c r="P1477" s="657"/>
      <c r="Q1477" s="671"/>
      <c r="R1477" s="723"/>
      <c r="S1477" s="673"/>
      <c r="T1477" s="460">
        <f>H1471*M1477*N1471*O1471*P1471</f>
        <v>0</v>
      </c>
      <c r="U1477" s="458">
        <f>T1477</f>
        <v>0</v>
      </c>
      <c r="V1477" s="42"/>
      <c r="W1477" s="41"/>
      <c r="X1477" s="41"/>
      <c r="Y1477" s="41"/>
      <c r="Z1477" s="44"/>
      <c r="AA1477" s="29"/>
      <c r="AB1477" s="29"/>
      <c r="AC1477" s="44">
        <f>T1477</f>
        <v>0</v>
      </c>
      <c r="AD1477" s="29"/>
    </row>
    <row r="1478" spans="1:30" s="491" customFormat="1" ht="24" hidden="1" customHeight="1">
      <c r="A1478" s="25"/>
      <c r="B1478" s="643"/>
      <c r="C1478" s="515"/>
      <c r="D1478" s="514"/>
      <c r="E1478" s="724"/>
      <c r="F1478" s="725"/>
      <c r="G1478" s="725"/>
      <c r="H1478" s="725"/>
      <c r="I1478" s="725"/>
      <c r="J1478" s="725"/>
      <c r="K1478" s="725"/>
      <c r="L1478" s="725"/>
      <c r="M1478" s="726"/>
      <c r="N1478" s="655"/>
      <c r="O1478" s="656"/>
      <c r="P1478" s="657"/>
      <c r="Q1478" s="677"/>
      <c r="R1478" s="727"/>
      <c r="S1478" s="727"/>
      <c r="T1478" s="727"/>
      <c r="U1478" s="679"/>
      <c r="V1478" s="45"/>
      <c r="W1478" s="41"/>
      <c r="X1478" s="41"/>
      <c r="Y1478" s="41"/>
      <c r="Z1478" s="29"/>
      <c r="AA1478" s="44"/>
      <c r="AB1478" s="29"/>
      <c r="AC1478" s="29"/>
      <c r="AD1478" s="29"/>
    </row>
    <row r="1479" spans="1:30" s="491" customFormat="1" ht="45" hidden="1" customHeight="1" thickBot="1">
      <c r="A1479" s="25"/>
      <c r="B1479" s="644"/>
      <c r="C1479" s="516"/>
      <c r="D1479" s="517"/>
      <c r="E1479" s="680" t="s">
        <v>369</v>
      </c>
      <c r="F1479" s="680" t="s">
        <v>306</v>
      </c>
      <c r="G1479" s="680"/>
      <c r="H1479" s="680"/>
      <c r="I1479" s="680"/>
      <c r="J1479" s="680"/>
      <c r="K1479" s="680"/>
      <c r="L1479" s="499">
        <f>ROUND((I1471+J1471+K1471+L1474)*3.93%,2)</f>
        <v>156.63</v>
      </c>
      <c r="M1479" s="46">
        <f>L1479</f>
        <v>156.63</v>
      </c>
      <c r="N1479" s="658"/>
      <c r="O1479" s="659"/>
      <c r="P1479" s="660"/>
      <c r="Q1479" s="681"/>
      <c r="R1479" s="682"/>
      <c r="S1479" s="683"/>
      <c r="T1479" s="385">
        <f>H1471*M1479*N1471*O1471*P1471</f>
        <v>0</v>
      </c>
      <c r="U1479" s="47">
        <f>T1479</f>
        <v>0</v>
      </c>
      <c r="V1479" s="48"/>
      <c r="W1479" s="41"/>
      <c r="X1479" s="41"/>
      <c r="Y1479" s="41"/>
      <c r="Z1479" s="29"/>
      <c r="AA1479" s="29"/>
      <c r="AB1479" s="44"/>
      <c r="AC1479" s="29"/>
      <c r="AD1479" s="44">
        <f>T1479</f>
        <v>0</v>
      </c>
    </row>
    <row r="1480" spans="1:30" s="491" customFormat="1" ht="150" hidden="1" customHeight="1">
      <c r="A1480" s="25"/>
      <c r="B1480" s="642">
        <v>3</v>
      </c>
      <c r="C1480" s="511">
        <v>10</v>
      </c>
      <c r="D1480" s="512"/>
      <c r="E1480" s="493" t="s">
        <v>731</v>
      </c>
      <c r="F1480" s="714" t="s">
        <v>730</v>
      </c>
      <c r="G1480" s="645" t="s">
        <v>357</v>
      </c>
      <c r="H1480" s="712">
        <v>0</v>
      </c>
      <c r="I1480" s="494">
        <v>0</v>
      </c>
      <c r="J1480" s="494">
        <v>3784.8500000000004</v>
      </c>
      <c r="K1480" s="494">
        <v>8.85</v>
      </c>
      <c r="L1480" s="494">
        <f>SUM(L1482:L1488)</f>
        <v>745.94040000000007</v>
      </c>
      <c r="M1480" s="33">
        <f>SUM(I1480:L1480)</f>
        <v>4539.6404000000002</v>
      </c>
      <c r="N1480" s="501">
        <v>1</v>
      </c>
      <c r="O1480" s="502">
        <v>1</v>
      </c>
      <c r="P1480" s="37">
        <v>1</v>
      </c>
      <c r="Q1480" s="34">
        <f>H1480*I1480*N1480*O1480*P1480</f>
        <v>0</v>
      </c>
      <c r="R1480" s="35">
        <f>H1480*J1480*N1480*O1480*P1480</f>
        <v>0</v>
      </c>
      <c r="S1480" s="36">
        <f>H1480*K1480*N1480*O1480*P1480</f>
        <v>0</v>
      </c>
      <c r="T1480" s="36">
        <f>H1480*L1480*N1480*O1480*P1480</f>
        <v>0</v>
      </c>
      <c r="U1480" s="37">
        <f>SUM(Q1480:T1480)</f>
        <v>0</v>
      </c>
      <c r="V1480" s="38">
        <f>(Q1480+R1480+S1480+T1484+T1485+T1486+T1488)*'Прогнозная стоимость РСС ИП '!$M$11+T1483*'Прогнозная стоимость РСС ИП '!$M$10</f>
        <v>0</v>
      </c>
      <c r="W1480" s="39">
        <f>T1480</f>
        <v>0</v>
      </c>
      <c r="X1480" s="39">
        <f>U1480</f>
        <v>0</v>
      </c>
      <c r="Y1480" s="39">
        <f>V1480</f>
        <v>0</v>
      </c>
      <c r="Z1480" s="29"/>
      <c r="AA1480" s="29"/>
      <c r="AB1480" s="29"/>
      <c r="AC1480" s="29"/>
      <c r="AD1480" s="29"/>
    </row>
    <row r="1481" spans="1:30" s="491" customFormat="1" ht="22.5" hidden="1" customHeight="1">
      <c r="A1481" s="25"/>
      <c r="B1481" s="643"/>
      <c r="C1481" s="513"/>
      <c r="D1481" s="514"/>
      <c r="E1481" s="495"/>
      <c r="F1481" s="715"/>
      <c r="G1481" s="646"/>
      <c r="H1481" s="713"/>
      <c r="I1481" s="716"/>
      <c r="J1481" s="717"/>
      <c r="K1481" s="717"/>
      <c r="L1481" s="717"/>
      <c r="M1481" s="718"/>
      <c r="N1481" s="652"/>
      <c r="O1481" s="653"/>
      <c r="P1481" s="654"/>
      <c r="Q1481" s="661"/>
      <c r="R1481" s="719"/>
      <c r="S1481" s="719"/>
      <c r="T1481" s="719"/>
      <c r="U1481" s="663"/>
      <c r="V1481" s="40"/>
      <c r="W1481" s="41"/>
      <c r="X1481" s="41"/>
      <c r="Y1481" s="41"/>
      <c r="Z1481" s="29"/>
      <c r="AA1481" s="29"/>
      <c r="AB1481" s="29"/>
      <c r="AC1481" s="29"/>
      <c r="AD1481" s="29"/>
    </row>
    <row r="1482" spans="1:30" s="491" customFormat="1" ht="41.25" hidden="1" customHeight="1">
      <c r="A1482" s="25"/>
      <c r="B1482" s="643"/>
      <c r="C1482" s="513"/>
      <c r="D1482" s="514"/>
      <c r="E1482" s="664" t="s">
        <v>29</v>
      </c>
      <c r="F1482" s="720"/>
      <c r="G1482" s="720"/>
      <c r="H1482" s="720"/>
      <c r="I1482" s="720"/>
      <c r="J1482" s="720"/>
      <c r="K1482" s="720"/>
      <c r="L1482" s="720"/>
      <c r="M1482" s="666"/>
      <c r="N1482" s="655"/>
      <c r="O1482" s="656"/>
      <c r="P1482" s="657"/>
      <c r="Q1482" s="667"/>
      <c r="R1482" s="721"/>
      <c r="S1482" s="721"/>
      <c r="T1482" s="721"/>
      <c r="U1482" s="722"/>
      <c r="V1482" s="42"/>
      <c r="W1482" s="41"/>
      <c r="X1482" s="41"/>
      <c r="Y1482" s="41"/>
      <c r="Z1482" s="29"/>
      <c r="AA1482" s="29"/>
      <c r="AB1482" s="29"/>
      <c r="AC1482" s="29"/>
      <c r="AD1482" s="29"/>
    </row>
    <row r="1483" spans="1:30" s="491" customFormat="1" ht="41.25" hidden="1" customHeight="1">
      <c r="A1483" s="25"/>
      <c r="B1483" s="643"/>
      <c r="C1483" s="513">
        <v>1010</v>
      </c>
      <c r="D1483" s="514"/>
      <c r="E1483" s="670" t="s">
        <v>30</v>
      </c>
      <c r="F1483" s="670"/>
      <c r="G1483" s="670"/>
      <c r="H1483" s="670"/>
      <c r="I1483" s="670"/>
      <c r="J1483" s="670"/>
      <c r="K1483" s="670"/>
      <c r="L1483" s="498">
        <v>368.93040000000002</v>
      </c>
      <c r="M1483" s="456">
        <f>L1483</f>
        <v>368.93040000000002</v>
      </c>
      <c r="N1483" s="655"/>
      <c r="O1483" s="656"/>
      <c r="P1483" s="657"/>
      <c r="Q1483" s="671"/>
      <c r="R1483" s="723"/>
      <c r="S1483" s="673"/>
      <c r="T1483" s="497">
        <f>H1480*M1483*N1480*O1480*P1480</f>
        <v>0</v>
      </c>
      <c r="U1483" s="458">
        <f>T1483</f>
        <v>0</v>
      </c>
      <c r="V1483" s="42"/>
      <c r="W1483" s="39"/>
      <c r="X1483" s="41"/>
      <c r="Y1483" s="41"/>
      <c r="Z1483" s="43">
        <f>T1483</f>
        <v>0</v>
      </c>
      <c r="AA1483" s="29"/>
      <c r="AB1483" s="29"/>
      <c r="AC1483" s="29"/>
      <c r="AD1483" s="29"/>
    </row>
    <row r="1484" spans="1:30" s="491" customFormat="1" ht="41.25" hidden="1" customHeight="1">
      <c r="A1484" s="25"/>
      <c r="B1484" s="643"/>
      <c r="C1484" s="513"/>
      <c r="D1484" s="514"/>
      <c r="E1484" s="670" t="s">
        <v>31</v>
      </c>
      <c r="F1484" s="670"/>
      <c r="G1484" s="670"/>
      <c r="H1484" s="670"/>
      <c r="I1484" s="670"/>
      <c r="J1484" s="670"/>
      <c r="K1484" s="670"/>
      <c r="L1484" s="498">
        <f>ROUND((I1480+J1480+K1480)*2.14%,2)</f>
        <v>81.19</v>
      </c>
      <c r="M1484" s="456">
        <f>L1484</f>
        <v>81.19</v>
      </c>
      <c r="N1484" s="655"/>
      <c r="O1484" s="656"/>
      <c r="P1484" s="657"/>
      <c r="Q1484" s="671"/>
      <c r="R1484" s="723"/>
      <c r="S1484" s="673"/>
      <c r="T1484" s="497">
        <f>H1480*M1484*N1480*O1480*P1480</f>
        <v>0</v>
      </c>
      <c r="U1484" s="458">
        <f>T1484</f>
        <v>0</v>
      </c>
      <c r="V1484" s="42"/>
      <c r="W1484" s="41"/>
      <c r="X1484" s="39"/>
      <c r="Y1484" s="41"/>
      <c r="Z1484" s="29"/>
      <c r="AA1484" s="43">
        <f>T1484</f>
        <v>0</v>
      </c>
      <c r="AB1484" s="29"/>
      <c r="AC1484" s="29"/>
      <c r="AD1484" s="29"/>
    </row>
    <row r="1485" spans="1:30" s="491" customFormat="1" ht="41.25" hidden="1" customHeight="1">
      <c r="A1485" s="25"/>
      <c r="B1485" s="643"/>
      <c r="C1485" s="515"/>
      <c r="D1485" s="514"/>
      <c r="E1485" s="670" t="s">
        <v>348</v>
      </c>
      <c r="F1485" s="670"/>
      <c r="G1485" s="670"/>
      <c r="H1485" s="670"/>
      <c r="I1485" s="670"/>
      <c r="J1485" s="670"/>
      <c r="K1485" s="670"/>
      <c r="L1485" s="498">
        <f>ROUND((I1480+J1480+K1480+L1483+L1484+L1488)*3%,2)+0.01</f>
        <v>132.22999999999999</v>
      </c>
      <c r="M1485" s="459">
        <f>L1485</f>
        <v>132.22999999999999</v>
      </c>
      <c r="N1485" s="655"/>
      <c r="O1485" s="656"/>
      <c r="P1485" s="657"/>
      <c r="Q1485" s="671"/>
      <c r="R1485" s="723"/>
      <c r="S1485" s="673"/>
      <c r="T1485" s="497">
        <f>H1480*M1485*N1480*O1480*P1480</f>
        <v>0</v>
      </c>
      <c r="U1485" s="458">
        <f>T1485</f>
        <v>0</v>
      </c>
      <c r="V1485" s="42"/>
      <c r="W1485" s="41"/>
      <c r="X1485" s="41"/>
      <c r="Y1485" s="39"/>
      <c r="Z1485" s="29"/>
      <c r="AA1485" s="29"/>
      <c r="AB1485" s="43">
        <f>T1485</f>
        <v>0</v>
      </c>
      <c r="AC1485" s="29"/>
      <c r="AD1485" s="29"/>
    </row>
    <row r="1486" spans="1:30" s="491" customFormat="1" ht="54.75" hidden="1" customHeight="1">
      <c r="A1486" s="25"/>
      <c r="B1486" s="643"/>
      <c r="C1486" s="515"/>
      <c r="D1486" s="514"/>
      <c r="E1486" s="670" t="s">
        <v>349</v>
      </c>
      <c r="F1486" s="670"/>
      <c r="G1486" s="670"/>
      <c r="H1486" s="670"/>
      <c r="I1486" s="670"/>
      <c r="J1486" s="670"/>
      <c r="K1486" s="670"/>
      <c r="L1486" s="498">
        <f>622.5604-K1480-L1483-L1484-L1488</f>
        <v>0</v>
      </c>
      <c r="M1486" s="459">
        <f>L1486</f>
        <v>0</v>
      </c>
      <c r="N1486" s="655"/>
      <c r="O1486" s="656"/>
      <c r="P1486" s="657"/>
      <c r="Q1486" s="671"/>
      <c r="R1486" s="723"/>
      <c r="S1486" s="673"/>
      <c r="T1486" s="460">
        <f>H1480*M1486*N1480*O1480*P1480</f>
        <v>0</v>
      </c>
      <c r="U1486" s="458">
        <f>T1486</f>
        <v>0</v>
      </c>
      <c r="V1486" s="42"/>
      <c r="W1486" s="41"/>
      <c r="X1486" s="41"/>
      <c r="Y1486" s="41"/>
      <c r="Z1486" s="44"/>
      <c r="AA1486" s="29"/>
      <c r="AB1486" s="29"/>
      <c r="AC1486" s="44">
        <f>T1486</f>
        <v>0</v>
      </c>
      <c r="AD1486" s="29"/>
    </row>
    <row r="1487" spans="1:30" s="491" customFormat="1" ht="24" hidden="1" customHeight="1">
      <c r="A1487" s="25"/>
      <c r="B1487" s="643"/>
      <c r="C1487" s="515"/>
      <c r="D1487" s="514"/>
      <c r="E1487" s="724"/>
      <c r="F1487" s="725"/>
      <c r="G1487" s="725"/>
      <c r="H1487" s="725"/>
      <c r="I1487" s="725"/>
      <c r="J1487" s="725"/>
      <c r="K1487" s="725"/>
      <c r="L1487" s="725"/>
      <c r="M1487" s="726"/>
      <c r="N1487" s="655"/>
      <c r="O1487" s="656"/>
      <c r="P1487" s="657"/>
      <c r="Q1487" s="677"/>
      <c r="R1487" s="727"/>
      <c r="S1487" s="727"/>
      <c r="T1487" s="727"/>
      <c r="U1487" s="679"/>
      <c r="V1487" s="45"/>
      <c r="W1487" s="41"/>
      <c r="X1487" s="41"/>
      <c r="Y1487" s="41"/>
      <c r="Z1487" s="29"/>
      <c r="AA1487" s="44"/>
      <c r="AB1487" s="29"/>
      <c r="AC1487" s="29"/>
      <c r="AD1487" s="29"/>
    </row>
    <row r="1488" spans="1:30" s="491" customFormat="1" ht="45" hidden="1" customHeight="1" thickBot="1">
      <c r="A1488" s="25"/>
      <c r="B1488" s="644"/>
      <c r="C1488" s="516"/>
      <c r="D1488" s="517"/>
      <c r="E1488" s="680" t="s">
        <v>369</v>
      </c>
      <c r="F1488" s="680" t="s">
        <v>306</v>
      </c>
      <c r="G1488" s="680"/>
      <c r="H1488" s="680"/>
      <c r="I1488" s="680"/>
      <c r="J1488" s="680"/>
      <c r="K1488" s="680"/>
      <c r="L1488" s="499">
        <f>ROUND((I1480+J1480+K1480+L1483)*3.93%,2)</f>
        <v>163.59</v>
      </c>
      <c r="M1488" s="46">
        <f>L1488</f>
        <v>163.59</v>
      </c>
      <c r="N1488" s="658"/>
      <c r="O1488" s="659"/>
      <c r="P1488" s="660"/>
      <c r="Q1488" s="681"/>
      <c r="R1488" s="682"/>
      <c r="S1488" s="683"/>
      <c r="T1488" s="385">
        <f>H1480*M1488*N1480*O1480*P1480</f>
        <v>0</v>
      </c>
      <c r="U1488" s="47">
        <f>T1488</f>
        <v>0</v>
      </c>
      <c r="V1488" s="48"/>
      <c r="W1488" s="41"/>
      <c r="X1488" s="41"/>
      <c r="Y1488" s="41"/>
      <c r="Z1488" s="29"/>
      <c r="AA1488" s="29"/>
      <c r="AB1488" s="44"/>
      <c r="AC1488" s="29"/>
      <c r="AD1488" s="44">
        <f>T1488</f>
        <v>0</v>
      </c>
    </row>
    <row r="1489" spans="1:30" s="491" customFormat="1" ht="150" hidden="1" customHeight="1">
      <c r="A1489" s="25"/>
      <c r="B1489" s="642">
        <v>3</v>
      </c>
      <c r="C1489" s="511">
        <v>10</v>
      </c>
      <c r="D1489" s="512"/>
      <c r="E1489" s="493" t="s">
        <v>733</v>
      </c>
      <c r="F1489" s="714" t="s">
        <v>732</v>
      </c>
      <c r="G1489" s="645" t="s">
        <v>357</v>
      </c>
      <c r="H1489" s="712">
        <v>0</v>
      </c>
      <c r="I1489" s="494">
        <v>0</v>
      </c>
      <c r="J1489" s="494">
        <v>3985.95</v>
      </c>
      <c r="K1489" s="494">
        <v>8.85</v>
      </c>
      <c r="L1489" s="494">
        <f>SUM(L1491:L1497)</f>
        <v>764.97260000000006</v>
      </c>
      <c r="M1489" s="33">
        <f>SUM(I1489:L1489)</f>
        <v>4759.7726000000002</v>
      </c>
      <c r="N1489" s="501">
        <v>1</v>
      </c>
      <c r="O1489" s="502">
        <v>1</v>
      </c>
      <c r="P1489" s="37">
        <v>1</v>
      </c>
      <c r="Q1489" s="34">
        <f>H1489*I1489*N1489*O1489*P1489</f>
        <v>0</v>
      </c>
      <c r="R1489" s="35">
        <f>H1489*J1489*N1489*O1489*P1489</f>
        <v>0</v>
      </c>
      <c r="S1489" s="36">
        <f>H1489*K1489*N1489*O1489*P1489</f>
        <v>0</v>
      </c>
      <c r="T1489" s="36">
        <f>H1489*L1489*N1489*O1489*P1489</f>
        <v>0</v>
      </c>
      <c r="U1489" s="37">
        <f>SUM(Q1489:T1489)</f>
        <v>0</v>
      </c>
      <c r="V1489" s="38">
        <f>(Q1489+R1489+S1489+T1493+T1494+T1495+T1497)*'Прогнозная стоимость РСС ИП '!$M$11+T1492*'Прогнозная стоимость РСС ИП '!$M$10</f>
        <v>0</v>
      </c>
      <c r="W1489" s="39">
        <f>T1489</f>
        <v>0</v>
      </c>
      <c r="X1489" s="39">
        <f>U1489</f>
        <v>0</v>
      </c>
      <c r="Y1489" s="39">
        <f>V1489</f>
        <v>0</v>
      </c>
      <c r="Z1489" s="29"/>
      <c r="AA1489" s="29"/>
      <c r="AB1489" s="29"/>
      <c r="AC1489" s="29"/>
      <c r="AD1489" s="29"/>
    </row>
    <row r="1490" spans="1:30" s="491" customFormat="1" ht="22.5" hidden="1" customHeight="1">
      <c r="A1490" s="25"/>
      <c r="B1490" s="643"/>
      <c r="C1490" s="513"/>
      <c r="D1490" s="514"/>
      <c r="E1490" s="495"/>
      <c r="F1490" s="715"/>
      <c r="G1490" s="646"/>
      <c r="H1490" s="713"/>
      <c r="I1490" s="716"/>
      <c r="J1490" s="717"/>
      <c r="K1490" s="717"/>
      <c r="L1490" s="717"/>
      <c r="M1490" s="718"/>
      <c r="N1490" s="652"/>
      <c r="O1490" s="653"/>
      <c r="P1490" s="654"/>
      <c r="Q1490" s="661"/>
      <c r="R1490" s="719"/>
      <c r="S1490" s="719"/>
      <c r="T1490" s="719"/>
      <c r="U1490" s="663"/>
      <c r="V1490" s="40"/>
      <c r="W1490" s="41"/>
      <c r="X1490" s="41"/>
      <c r="Y1490" s="41"/>
      <c r="Z1490" s="29"/>
      <c r="AA1490" s="29"/>
      <c r="AB1490" s="29"/>
      <c r="AC1490" s="29"/>
      <c r="AD1490" s="29"/>
    </row>
    <row r="1491" spans="1:30" s="491" customFormat="1" ht="41.25" hidden="1" customHeight="1">
      <c r="A1491" s="25"/>
      <c r="B1491" s="643"/>
      <c r="C1491" s="513"/>
      <c r="D1491" s="514"/>
      <c r="E1491" s="664" t="s">
        <v>29</v>
      </c>
      <c r="F1491" s="720"/>
      <c r="G1491" s="720"/>
      <c r="H1491" s="720"/>
      <c r="I1491" s="720"/>
      <c r="J1491" s="720"/>
      <c r="K1491" s="720"/>
      <c r="L1491" s="720"/>
      <c r="M1491" s="666"/>
      <c r="N1491" s="655"/>
      <c r="O1491" s="656"/>
      <c r="P1491" s="657"/>
      <c r="Q1491" s="667"/>
      <c r="R1491" s="721"/>
      <c r="S1491" s="721"/>
      <c r="T1491" s="721"/>
      <c r="U1491" s="722"/>
      <c r="V1491" s="42"/>
      <c r="W1491" s="41"/>
      <c r="X1491" s="41"/>
      <c r="Y1491" s="41"/>
      <c r="Z1491" s="29"/>
      <c r="AA1491" s="29"/>
      <c r="AB1491" s="29"/>
      <c r="AC1491" s="29"/>
      <c r="AD1491" s="29"/>
    </row>
    <row r="1492" spans="1:30" s="491" customFormat="1" ht="41.25" hidden="1" customHeight="1">
      <c r="A1492" s="25"/>
      <c r="B1492" s="643"/>
      <c r="C1492" s="513">
        <v>1010</v>
      </c>
      <c r="D1492" s="514"/>
      <c r="E1492" s="670" t="s">
        <v>30</v>
      </c>
      <c r="F1492" s="670"/>
      <c r="G1492" s="670"/>
      <c r="H1492" s="670"/>
      <c r="I1492" s="670"/>
      <c r="J1492" s="670"/>
      <c r="K1492" s="670"/>
      <c r="L1492" s="498">
        <v>369.33260000000001</v>
      </c>
      <c r="M1492" s="456">
        <f>L1492</f>
        <v>369.33260000000001</v>
      </c>
      <c r="N1492" s="655"/>
      <c r="O1492" s="656"/>
      <c r="P1492" s="657"/>
      <c r="Q1492" s="671"/>
      <c r="R1492" s="723"/>
      <c r="S1492" s="673"/>
      <c r="T1492" s="497">
        <f>H1489*M1492*N1489*O1489*P1489</f>
        <v>0</v>
      </c>
      <c r="U1492" s="458">
        <f>T1492</f>
        <v>0</v>
      </c>
      <c r="V1492" s="42"/>
      <c r="W1492" s="39"/>
      <c r="X1492" s="41"/>
      <c r="Y1492" s="41"/>
      <c r="Z1492" s="43">
        <f>T1492</f>
        <v>0</v>
      </c>
      <c r="AA1492" s="29"/>
      <c r="AB1492" s="29"/>
      <c r="AC1492" s="29"/>
      <c r="AD1492" s="29"/>
    </row>
    <row r="1493" spans="1:30" s="491" customFormat="1" ht="41.25" hidden="1" customHeight="1">
      <c r="A1493" s="25"/>
      <c r="B1493" s="643"/>
      <c r="C1493" s="513"/>
      <c r="D1493" s="514"/>
      <c r="E1493" s="670" t="s">
        <v>31</v>
      </c>
      <c r="F1493" s="670"/>
      <c r="G1493" s="670"/>
      <c r="H1493" s="670"/>
      <c r="I1493" s="670"/>
      <c r="J1493" s="670"/>
      <c r="K1493" s="670"/>
      <c r="L1493" s="498">
        <f>ROUND((I1489+J1489+K1489)*2.14%,2)</f>
        <v>85.49</v>
      </c>
      <c r="M1493" s="456">
        <f>L1493</f>
        <v>85.49</v>
      </c>
      <c r="N1493" s="655"/>
      <c r="O1493" s="656"/>
      <c r="P1493" s="657"/>
      <c r="Q1493" s="671"/>
      <c r="R1493" s="723"/>
      <c r="S1493" s="673"/>
      <c r="T1493" s="497">
        <f>H1489*M1493*N1489*O1489*P1489</f>
        <v>0</v>
      </c>
      <c r="U1493" s="458">
        <f>T1493</f>
        <v>0</v>
      </c>
      <c r="V1493" s="42"/>
      <c r="W1493" s="41"/>
      <c r="X1493" s="39"/>
      <c r="Y1493" s="41"/>
      <c r="Z1493" s="29"/>
      <c r="AA1493" s="43">
        <f>T1493</f>
        <v>0</v>
      </c>
      <c r="AB1493" s="29"/>
      <c r="AC1493" s="29"/>
      <c r="AD1493" s="29"/>
    </row>
    <row r="1494" spans="1:30" s="491" customFormat="1" ht="41.25" hidden="1" customHeight="1">
      <c r="A1494" s="25"/>
      <c r="B1494" s="643"/>
      <c r="C1494" s="515"/>
      <c r="D1494" s="514"/>
      <c r="E1494" s="670" t="s">
        <v>348</v>
      </c>
      <c r="F1494" s="670"/>
      <c r="G1494" s="670"/>
      <c r="H1494" s="670"/>
      <c r="I1494" s="670"/>
      <c r="J1494" s="670"/>
      <c r="K1494" s="670"/>
      <c r="L1494" s="498">
        <f>ROUND((I1489+J1489+K1489+L1492+L1493+L1497)*3%,2)+0.01</f>
        <v>138.63999999999999</v>
      </c>
      <c r="M1494" s="459">
        <f>L1494</f>
        <v>138.63999999999999</v>
      </c>
      <c r="N1494" s="655"/>
      <c r="O1494" s="656"/>
      <c r="P1494" s="657"/>
      <c r="Q1494" s="671"/>
      <c r="R1494" s="723"/>
      <c r="S1494" s="673"/>
      <c r="T1494" s="497">
        <f>H1489*M1494*N1489*O1489*P1489</f>
        <v>0</v>
      </c>
      <c r="U1494" s="458">
        <f>T1494</f>
        <v>0</v>
      </c>
      <c r="V1494" s="42"/>
      <c r="W1494" s="41"/>
      <c r="X1494" s="41"/>
      <c r="Y1494" s="39"/>
      <c r="Z1494" s="29"/>
      <c r="AA1494" s="29"/>
      <c r="AB1494" s="43">
        <f>T1494</f>
        <v>0</v>
      </c>
      <c r="AC1494" s="29"/>
      <c r="AD1494" s="29"/>
    </row>
    <row r="1495" spans="1:30" s="491" customFormat="1" ht="54.75" hidden="1" customHeight="1">
      <c r="A1495" s="25"/>
      <c r="B1495" s="643"/>
      <c r="C1495" s="515"/>
      <c r="D1495" s="514"/>
      <c r="E1495" s="670" t="s">
        <v>349</v>
      </c>
      <c r="F1495" s="670"/>
      <c r="G1495" s="670"/>
      <c r="H1495" s="670"/>
      <c r="I1495" s="670"/>
      <c r="J1495" s="670"/>
      <c r="K1495" s="670"/>
      <c r="L1495" s="498">
        <f>635.1826-K1489-L1492-L1493-L1497</f>
        <v>0</v>
      </c>
      <c r="M1495" s="459">
        <f>L1495</f>
        <v>0</v>
      </c>
      <c r="N1495" s="655"/>
      <c r="O1495" s="656"/>
      <c r="P1495" s="657"/>
      <c r="Q1495" s="671"/>
      <c r="R1495" s="723"/>
      <c r="S1495" s="673"/>
      <c r="T1495" s="460">
        <f>H1489*M1495*N1489*O1489*P1489</f>
        <v>0</v>
      </c>
      <c r="U1495" s="458">
        <f>T1495</f>
        <v>0</v>
      </c>
      <c r="V1495" s="42"/>
      <c r="W1495" s="41"/>
      <c r="X1495" s="41"/>
      <c r="Y1495" s="41"/>
      <c r="Z1495" s="44"/>
      <c r="AA1495" s="29"/>
      <c r="AB1495" s="29"/>
      <c r="AC1495" s="44">
        <f>T1495</f>
        <v>0</v>
      </c>
      <c r="AD1495" s="29"/>
    </row>
    <row r="1496" spans="1:30" s="491" customFormat="1" ht="24" hidden="1" customHeight="1">
      <c r="A1496" s="25"/>
      <c r="B1496" s="643"/>
      <c r="C1496" s="515"/>
      <c r="D1496" s="514"/>
      <c r="E1496" s="724"/>
      <c r="F1496" s="725"/>
      <c r="G1496" s="725"/>
      <c r="H1496" s="725"/>
      <c r="I1496" s="725"/>
      <c r="J1496" s="725"/>
      <c r="K1496" s="725"/>
      <c r="L1496" s="725"/>
      <c r="M1496" s="726"/>
      <c r="N1496" s="655"/>
      <c r="O1496" s="656"/>
      <c r="P1496" s="657"/>
      <c r="Q1496" s="677"/>
      <c r="R1496" s="727"/>
      <c r="S1496" s="727"/>
      <c r="T1496" s="727"/>
      <c r="U1496" s="679"/>
      <c r="V1496" s="45"/>
      <c r="W1496" s="41"/>
      <c r="X1496" s="41"/>
      <c r="Y1496" s="41"/>
      <c r="Z1496" s="29"/>
      <c r="AA1496" s="44"/>
      <c r="AB1496" s="29"/>
      <c r="AC1496" s="29"/>
      <c r="AD1496" s="29"/>
    </row>
    <row r="1497" spans="1:30" s="491" customFormat="1" ht="45" hidden="1" customHeight="1" thickBot="1">
      <c r="A1497" s="25"/>
      <c r="B1497" s="644"/>
      <c r="C1497" s="516"/>
      <c r="D1497" s="517"/>
      <c r="E1497" s="680" t="s">
        <v>369</v>
      </c>
      <c r="F1497" s="680" t="s">
        <v>306</v>
      </c>
      <c r="G1497" s="680"/>
      <c r="H1497" s="680"/>
      <c r="I1497" s="680"/>
      <c r="J1497" s="680"/>
      <c r="K1497" s="680"/>
      <c r="L1497" s="499">
        <f>ROUND((I1489+J1489+K1489+L1492)*3.93%,2)</f>
        <v>171.51</v>
      </c>
      <c r="M1497" s="46">
        <f>L1497</f>
        <v>171.51</v>
      </c>
      <c r="N1497" s="658"/>
      <c r="O1497" s="659"/>
      <c r="P1497" s="660"/>
      <c r="Q1497" s="681"/>
      <c r="R1497" s="682"/>
      <c r="S1497" s="683"/>
      <c r="T1497" s="385">
        <f>H1489*M1497*N1489*O1489*P1489</f>
        <v>0</v>
      </c>
      <c r="U1497" s="47">
        <f>T1497</f>
        <v>0</v>
      </c>
      <c r="V1497" s="48"/>
      <c r="W1497" s="41"/>
      <c r="X1497" s="41"/>
      <c r="Y1497" s="41"/>
      <c r="Z1497" s="29"/>
      <c r="AA1497" s="29"/>
      <c r="AB1497" s="44"/>
      <c r="AC1497" s="29"/>
      <c r="AD1497" s="44">
        <f>T1497</f>
        <v>0</v>
      </c>
    </row>
    <row r="1498" spans="1:30" s="491" customFormat="1" ht="150" hidden="1" customHeight="1">
      <c r="A1498" s="25"/>
      <c r="B1498" s="642">
        <v>3</v>
      </c>
      <c r="C1498" s="511">
        <v>10</v>
      </c>
      <c r="D1498" s="512"/>
      <c r="E1498" s="493" t="s">
        <v>734</v>
      </c>
      <c r="F1498" s="714" t="s">
        <v>735</v>
      </c>
      <c r="G1498" s="645" t="s">
        <v>357</v>
      </c>
      <c r="H1498" s="712">
        <v>0</v>
      </c>
      <c r="I1498" s="494">
        <v>0</v>
      </c>
      <c r="J1498" s="494">
        <v>4300</v>
      </c>
      <c r="K1498" s="494">
        <v>8.85</v>
      </c>
      <c r="L1498" s="494">
        <f>SUM(L1500:L1506)</f>
        <v>794.70069999999998</v>
      </c>
      <c r="M1498" s="33">
        <f>SUM(I1498:L1498)</f>
        <v>5103.5507000000007</v>
      </c>
      <c r="N1498" s="501">
        <v>1</v>
      </c>
      <c r="O1498" s="502">
        <v>1</v>
      </c>
      <c r="P1498" s="37">
        <v>1</v>
      </c>
      <c r="Q1498" s="34">
        <f>H1498*I1498*N1498*O1498*P1498</f>
        <v>0</v>
      </c>
      <c r="R1498" s="35">
        <f>H1498*J1498*N1498*O1498*P1498</f>
        <v>0</v>
      </c>
      <c r="S1498" s="36">
        <f>H1498*K1498*N1498*O1498*P1498</f>
        <v>0</v>
      </c>
      <c r="T1498" s="36">
        <f>H1498*L1498*N1498*O1498*P1498</f>
        <v>0</v>
      </c>
      <c r="U1498" s="37">
        <f>SUM(Q1498:T1498)</f>
        <v>0</v>
      </c>
      <c r="V1498" s="38">
        <f>(Q1498+R1498+S1498+T1502+T1503+T1504+T1506)*'Прогнозная стоимость РСС ИП '!$M$11+T1501*'Прогнозная стоимость РСС ИП '!$M$10</f>
        <v>0</v>
      </c>
      <c r="W1498" s="39">
        <f>T1498</f>
        <v>0</v>
      </c>
      <c r="X1498" s="39">
        <f>U1498</f>
        <v>0</v>
      </c>
      <c r="Y1498" s="39">
        <f>V1498</f>
        <v>0</v>
      </c>
      <c r="Z1498" s="29"/>
      <c r="AA1498" s="29"/>
      <c r="AB1498" s="29"/>
      <c r="AC1498" s="29"/>
      <c r="AD1498" s="29"/>
    </row>
    <row r="1499" spans="1:30" s="491" customFormat="1" ht="22.5" hidden="1" customHeight="1">
      <c r="A1499" s="25"/>
      <c r="B1499" s="643"/>
      <c r="C1499" s="513"/>
      <c r="D1499" s="514"/>
      <c r="E1499" s="495"/>
      <c r="F1499" s="715"/>
      <c r="G1499" s="646"/>
      <c r="H1499" s="713"/>
      <c r="I1499" s="716"/>
      <c r="J1499" s="717"/>
      <c r="K1499" s="717"/>
      <c r="L1499" s="717"/>
      <c r="M1499" s="718"/>
      <c r="N1499" s="652"/>
      <c r="O1499" s="653"/>
      <c r="P1499" s="654"/>
      <c r="Q1499" s="661"/>
      <c r="R1499" s="719"/>
      <c r="S1499" s="719"/>
      <c r="T1499" s="719"/>
      <c r="U1499" s="663"/>
      <c r="V1499" s="40"/>
      <c r="W1499" s="41"/>
      <c r="X1499" s="41"/>
      <c r="Y1499" s="41"/>
      <c r="Z1499" s="29"/>
      <c r="AA1499" s="29"/>
      <c r="AB1499" s="29"/>
      <c r="AC1499" s="29"/>
      <c r="AD1499" s="29"/>
    </row>
    <row r="1500" spans="1:30" s="491" customFormat="1" ht="41.25" hidden="1" customHeight="1">
      <c r="A1500" s="25"/>
      <c r="B1500" s="643"/>
      <c r="C1500" s="513"/>
      <c r="D1500" s="514"/>
      <c r="E1500" s="664" t="s">
        <v>29</v>
      </c>
      <c r="F1500" s="720"/>
      <c r="G1500" s="720"/>
      <c r="H1500" s="720"/>
      <c r="I1500" s="720"/>
      <c r="J1500" s="720"/>
      <c r="K1500" s="720"/>
      <c r="L1500" s="720"/>
      <c r="M1500" s="666"/>
      <c r="N1500" s="655"/>
      <c r="O1500" s="656"/>
      <c r="P1500" s="657"/>
      <c r="Q1500" s="667"/>
      <c r="R1500" s="721"/>
      <c r="S1500" s="721"/>
      <c r="T1500" s="721"/>
      <c r="U1500" s="722"/>
      <c r="V1500" s="42"/>
      <c r="W1500" s="41"/>
      <c r="X1500" s="41"/>
      <c r="Y1500" s="41"/>
      <c r="Z1500" s="29"/>
      <c r="AA1500" s="29"/>
      <c r="AB1500" s="29"/>
      <c r="AC1500" s="29"/>
      <c r="AD1500" s="29"/>
    </row>
    <row r="1501" spans="1:30" s="491" customFormat="1" ht="41.25" hidden="1" customHeight="1">
      <c r="A1501" s="25"/>
      <c r="B1501" s="643"/>
      <c r="C1501" s="513">
        <v>1010</v>
      </c>
      <c r="D1501" s="514"/>
      <c r="E1501" s="670" t="s">
        <v>30</v>
      </c>
      <c r="F1501" s="670"/>
      <c r="G1501" s="670"/>
      <c r="H1501" s="670"/>
      <c r="I1501" s="670"/>
      <c r="J1501" s="670"/>
      <c r="K1501" s="670"/>
      <c r="L1501" s="498">
        <v>369.96070000000003</v>
      </c>
      <c r="M1501" s="456">
        <f>L1501</f>
        <v>369.96070000000003</v>
      </c>
      <c r="N1501" s="655"/>
      <c r="O1501" s="656"/>
      <c r="P1501" s="657"/>
      <c r="Q1501" s="671"/>
      <c r="R1501" s="723"/>
      <c r="S1501" s="673"/>
      <c r="T1501" s="497">
        <f>H1498*M1501*N1498*O1498*P1498</f>
        <v>0</v>
      </c>
      <c r="U1501" s="458">
        <f>T1501</f>
        <v>0</v>
      </c>
      <c r="V1501" s="42"/>
      <c r="W1501" s="39"/>
      <c r="X1501" s="41"/>
      <c r="Y1501" s="41"/>
      <c r="Z1501" s="43">
        <f>T1501</f>
        <v>0</v>
      </c>
      <c r="AA1501" s="29"/>
      <c r="AB1501" s="29"/>
      <c r="AC1501" s="29"/>
      <c r="AD1501" s="29"/>
    </row>
    <row r="1502" spans="1:30" s="491" customFormat="1" ht="41.25" hidden="1" customHeight="1">
      <c r="A1502" s="25"/>
      <c r="B1502" s="643"/>
      <c r="C1502" s="513"/>
      <c r="D1502" s="514"/>
      <c r="E1502" s="670" t="s">
        <v>31</v>
      </c>
      <c r="F1502" s="670"/>
      <c r="G1502" s="670"/>
      <c r="H1502" s="670"/>
      <c r="I1502" s="670"/>
      <c r="J1502" s="670"/>
      <c r="K1502" s="670"/>
      <c r="L1502" s="498">
        <f>ROUND((I1498+J1498+K1498)*2.14%,2)</f>
        <v>92.21</v>
      </c>
      <c r="M1502" s="456">
        <f>L1502</f>
        <v>92.21</v>
      </c>
      <c r="N1502" s="655"/>
      <c r="O1502" s="656"/>
      <c r="P1502" s="657"/>
      <c r="Q1502" s="671"/>
      <c r="R1502" s="723"/>
      <c r="S1502" s="673"/>
      <c r="T1502" s="497">
        <f>H1498*M1502*N1498*O1498*P1498</f>
        <v>0</v>
      </c>
      <c r="U1502" s="458">
        <f>T1502</f>
        <v>0</v>
      </c>
      <c r="V1502" s="42"/>
      <c r="W1502" s="41"/>
      <c r="X1502" s="39"/>
      <c r="Y1502" s="41"/>
      <c r="Z1502" s="29"/>
      <c r="AA1502" s="43">
        <f>T1502</f>
        <v>0</v>
      </c>
      <c r="AB1502" s="29"/>
      <c r="AC1502" s="29"/>
      <c r="AD1502" s="29"/>
    </row>
    <row r="1503" spans="1:30" s="491" customFormat="1" ht="41.25" hidden="1" customHeight="1">
      <c r="A1503" s="25"/>
      <c r="B1503" s="643"/>
      <c r="C1503" s="515"/>
      <c r="D1503" s="514"/>
      <c r="E1503" s="670" t="s">
        <v>348</v>
      </c>
      <c r="F1503" s="670"/>
      <c r="G1503" s="670"/>
      <c r="H1503" s="670"/>
      <c r="I1503" s="670"/>
      <c r="J1503" s="670"/>
      <c r="K1503" s="670"/>
      <c r="L1503" s="498">
        <f>ROUND((I1498+J1498+K1498+L1501+L1502+L1506)*3%,2)</f>
        <v>148.65</v>
      </c>
      <c r="M1503" s="459">
        <f>L1503</f>
        <v>148.65</v>
      </c>
      <c r="N1503" s="655"/>
      <c r="O1503" s="656"/>
      <c r="P1503" s="657"/>
      <c r="Q1503" s="671"/>
      <c r="R1503" s="723"/>
      <c r="S1503" s="673"/>
      <c r="T1503" s="497">
        <f>H1498*M1503*N1498*O1498*P1498</f>
        <v>0</v>
      </c>
      <c r="U1503" s="458">
        <f>T1503</f>
        <v>0</v>
      </c>
      <c r="V1503" s="42"/>
      <c r="W1503" s="41"/>
      <c r="X1503" s="41"/>
      <c r="Y1503" s="39"/>
      <c r="Z1503" s="29"/>
      <c r="AA1503" s="29"/>
      <c r="AB1503" s="43">
        <f>T1503</f>
        <v>0</v>
      </c>
      <c r="AC1503" s="29"/>
      <c r="AD1503" s="29"/>
    </row>
    <row r="1504" spans="1:30" s="491" customFormat="1" ht="54.75" hidden="1" customHeight="1">
      <c r="A1504" s="25"/>
      <c r="B1504" s="643"/>
      <c r="C1504" s="515"/>
      <c r="D1504" s="514"/>
      <c r="E1504" s="670" t="s">
        <v>349</v>
      </c>
      <c r="F1504" s="670"/>
      <c r="G1504" s="670"/>
      <c r="H1504" s="670"/>
      <c r="I1504" s="670"/>
      <c r="J1504" s="670"/>
      <c r="K1504" s="670"/>
      <c r="L1504" s="498">
        <f>654.9007-K1498-L1501-L1502-L1506</f>
        <v>0</v>
      </c>
      <c r="M1504" s="459">
        <f>L1504</f>
        <v>0</v>
      </c>
      <c r="N1504" s="655"/>
      <c r="O1504" s="656"/>
      <c r="P1504" s="657"/>
      <c r="Q1504" s="671"/>
      <c r="R1504" s="723"/>
      <c r="S1504" s="673"/>
      <c r="T1504" s="460">
        <f>H1498*M1504*N1498*O1498*P1498</f>
        <v>0</v>
      </c>
      <c r="U1504" s="458">
        <f>T1504</f>
        <v>0</v>
      </c>
      <c r="V1504" s="42"/>
      <c r="W1504" s="41"/>
      <c r="X1504" s="41"/>
      <c r="Y1504" s="41"/>
      <c r="Z1504" s="44"/>
      <c r="AA1504" s="29"/>
      <c r="AB1504" s="29"/>
      <c r="AC1504" s="44">
        <f>T1504</f>
        <v>0</v>
      </c>
      <c r="AD1504" s="29"/>
    </row>
    <row r="1505" spans="1:30" s="491" customFormat="1" ht="24" hidden="1" customHeight="1">
      <c r="A1505" s="25"/>
      <c r="B1505" s="643"/>
      <c r="C1505" s="515"/>
      <c r="D1505" s="514"/>
      <c r="E1505" s="724"/>
      <c r="F1505" s="725"/>
      <c r="G1505" s="725"/>
      <c r="H1505" s="725"/>
      <c r="I1505" s="725"/>
      <c r="J1505" s="725"/>
      <c r="K1505" s="725"/>
      <c r="L1505" s="725"/>
      <c r="M1505" s="726"/>
      <c r="N1505" s="655"/>
      <c r="O1505" s="656"/>
      <c r="P1505" s="657"/>
      <c r="Q1505" s="677"/>
      <c r="R1505" s="727"/>
      <c r="S1505" s="727"/>
      <c r="T1505" s="727"/>
      <c r="U1505" s="679"/>
      <c r="V1505" s="45"/>
      <c r="W1505" s="41"/>
      <c r="X1505" s="41"/>
      <c r="Y1505" s="41"/>
      <c r="Z1505" s="29"/>
      <c r="AA1505" s="44"/>
      <c r="AB1505" s="29"/>
      <c r="AC1505" s="29"/>
      <c r="AD1505" s="29"/>
    </row>
    <row r="1506" spans="1:30" s="491" customFormat="1" ht="45" hidden="1" customHeight="1" thickBot="1">
      <c r="A1506" s="25"/>
      <c r="B1506" s="644"/>
      <c r="C1506" s="516"/>
      <c r="D1506" s="517"/>
      <c r="E1506" s="680" t="s">
        <v>369</v>
      </c>
      <c r="F1506" s="680" t="s">
        <v>306</v>
      </c>
      <c r="G1506" s="680"/>
      <c r="H1506" s="680"/>
      <c r="I1506" s="680"/>
      <c r="J1506" s="680"/>
      <c r="K1506" s="680"/>
      <c r="L1506" s="499">
        <f>ROUND((I1498+J1498+K1498+L1501)*3.93%,2)</f>
        <v>183.88</v>
      </c>
      <c r="M1506" s="46">
        <f>L1506</f>
        <v>183.88</v>
      </c>
      <c r="N1506" s="658"/>
      <c r="O1506" s="659"/>
      <c r="P1506" s="660"/>
      <c r="Q1506" s="681"/>
      <c r="R1506" s="682"/>
      <c r="S1506" s="683"/>
      <c r="T1506" s="385">
        <f>H1498*M1506*N1498*O1498*P1498</f>
        <v>0</v>
      </c>
      <c r="U1506" s="47">
        <f>T1506</f>
        <v>0</v>
      </c>
      <c r="V1506" s="48"/>
      <c r="W1506" s="41"/>
      <c r="X1506" s="41"/>
      <c r="Y1506" s="41"/>
      <c r="Z1506" s="29"/>
      <c r="AA1506" s="29"/>
      <c r="AB1506" s="44"/>
      <c r="AC1506" s="29"/>
      <c r="AD1506" s="44">
        <f>T1506</f>
        <v>0</v>
      </c>
    </row>
    <row r="1507" spans="1:30" s="491" customFormat="1" ht="150" hidden="1" customHeight="1">
      <c r="A1507" s="25"/>
      <c r="B1507" s="642">
        <v>3</v>
      </c>
      <c r="C1507" s="511">
        <v>10</v>
      </c>
      <c r="D1507" s="512"/>
      <c r="E1507" s="493" t="s">
        <v>736</v>
      </c>
      <c r="F1507" s="714" t="s">
        <v>737</v>
      </c>
      <c r="G1507" s="645" t="s">
        <v>357</v>
      </c>
      <c r="H1507" s="712">
        <v>0</v>
      </c>
      <c r="I1507" s="494">
        <v>0</v>
      </c>
      <c r="J1507" s="494">
        <v>4716.51</v>
      </c>
      <c r="K1507" s="494">
        <v>8.85</v>
      </c>
      <c r="L1507" s="494">
        <f>SUM(L1509:L1515)</f>
        <v>834.12372000000005</v>
      </c>
      <c r="M1507" s="33">
        <f>SUM(I1507:L1507)</f>
        <v>5559.4837200000002</v>
      </c>
      <c r="N1507" s="501">
        <v>1</v>
      </c>
      <c r="O1507" s="502">
        <v>1</v>
      </c>
      <c r="P1507" s="37">
        <v>1</v>
      </c>
      <c r="Q1507" s="34">
        <f>H1507*I1507*N1507*O1507*P1507</f>
        <v>0</v>
      </c>
      <c r="R1507" s="35">
        <f>H1507*J1507*N1507*O1507*P1507</f>
        <v>0</v>
      </c>
      <c r="S1507" s="36">
        <f>H1507*K1507*N1507*O1507*P1507</f>
        <v>0</v>
      </c>
      <c r="T1507" s="36">
        <f>H1507*L1507*N1507*O1507*P1507</f>
        <v>0</v>
      </c>
      <c r="U1507" s="37">
        <f>SUM(Q1507:T1507)</f>
        <v>0</v>
      </c>
      <c r="V1507" s="38">
        <f>(Q1507+R1507+S1507+T1511+T1512+T1513+T1515)*'Прогнозная стоимость РСС ИП '!$M$11+T1510*'Прогнозная стоимость РСС ИП '!$M$10</f>
        <v>0</v>
      </c>
      <c r="W1507" s="39">
        <f>T1507</f>
        <v>0</v>
      </c>
      <c r="X1507" s="39">
        <f>U1507</f>
        <v>0</v>
      </c>
      <c r="Y1507" s="39">
        <f>V1507</f>
        <v>0</v>
      </c>
      <c r="Z1507" s="29"/>
      <c r="AA1507" s="29"/>
      <c r="AB1507" s="29"/>
      <c r="AC1507" s="29"/>
      <c r="AD1507" s="29"/>
    </row>
    <row r="1508" spans="1:30" s="491" customFormat="1" ht="22.5" hidden="1" customHeight="1">
      <c r="A1508" s="25"/>
      <c r="B1508" s="643"/>
      <c r="C1508" s="513"/>
      <c r="D1508" s="514"/>
      <c r="E1508" s="495"/>
      <c r="F1508" s="715"/>
      <c r="G1508" s="646"/>
      <c r="H1508" s="713"/>
      <c r="I1508" s="716"/>
      <c r="J1508" s="717"/>
      <c r="K1508" s="717"/>
      <c r="L1508" s="717"/>
      <c r="M1508" s="718"/>
      <c r="N1508" s="652"/>
      <c r="O1508" s="653"/>
      <c r="P1508" s="654"/>
      <c r="Q1508" s="661"/>
      <c r="R1508" s="719"/>
      <c r="S1508" s="719"/>
      <c r="T1508" s="719"/>
      <c r="U1508" s="663"/>
      <c r="V1508" s="40"/>
      <c r="W1508" s="41"/>
      <c r="X1508" s="41"/>
      <c r="Y1508" s="41"/>
      <c r="Z1508" s="29"/>
      <c r="AA1508" s="29"/>
      <c r="AB1508" s="29"/>
      <c r="AC1508" s="29"/>
      <c r="AD1508" s="29"/>
    </row>
    <row r="1509" spans="1:30" s="491" customFormat="1" ht="41.25" hidden="1" customHeight="1">
      <c r="A1509" s="25"/>
      <c r="B1509" s="643"/>
      <c r="C1509" s="513"/>
      <c r="D1509" s="514"/>
      <c r="E1509" s="664" t="s">
        <v>29</v>
      </c>
      <c r="F1509" s="720"/>
      <c r="G1509" s="720"/>
      <c r="H1509" s="720"/>
      <c r="I1509" s="720"/>
      <c r="J1509" s="720"/>
      <c r="K1509" s="720"/>
      <c r="L1509" s="720"/>
      <c r="M1509" s="666"/>
      <c r="N1509" s="655"/>
      <c r="O1509" s="656"/>
      <c r="P1509" s="657"/>
      <c r="Q1509" s="667"/>
      <c r="R1509" s="721"/>
      <c r="S1509" s="721"/>
      <c r="T1509" s="721"/>
      <c r="U1509" s="722"/>
      <c r="V1509" s="42"/>
      <c r="W1509" s="41"/>
      <c r="X1509" s="41"/>
      <c r="Y1509" s="41"/>
      <c r="Z1509" s="29"/>
      <c r="AA1509" s="29"/>
      <c r="AB1509" s="29"/>
      <c r="AC1509" s="29"/>
      <c r="AD1509" s="29"/>
    </row>
    <row r="1510" spans="1:30" s="491" customFormat="1" ht="41.25" hidden="1" customHeight="1">
      <c r="A1510" s="25"/>
      <c r="B1510" s="643"/>
      <c r="C1510" s="513">
        <v>1010</v>
      </c>
      <c r="D1510" s="514"/>
      <c r="E1510" s="670" t="s">
        <v>30</v>
      </c>
      <c r="F1510" s="670"/>
      <c r="G1510" s="670"/>
      <c r="H1510" s="670"/>
      <c r="I1510" s="670"/>
      <c r="J1510" s="670"/>
      <c r="K1510" s="670"/>
      <c r="L1510" s="498">
        <v>370.79372000000001</v>
      </c>
      <c r="M1510" s="456">
        <f>L1510</f>
        <v>370.79372000000001</v>
      </c>
      <c r="N1510" s="655"/>
      <c r="O1510" s="656"/>
      <c r="P1510" s="657"/>
      <c r="Q1510" s="671"/>
      <c r="R1510" s="723"/>
      <c r="S1510" s="673"/>
      <c r="T1510" s="497">
        <f>H1507*M1510*N1507*O1507*P1507</f>
        <v>0</v>
      </c>
      <c r="U1510" s="458">
        <f>T1510</f>
        <v>0</v>
      </c>
      <c r="V1510" s="42"/>
      <c r="W1510" s="39"/>
      <c r="X1510" s="41"/>
      <c r="Y1510" s="41"/>
      <c r="Z1510" s="43">
        <f>T1510</f>
        <v>0</v>
      </c>
      <c r="AA1510" s="29"/>
      <c r="AB1510" s="29"/>
      <c r="AC1510" s="29"/>
      <c r="AD1510" s="29"/>
    </row>
    <row r="1511" spans="1:30" s="491" customFormat="1" ht="41.25" hidden="1" customHeight="1">
      <c r="A1511" s="25"/>
      <c r="B1511" s="643"/>
      <c r="C1511" s="513"/>
      <c r="D1511" s="514"/>
      <c r="E1511" s="670" t="s">
        <v>31</v>
      </c>
      <c r="F1511" s="670"/>
      <c r="G1511" s="670"/>
      <c r="H1511" s="670"/>
      <c r="I1511" s="670"/>
      <c r="J1511" s="670"/>
      <c r="K1511" s="670"/>
      <c r="L1511" s="498">
        <f>ROUND((I1507+J1507+K1507)*2.14%,2)</f>
        <v>101.12</v>
      </c>
      <c r="M1511" s="456">
        <f>L1511</f>
        <v>101.12</v>
      </c>
      <c r="N1511" s="655"/>
      <c r="O1511" s="656"/>
      <c r="P1511" s="657"/>
      <c r="Q1511" s="671"/>
      <c r="R1511" s="723"/>
      <c r="S1511" s="673"/>
      <c r="T1511" s="497">
        <f>H1507*M1511*N1507*O1507*P1507</f>
        <v>0</v>
      </c>
      <c r="U1511" s="458">
        <f>T1511</f>
        <v>0</v>
      </c>
      <c r="V1511" s="42"/>
      <c r="W1511" s="41"/>
      <c r="X1511" s="39"/>
      <c r="Y1511" s="41"/>
      <c r="Z1511" s="29"/>
      <c r="AA1511" s="43">
        <f>T1511</f>
        <v>0</v>
      </c>
      <c r="AB1511" s="29"/>
      <c r="AC1511" s="29"/>
      <c r="AD1511" s="29"/>
    </row>
    <row r="1512" spans="1:30" s="491" customFormat="1" ht="41.25" hidden="1" customHeight="1">
      <c r="A1512" s="25"/>
      <c r="B1512" s="643"/>
      <c r="C1512" s="515"/>
      <c r="D1512" s="514"/>
      <c r="E1512" s="670" t="s">
        <v>348</v>
      </c>
      <c r="F1512" s="670"/>
      <c r="G1512" s="670"/>
      <c r="H1512" s="670"/>
      <c r="I1512" s="670"/>
      <c r="J1512" s="670"/>
      <c r="K1512" s="670"/>
      <c r="L1512" s="498">
        <f>ROUND((I1507+J1507+K1507+L1510+L1511+L1515)*3%,2)</f>
        <v>161.93</v>
      </c>
      <c r="M1512" s="459">
        <f>L1512</f>
        <v>161.93</v>
      </c>
      <c r="N1512" s="655"/>
      <c r="O1512" s="656"/>
      <c r="P1512" s="657"/>
      <c r="Q1512" s="671"/>
      <c r="R1512" s="723"/>
      <c r="S1512" s="673"/>
      <c r="T1512" s="497">
        <f>H1507*M1512*N1507*O1507*P1507</f>
        <v>0</v>
      </c>
      <c r="U1512" s="458">
        <f>T1512</f>
        <v>0</v>
      </c>
      <c r="V1512" s="42"/>
      <c r="W1512" s="41"/>
      <c r="X1512" s="41"/>
      <c r="Y1512" s="39"/>
      <c r="Z1512" s="29"/>
      <c r="AA1512" s="29"/>
      <c r="AB1512" s="43">
        <f>T1512</f>
        <v>0</v>
      </c>
      <c r="AC1512" s="29"/>
      <c r="AD1512" s="29"/>
    </row>
    <row r="1513" spans="1:30" s="491" customFormat="1" ht="54.75" hidden="1" customHeight="1">
      <c r="A1513" s="25"/>
      <c r="B1513" s="643"/>
      <c r="C1513" s="515"/>
      <c r="D1513" s="514"/>
      <c r="E1513" s="670" t="s">
        <v>349</v>
      </c>
      <c r="F1513" s="670"/>
      <c r="G1513" s="670"/>
      <c r="H1513" s="670"/>
      <c r="I1513" s="670"/>
      <c r="J1513" s="670"/>
      <c r="K1513" s="670"/>
      <c r="L1513" s="498">
        <f>681.04372-K1507-L1510-L1511-L1515</f>
        <v>0</v>
      </c>
      <c r="M1513" s="459">
        <f>L1513</f>
        <v>0</v>
      </c>
      <c r="N1513" s="655"/>
      <c r="O1513" s="656"/>
      <c r="P1513" s="657"/>
      <c r="Q1513" s="671"/>
      <c r="R1513" s="723"/>
      <c r="S1513" s="673"/>
      <c r="T1513" s="460">
        <f>H1507*M1513*N1507*O1507*P1507</f>
        <v>0</v>
      </c>
      <c r="U1513" s="458">
        <f>T1513</f>
        <v>0</v>
      </c>
      <c r="V1513" s="42"/>
      <c r="W1513" s="41"/>
      <c r="X1513" s="41"/>
      <c r="Y1513" s="41"/>
      <c r="Z1513" s="44"/>
      <c r="AA1513" s="29"/>
      <c r="AB1513" s="29"/>
      <c r="AC1513" s="44">
        <f>T1513</f>
        <v>0</v>
      </c>
      <c r="AD1513" s="29"/>
    </row>
    <row r="1514" spans="1:30" s="491" customFormat="1" ht="24" hidden="1" customHeight="1">
      <c r="A1514" s="25"/>
      <c r="B1514" s="643"/>
      <c r="C1514" s="515"/>
      <c r="D1514" s="514"/>
      <c r="E1514" s="724"/>
      <c r="F1514" s="725"/>
      <c r="G1514" s="725"/>
      <c r="H1514" s="725"/>
      <c r="I1514" s="725"/>
      <c r="J1514" s="725"/>
      <c r="K1514" s="725"/>
      <c r="L1514" s="725"/>
      <c r="M1514" s="726"/>
      <c r="N1514" s="655"/>
      <c r="O1514" s="656"/>
      <c r="P1514" s="657"/>
      <c r="Q1514" s="677"/>
      <c r="R1514" s="727"/>
      <c r="S1514" s="727"/>
      <c r="T1514" s="727"/>
      <c r="U1514" s="679"/>
      <c r="V1514" s="45"/>
      <c r="W1514" s="41"/>
      <c r="X1514" s="41"/>
      <c r="Y1514" s="41"/>
      <c r="Z1514" s="29"/>
      <c r="AA1514" s="44"/>
      <c r="AB1514" s="29"/>
      <c r="AC1514" s="29"/>
      <c r="AD1514" s="29"/>
    </row>
    <row r="1515" spans="1:30" s="491" customFormat="1" ht="45" hidden="1" customHeight="1" thickBot="1">
      <c r="A1515" s="25"/>
      <c r="B1515" s="644"/>
      <c r="C1515" s="516"/>
      <c r="D1515" s="517"/>
      <c r="E1515" s="680" t="s">
        <v>369</v>
      </c>
      <c r="F1515" s="680" t="s">
        <v>306</v>
      </c>
      <c r="G1515" s="680"/>
      <c r="H1515" s="680"/>
      <c r="I1515" s="680"/>
      <c r="J1515" s="680"/>
      <c r="K1515" s="680"/>
      <c r="L1515" s="499">
        <f>ROUND((I1507+J1507+K1507+L1510)*3.93%,2)</f>
        <v>200.28</v>
      </c>
      <c r="M1515" s="46">
        <f>L1515</f>
        <v>200.28</v>
      </c>
      <c r="N1515" s="658"/>
      <c r="O1515" s="659"/>
      <c r="P1515" s="660"/>
      <c r="Q1515" s="681"/>
      <c r="R1515" s="682"/>
      <c r="S1515" s="683"/>
      <c r="T1515" s="385">
        <f>H1507*M1515*N1507*O1507*P1507</f>
        <v>0</v>
      </c>
      <c r="U1515" s="47">
        <f>T1515</f>
        <v>0</v>
      </c>
      <c r="V1515" s="48"/>
      <c r="W1515" s="41"/>
      <c r="X1515" s="41"/>
      <c r="Y1515" s="41"/>
      <c r="Z1515" s="29"/>
      <c r="AA1515" s="29"/>
      <c r="AB1515" s="44"/>
      <c r="AC1515" s="29"/>
      <c r="AD1515" s="44">
        <f>T1515</f>
        <v>0</v>
      </c>
    </row>
    <row r="1516" spans="1:30" s="491" customFormat="1" ht="150" hidden="1" customHeight="1">
      <c r="A1516" s="25"/>
      <c r="B1516" s="642">
        <v>3</v>
      </c>
      <c r="C1516" s="511">
        <v>10</v>
      </c>
      <c r="D1516" s="512"/>
      <c r="E1516" s="493" t="s">
        <v>738</v>
      </c>
      <c r="F1516" s="714" t="s">
        <v>739</v>
      </c>
      <c r="G1516" s="645" t="s">
        <v>357</v>
      </c>
      <c r="H1516" s="712">
        <v>0</v>
      </c>
      <c r="I1516" s="494">
        <v>0</v>
      </c>
      <c r="J1516" s="494">
        <v>5416.18</v>
      </c>
      <c r="K1516" s="494">
        <v>8.85</v>
      </c>
      <c r="L1516" s="494">
        <f>SUM(L1518:L1524)</f>
        <v>900.36306000000002</v>
      </c>
      <c r="M1516" s="33">
        <f>SUM(I1516:L1516)</f>
        <v>6325.3930600000003</v>
      </c>
      <c r="N1516" s="501">
        <v>1</v>
      </c>
      <c r="O1516" s="502">
        <v>1</v>
      </c>
      <c r="P1516" s="37">
        <v>1</v>
      </c>
      <c r="Q1516" s="34">
        <f>H1516*I1516*N1516*O1516*P1516</f>
        <v>0</v>
      </c>
      <c r="R1516" s="35">
        <f>H1516*J1516*N1516*O1516*P1516</f>
        <v>0</v>
      </c>
      <c r="S1516" s="36">
        <f>H1516*K1516*N1516*O1516*P1516</f>
        <v>0</v>
      </c>
      <c r="T1516" s="36">
        <f>H1516*L1516*N1516*O1516*P1516</f>
        <v>0</v>
      </c>
      <c r="U1516" s="37">
        <f>SUM(Q1516:T1516)</f>
        <v>0</v>
      </c>
      <c r="V1516" s="38">
        <f>(Q1516+R1516+S1516+T1520+T1521+T1522+T1524)*'Прогнозная стоимость РСС ИП '!$M$11+T1519*'Прогнозная стоимость РСС ИП '!$M$10</f>
        <v>0</v>
      </c>
      <c r="W1516" s="39">
        <f>T1516</f>
        <v>0</v>
      </c>
      <c r="X1516" s="39">
        <f>U1516</f>
        <v>0</v>
      </c>
      <c r="Y1516" s="39">
        <f>V1516</f>
        <v>0</v>
      </c>
      <c r="Z1516" s="29"/>
      <c r="AA1516" s="29"/>
      <c r="AB1516" s="29"/>
      <c r="AC1516" s="29"/>
      <c r="AD1516" s="29"/>
    </row>
    <row r="1517" spans="1:30" s="491" customFormat="1" ht="22.5" hidden="1" customHeight="1">
      <c r="A1517" s="25"/>
      <c r="B1517" s="643"/>
      <c r="C1517" s="513"/>
      <c r="D1517" s="514"/>
      <c r="E1517" s="495"/>
      <c r="F1517" s="715"/>
      <c r="G1517" s="646"/>
      <c r="H1517" s="713"/>
      <c r="I1517" s="716"/>
      <c r="J1517" s="717"/>
      <c r="K1517" s="717"/>
      <c r="L1517" s="717"/>
      <c r="M1517" s="718"/>
      <c r="N1517" s="652"/>
      <c r="O1517" s="653"/>
      <c r="P1517" s="654"/>
      <c r="Q1517" s="661"/>
      <c r="R1517" s="719"/>
      <c r="S1517" s="719"/>
      <c r="T1517" s="719"/>
      <c r="U1517" s="663"/>
      <c r="V1517" s="40"/>
      <c r="W1517" s="41"/>
      <c r="X1517" s="41"/>
      <c r="Y1517" s="41"/>
      <c r="Z1517" s="29"/>
      <c r="AA1517" s="29"/>
      <c r="AB1517" s="29"/>
      <c r="AC1517" s="29"/>
      <c r="AD1517" s="29"/>
    </row>
    <row r="1518" spans="1:30" s="491" customFormat="1" ht="41.25" hidden="1" customHeight="1">
      <c r="A1518" s="25"/>
      <c r="B1518" s="643"/>
      <c r="C1518" s="513"/>
      <c r="D1518" s="514"/>
      <c r="E1518" s="664" t="s">
        <v>29</v>
      </c>
      <c r="F1518" s="720"/>
      <c r="G1518" s="720"/>
      <c r="H1518" s="720"/>
      <c r="I1518" s="720"/>
      <c r="J1518" s="720"/>
      <c r="K1518" s="720"/>
      <c r="L1518" s="720"/>
      <c r="M1518" s="666"/>
      <c r="N1518" s="655"/>
      <c r="O1518" s="656"/>
      <c r="P1518" s="657"/>
      <c r="Q1518" s="667"/>
      <c r="R1518" s="721"/>
      <c r="S1518" s="721"/>
      <c r="T1518" s="721"/>
      <c r="U1518" s="722"/>
      <c r="V1518" s="42"/>
      <c r="W1518" s="41"/>
      <c r="X1518" s="41"/>
      <c r="Y1518" s="41"/>
      <c r="Z1518" s="29"/>
      <c r="AA1518" s="29"/>
      <c r="AB1518" s="29"/>
      <c r="AC1518" s="29"/>
      <c r="AD1518" s="29"/>
    </row>
    <row r="1519" spans="1:30" s="491" customFormat="1" ht="41.25" hidden="1" customHeight="1">
      <c r="A1519" s="25"/>
      <c r="B1519" s="643"/>
      <c r="C1519" s="513">
        <v>1010</v>
      </c>
      <c r="D1519" s="514"/>
      <c r="E1519" s="670" t="s">
        <v>30</v>
      </c>
      <c r="F1519" s="670"/>
      <c r="G1519" s="670"/>
      <c r="H1519" s="670"/>
      <c r="I1519" s="670"/>
      <c r="J1519" s="670"/>
      <c r="K1519" s="670"/>
      <c r="L1519" s="498">
        <v>372.19306</v>
      </c>
      <c r="M1519" s="456">
        <f>L1519</f>
        <v>372.19306</v>
      </c>
      <c r="N1519" s="655"/>
      <c r="O1519" s="656"/>
      <c r="P1519" s="657"/>
      <c r="Q1519" s="671"/>
      <c r="R1519" s="723"/>
      <c r="S1519" s="673"/>
      <c r="T1519" s="497">
        <f>H1516*M1519*N1516*O1516*P1516</f>
        <v>0</v>
      </c>
      <c r="U1519" s="458">
        <f>T1519</f>
        <v>0</v>
      </c>
      <c r="V1519" s="42"/>
      <c r="W1519" s="39"/>
      <c r="X1519" s="41"/>
      <c r="Y1519" s="41"/>
      <c r="Z1519" s="43">
        <f>T1519</f>
        <v>0</v>
      </c>
      <c r="AA1519" s="29"/>
      <c r="AB1519" s="29"/>
      <c r="AC1519" s="29"/>
      <c r="AD1519" s="29"/>
    </row>
    <row r="1520" spans="1:30" s="491" customFormat="1" ht="41.25" hidden="1" customHeight="1">
      <c r="A1520" s="25"/>
      <c r="B1520" s="643"/>
      <c r="C1520" s="513"/>
      <c r="D1520" s="514"/>
      <c r="E1520" s="670" t="s">
        <v>31</v>
      </c>
      <c r="F1520" s="670"/>
      <c r="G1520" s="670"/>
      <c r="H1520" s="670"/>
      <c r="I1520" s="670"/>
      <c r="J1520" s="670"/>
      <c r="K1520" s="670"/>
      <c r="L1520" s="498">
        <f>ROUND((I1516+J1516+K1516)*2.14%,2)</f>
        <v>116.1</v>
      </c>
      <c r="M1520" s="456">
        <f>L1520</f>
        <v>116.1</v>
      </c>
      <c r="N1520" s="655"/>
      <c r="O1520" s="656"/>
      <c r="P1520" s="657"/>
      <c r="Q1520" s="671"/>
      <c r="R1520" s="723"/>
      <c r="S1520" s="673"/>
      <c r="T1520" s="497">
        <f>H1516*M1520*N1516*O1516*P1516</f>
        <v>0</v>
      </c>
      <c r="U1520" s="458">
        <f>T1520</f>
        <v>0</v>
      </c>
      <c r="V1520" s="42"/>
      <c r="W1520" s="41"/>
      <c r="X1520" s="39"/>
      <c r="Y1520" s="41"/>
      <c r="Z1520" s="29"/>
      <c r="AA1520" s="43">
        <f>T1520</f>
        <v>0</v>
      </c>
      <c r="AB1520" s="29"/>
      <c r="AC1520" s="29"/>
      <c r="AD1520" s="29"/>
    </row>
    <row r="1521" spans="1:30" s="491" customFormat="1" ht="41.25" hidden="1" customHeight="1">
      <c r="A1521" s="25"/>
      <c r="B1521" s="643"/>
      <c r="C1521" s="515"/>
      <c r="D1521" s="514"/>
      <c r="E1521" s="670" t="s">
        <v>348</v>
      </c>
      <c r="F1521" s="670"/>
      <c r="G1521" s="670"/>
      <c r="H1521" s="670"/>
      <c r="I1521" s="670"/>
      <c r="J1521" s="670"/>
      <c r="K1521" s="670"/>
      <c r="L1521" s="498">
        <f>ROUND((I1516+J1516+K1516+L1519+L1520+L1524)*3%,2)+0.01</f>
        <v>184.23999999999998</v>
      </c>
      <c r="M1521" s="459">
        <f>L1521</f>
        <v>184.23999999999998</v>
      </c>
      <c r="N1521" s="655"/>
      <c r="O1521" s="656"/>
      <c r="P1521" s="657"/>
      <c r="Q1521" s="671"/>
      <c r="R1521" s="723"/>
      <c r="S1521" s="673"/>
      <c r="T1521" s="497">
        <f>H1516*M1521*N1516*O1516*P1516</f>
        <v>0</v>
      </c>
      <c r="U1521" s="458">
        <f>T1521</f>
        <v>0</v>
      </c>
      <c r="V1521" s="42"/>
      <c r="W1521" s="41"/>
      <c r="X1521" s="41"/>
      <c r="Y1521" s="39"/>
      <c r="Z1521" s="29"/>
      <c r="AA1521" s="29"/>
      <c r="AB1521" s="43">
        <f>T1521</f>
        <v>0</v>
      </c>
      <c r="AC1521" s="29"/>
      <c r="AD1521" s="29"/>
    </row>
    <row r="1522" spans="1:30" s="491" customFormat="1" ht="54.75" hidden="1" customHeight="1">
      <c r="A1522" s="25"/>
      <c r="B1522" s="643"/>
      <c r="C1522" s="515"/>
      <c r="D1522" s="514"/>
      <c r="E1522" s="670" t="s">
        <v>349</v>
      </c>
      <c r="F1522" s="670"/>
      <c r="G1522" s="670"/>
      <c r="H1522" s="670"/>
      <c r="I1522" s="670"/>
      <c r="J1522" s="670"/>
      <c r="K1522" s="670"/>
      <c r="L1522" s="498">
        <f>724.97306-K1516-L1519-L1520-L1524</f>
        <v>0</v>
      </c>
      <c r="M1522" s="459">
        <f>L1522</f>
        <v>0</v>
      </c>
      <c r="N1522" s="655"/>
      <c r="O1522" s="656"/>
      <c r="P1522" s="657"/>
      <c r="Q1522" s="671"/>
      <c r="R1522" s="723"/>
      <c r="S1522" s="673"/>
      <c r="T1522" s="460">
        <f>H1516*M1522*N1516*O1516*P1516</f>
        <v>0</v>
      </c>
      <c r="U1522" s="458">
        <f>T1522</f>
        <v>0</v>
      </c>
      <c r="V1522" s="42"/>
      <c r="W1522" s="41"/>
      <c r="X1522" s="41"/>
      <c r="Y1522" s="41"/>
      <c r="Z1522" s="44"/>
      <c r="AA1522" s="29"/>
      <c r="AB1522" s="29"/>
      <c r="AC1522" s="44">
        <f>T1522</f>
        <v>0</v>
      </c>
      <c r="AD1522" s="29"/>
    </row>
    <row r="1523" spans="1:30" s="491" customFormat="1" ht="24" hidden="1" customHeight="1">
      <c r="A1523" s="25"/>
      <c r="B1523" s="643"/>
      <c r="C1523" s="515"/>
      <c r="D1523" s="514"/>
      <c r="E1523" s="724"/>
      <c r="F1523" s="725"/>
      <c r="G1523" s="725"/>
      <c r="H1523" s="725"/>
      <c r="I1523" s="725"/>
      <c r="J1523" s="725"/>
      <c r="K1523" s="725"/>
      <c r="L1523" s="725"/>
      <c r="M1523" s="726"/>
      <c r="N1523" s="655"/>
      <c r="O1523" s="656"/>
      <c r="P1523" s="657"/>
      <c r="Q1523" s="677"/>
      <c r="R1523" s="727"/>
      <c r="S1523" s="727"/>
      <c r="T1523" s="727"/>
      <c r="U1523" s="679"/>
      <c r="V1523" s="45"/>
      <c r="W1523" s="41"/>
      <c r="X1523" s="41"/>
      <c r="Y1523" s="41"/>
      <c r="Z1523" s="29"/>
      <c r="AA1523" s="44"/>
      <c r="AB1523" s="29"/>
      <c r="AC1523" s="29"/>
      <c r="AD1523" s="29"/>
    </row>
    <row r="1524" spans="1:30" s="491" customFormat="1" ht="45" hidden="1" customHeight="1" thickBot="1">
      <c r="A1524" s="25"/>
      <c r="B1524" s="644"/>
      <c r="C1524" s="516"/>
      <c r="D1524" s="517"/>
      <c r="E1524" s="680" t="s">
        <v>369</v>
      </c>
      <c r="F1524" s="680" t="s">
        <v>306</v>
      </c>
      <c r="G1524" s="680"/>
      <c r="H1524" s="680"/>
      <c r="I1524" s="680"/>
      <c r="J1524" s="680"/>
      <c r="K1524" s="680"/>
      <c r="L1524" s="499">
        <f>ROUND((I1516+J1516+K1516+L1519)*3.93%,2)</f>
        <v>227.83</v>
      </c>
      <c r="M1524" s="46">
        <f>L1524</f>
        <v>227.83</v>
      </c>
      <c r="N1524" s="658"/>
      <c r="O1524" s="659"/>
      <c r="P1524" s="660"/>
      <c r="Q1524" s="681"/>
      <c r="R1524" s="682"/>
      <c r="S1524" s="683"/>
      <c r="T1524" s="385">
        <f>H1516*M1524*N1516*O1516*P1516</f>
        <v>0</v>
      </c>
      <c r="U1524" s="47">
        <f>T1524</f>
        <v>0</v>
      </c>
      <c r="V1524" s="48"/>
      <c r="W1524" s="41"/>
      <c r="X1524" s="41"/>
      <c r="Y1524" s="41"/>
      <c r="Z1524" s="29"/>
      <c r="AA1524" s="29"/>
      <c r="AB1524" s="44"/>
      <c r="AC1524" s="29"/>
      <c r="AD1524" s="44">
        <f>T1524</f>
        <v>0</v>
      </c>
    </row>
    <row r="1525" spans="1:30" s="491" customFormat="1" ht="150" hidden="1" customHeight="1">
      <c r="A1525" s="25"/>
      <c r="B1525" s="642">
        <v>3</v>
      </c>
      <c r="C1525" s="511">
        <v>10</v>
      </c>
      <c r="D1525" s="512"/>
      <c r="E1525" s="493" t="s">
        <v>740</v>
      </c>
      <c r="F1525" s="714" t="s">
        <v>741</v>
      </c>
      <c r="G1525" s="645" t="s">
        <v>357</v>
      </c>
      <c r="H1525" s="712">
        <v>0</v>
      </c>
      <c r="I1525" s="494">
        <v>0</v>
      </c>
      <c r="J1525" s="494">
        <v>6016.89</v>
      </c>
      <c r="K1525" s="494">
        <v>8.85</v>
      </c>
      <c r="L1525" s="494">
        <f>SUM(L1527:L1533)</f>
        <v>957.22448000000009</v>
      </c>
      <c r="M1525" s="33">
        <f>SUM(I1525:L1525)</f>
        <v>6982.9644800000005</v>
      </c>
      <c r="N1525" s="501">
        <v>1</v>
      </c>
      <c r="O1525" s="502">
        <v>1</v>
      </c>
      <c r="P1525" s="37">
        <v>1</v>
      </c>
      <c r="Q1525" s="34">
        <f>H1525*I1525*N1525*O1525*P1525</f>
        <v>0</v>
      </c>
      <c r="R1525" s="35">
        <f>H1525*J1525*N1525*O1525*P1525</f>
        <v>0</v>
      </c>
      <c r="S1525" s="36">
        <f>H1525*K1525*N1525*O1525*P1525</f>
        <v>0</v>
      </c>
      <c r="T1525" s="36">
        <f>H1525*L1525*N1525*O1525*P1525</f>
        <v>0</v>
      </c>
      <c r="U1525" s="37">
        <f>SUM(Q1525:T1525)</f>
        <v>0</v>
      </c>
      <c r="V1525" s="38">
        <f>(Q1525+R1525+S1525+T1529+T1530+T1531+T1533)*'Прогнозная стоимость РСС ИП '!$M$11+T1528*'Прогнозная стоимость РСС ИП '!$M$10</f>
        <v>0</v>
      </c>
      <c r="W1525" s="39">
        <f>T1525</f>
        <v>0</v>
      </c>
      <c r="X1525" s="39">
        <f>U1525</f>
        <v>0</v>
      </c>
      <c r="Y1525" s="39">
        <f>V1525</f>
        <v>0</v>
      </c>
      <c r="Z1525" s="29"/>
      <c r="AA1525" s="29"/>
      <c r="AB1525" s="29"/>
      <c r="AC1525" s="29"/>
      <c r="AD1525" s="29"/>
    </row>
    <row r="1526" spans="1:30" s="491" customFormat="1" ht="22.5" hidden="1" customHeight="1">
      <c r="A1526" s="25"/>
      <c r="B1526" s="643"/>
      <c r="C1526" s="513"/>
      <c r="D1526" s="514"/>
      <c r="E1526" s="495"/>
      <c r="F1526" s="715"/>
      <c r="G1526" s="646"/>
      <c r="H1526" s="713"/>
      <c r="I1526" s="716"/>
      <c r="J1526" s="717"/>
      <c r="K1526" s="717"/>
      <c r="L1526" s="717"/>
      <c r="M1526" s="718"/>
      <c r="N1526" s="652"/>
      <c r="O1526" s="653"/>
      <c r="P1526" s="654"/>
      <c r="Q1526" s="661"/>
      <c r="R1526" s="719"/>
      <c r="S1526" s="719"/>
      <c r="T1526" s="719"/>
      <c r="U1526" s="663"/>
      <c r="V1526" s="40"/>
      <c r="W1526" s="41"/>
      <c r="X1526" s="41"/>
      <c r="Y1526" s="41"/>
      <c r="Z1526" s="29"/>
      <c r="AA1526" s="29"/>
      <c r="AB1526" s="29"/>
      <c r="AC1526" s="29"/>
      <c r="AD1526" s="29"/>
    </row>
    <row r="1527" spans="1:30" s="491" customFormat="1" ht="41.25" hidden="1" customHeight="1">
      <c r="A1527" s="25"/>
      <c r="B1527" s="643"/>
      <c r="C1527" s="513"/>
      <c r="D1527" s="514"/>
      <c r="E1527" s="664" t="s">
        <v>29</v>
      </c>
      <c r="F1527" s="720"/>
      <c r="G1527" s="720"/>
      <c r="H1527" s="720"/>
      <c r="I1527" s="720"/>
      <c r="J1527" s="720"/>
      <c r="K1527" s="720"/>
      <c r="L1527" s="720"/>
      <c r="M1527" s="666"/>
      <c r="N1527" s="655"/>
      <c r="O1527" s="656"/>
      <c r="P1527" s="657"/>
      <c r="Q1527" s="667"/>
      <c r="R1527" s="721"/>
      <c r="S1527" s="721"/>
      <c r="T1527" s="721"/>
      <c r="U1527" s="722"/>
      <c r="V1527" s="42"/>
      <c r="W1527" s="41"/>
      <c r="X1527" s="41"/>
      <c r="Y1527" s="41"/>
      <c r="Z1527" s="29"/>
      <c r="AA1527" s="29"/>
      <c r="AB1527" s="29"/>
      <c r="AC1527" s="29"/>
      <c r="AD1527" s="29"/>
    </row>
    <row r="1528" spans="1:30" s="491" customFormat="1" ht="41.25" hidden="1" customHeight="1">
      <c r="A1528" s="25"/>
      <c r="B1528" s="643"/>
      <c r="C1528" s="513">
        <v>1010</v>
      </c>
      <c r="D1528" s="514"/>
      <c r="E1528" s="670" t="s">
        <v>30</v>
      </c>
      <c r="F1528" s="670"/>
      <c r="G1528" s="670"/>
      <c r="H1528" s="670"/>
      <c r="I1528" s="670"/>
      <c r="J1528" s="670"/>
      <c r="K1528" s="670"/>
      <c r="L1528" s="498">
        <v>373.39448000000004</v>
      </c>
      <c r="M1528" s="456">
        <f>L1528</f>
        <v>373.39448000000004</v>
      </c>
      <c r="N1528" s="655"/>
      <c r="O1528" s="656"/>
      <c r="P1528" s="657"/>
      <c r="Q1528" s="671"/>
      <c r="R1528" s="723"/>
      <c r="S1528" s="673"/>
      <c r="T1528" s="497">
        <f>H1525*M1528*N1525*O1525*P1525</f>
        <v>0</v>
      </c>
      <c r="U1528" s="458">
        <f>T1528</f>
        <v>0</v>
      </c>
      <c r="V1528" s="42"/>
      <c r="W1528" s="39"/>
      <c r="X1528" s="41"/>
      <c r="Y1528" s="41"/>
      <c r="Z1528" s="43">
        <f>T1528</f>
        <v>0</v>
      </c>
      <c r="AA1528" s="29"/>
      <c r="AB1528" s="29"/>
      <c r="AC1528" s="29"/>
      <c r="AD1528" s="29"/>
    </row>
    <row r="1529" spans="1:30" s="491" customFormat="1" ht="41.25" hidden="1" customHeight="1">
      <c r="A1529" s="25"/>
      <c r="B1529" s="643"/>
      <c r="C1529" s="513"/>
      <c r="D1529" s="514"/>
      <c r="E1529" s="670" t="s">
        <v>31</v>
      </c>
      <c r="F1529" s="670"/>
      <c r="G1529" s="670"/>
      <c r="H1529" s="670"/>
      <c r="I1529" s="670"/>
      <c r="J1529" s="670"/>
      <c r="K1529" s="670"/>
      <c r="L1529" s="498">
        <f>ROUND((I1525+J1525+K1525)*2.14%,2)</f>
        <v>128.94999999999999</v>
      </c>
      <c r="M1529" s="456">
        <f>L1529</f>
        <v>128.94999999999999</v>
      </c>
      <c r="N1529" s="655"/>
      <c r="O1529" s="656"/>
      <c r="P1529" s="657"/>
      <c r="Q1529" s="671"/>
      <c r="R1529" s="723"/>
      <c r="S1529" s="673"/>
      <c r="T1529" s="497">
        <f>H1525*M1529*N1525*O1525*P1525</f>
        <v>0</v>
      </c>
      <c r="U1529" s="458">
        <f>T1529</f>
        <v>0</v>
      </c>
      <c r="V1529" s="42"/>
      <c r="W1529" s="41"/>
      <c r="X1529" s="39"/>
      <c r="Y1529" s="41"/>
      <c r="Z1529" s="29"/>
      <c r="AA1529" s="43">
        <f>T1529</f>
        <v>0</v>
      </c>
      <c r="AB1529" s="29"/>
      <c r="AC1529" s="29"/>
      <c r="AD1529" s="29"/>
    </row>
    <row r="1530" spans="1:30" s="491" customFormat="1" ht="41.25" hidden="1" customHeight="1">
      <c r="A1530" s="25"/>
      <c r="B1530" s="643"/>
      <c r="C1530" s="515"/>
      <c r="D1530" s="514"/>
      <c r="E1530" s="670" t="s">
        <v>348</v>
      </c>
      <c r="F1530" s="670"/>
      <c r="G1530" s="670"/>
      <c r="H1530" s="670"/>
      <c r="I1530" s="670"/>
      <c r="J1530" s="670"/>
      <c r="K1530" s="670"/>
      <c r="L1530" s="498">
        <f>ROUND((I1525+J1525+K1525+L1528+L1529+L1533)*3%,2)</f>
        <v>203.39</v>
      </c>
      <c r="M1530" s="459">
        <f>L1530</f>
        <v>203.39</v>
      </c>
      <c r="N1530" s="655"/>
      <c r="O1530" s="656"/>
      <c r="P1530" s="657"/>
      <c r="Q1530" s="671"/>
      <c r="R1530" s="723"/>
      <c r="S1530" s="673"/>
      <c r="T1530" s="497">
        <f>H1525*M1530*N1525*O1525*P1525</f>
        <v>0</v>
      </c>
      <c r="U1530" s="458">
        <f>T1530</f>
        <v>0</v>
      </c>
      <c r="V1530" s="42"/>
      <c r="W1530" s="41"/>
      <c r="X1530" s="41"/>
      <c r="Y1530" s="39"/>
      <c r="Z1530" s="29"/>
      <c r="AA1530" s="29"/>
      <c r="AB1530" s="43">
        <f>T1530</f>
        <v>0</v>
      </c>
      <c r="AC1530" s="29"/>
      <c r="AD1530" s="29"/>
    </row>
    <row r="1531" spans="1:30" s="491" customFormat="1" ht="54.75" hidden="1" customHeight="1">
      <c r="A1531" s="25"/>
      <c r="B1531" s="643"/>
      <c r="C1531" s="515"/>
      <c r="D1531" s="514"/>
      <c r="E1531" s="670" t="s">
        <v>349</v>
      </c>
      <c r="F1531" s="670"/>
      <c r="G1531" s="670"/>
      <c r="H1531" s="670"/>
      <c r="I1531" s="670"/>
      <c r="J1531" s="670"/>
      <c r="K1531" s="670"/>
      <c r="L1531" s="498">
        <f>762.68448-K1525-L1528-L1529-L1533</f>
        <v>0</v>
      </c>
      <c r="M1531" s="459">
        <f>L1531</f>
        <v>0</v>
      </c>
      <c r="N1531" s="655"/>
      <c r="O1531" s="656"/>
      <c r="P1531" s="657"/>
      <c r="Q1531" s="671"/>
      <c r="R1531" s="723"/>
      <c r="S1531" s="673"/>
      <c r="T1531" s="460">
        <f>H1525*M1531*N1525*O1525*P1525</f>
        <v>0</v>
      </c>
      <c r="U1531" s="458">
        <f>T1531</f>
        <v>0</v>
      </c>
      <c r="V1531" s="42"/>
      <c r="W1531" s="41"/>
      <c r="X1531" s="41"/>
      <c r="Y1531" s="41"/>
      <c r="Z1531" s="44"/>
      <c r="AA1531" s="29"/>
      <c r="AB1531" s="29"/>
      <c r="AC1531" s="44">
        <f>T1531</f>
        <v>0</v>
      </c>
      <c r="AD1531" s="29"/>
    </row>
    <row r="1532" spans="1:30" s="491" customFormat="1" ht="24" hidden="1" customHeight="1">
      <c r="A1532" s="25"/>
      <c r="B1532" s="643"/>
      <c r="C1532" s="515"/>
      <c r="D1532" s="514"/>
      <c r="E1532" s="724"/>
      <c r="F1532" s="725"/>
      <c r="G1532" s="725"/>
      <c r="H1532" s="725"/>
      <c r="I1532" s="725"/>
      <c r="J1532" s="725"/>
      <c r="K1532" s="725"/>
      <c r="L1532" s="725"/>
      <c r="M1532" s="726"/>
      <c r="N1532" s="655"/>
      <c r="O1532" s="656"/>
      <c r="P1532" s="657"/>
      <c r="Q1532" s="677"/>
      <c r="R1532" s="727"/>
      <c r="S1532" s="727"/>
      <c r="T1532" s="727"/>
      <c r="U1532" s="679"/>
      <c r="V1532" s="45"/>
      <c r="W1532" s="41"/>
      <c r="X1532" s="41"/>
      <c r="Y1532" s="41"/>
      <c r="Z1532" s="29"/>
      <c r="AA1532" s="44"/>
      <c r="AB1532" s="29"/>
      <c r="AC1532" s="29"/>
      <c r="AD1532" s="29"/>
    </row>
    <row r="1533" spans="1:30" s="491" customFormat="1" ht="45" hidden="1" customHeight="1" thickBot="1">
      <c r="A1533" s="25"/>
      <c r="B1533" s="644"/>
      <c r="C1533" s="516"/>
      <c r="D1533" s="517"/>
      <c r="E1533" s="680" t="s">
        <v>369</v>
      </c>
      <c r="F1533" s="680" t="s">
        <v>306</v>
      </c>
      <c r="G1533" s="680"/>
      <c r="H1533" s="680"/>
      <c r="I1533" s="680"/>
      <c r="J1533" s="680"/>
      <c r="K1533" s="680"/>
      <c r="L1533" s="499">
        <f>ROUND((I1525+J1525+K1525+L1528)*3.93%,2)</f>
        <v>251.49</v>
      </c>
      <c r="M1533" s="46">
        <f>L1533</f>
        <v>251.49</v>
      </c>
      <c r="N1533" s="658"/>
      <c r="O1533" s="659"/>
      <c r="P1533" s="660"/>
      <c r="Q1533" s="681"/>
      <c r="R1533" s="682"/>
      <c r="S1533" s="683"/>
      <c r="T1533" s="385">
        <f>H1525*M1533*N1525*O1525*P1525</f>
        <v>0</v>
      </c>
      <c r="U1533" s="47">
        <f>T1533</f>
        <v>0</v>
      </c>
      <c r="V1533" s="48"/>
      <c r="W1533" s="41"/>
      <c r="X1533" s="41"/>
      <c r="Y1533" s="41"/>
      <c r="Z1533" s="29"/>
      <c r="AA1533" s="29"/>
      <c r="AB1533" s="44"/>
      <c r="AC1533" s="29"/>
      <c r="AD1533" s="44">
        <f>T1533</f>
        <v>0</v>
      </c>
    </row>
    <row r="1534" spans="1:30" s="491" customFormat="1" ht="150" hidden="1" customHeight="1">
      <c r="A1534" s="25"/>
      <c r="B1534" s="642">
        <v>3</v>
      </c>
      <c r="C1534" s="511">
        <v>10</v>
      </c>
      <c r="D1534" s="512"/>
      <c r="E1534" s="493" t="s">
        <v>742</v>
      </c>
      <c r="F1534" s="714" t="s">
        <v>743</v>
      </c>
      <c r="G1534" s="645" t="s">
        <v>357</v>
      </c>
      <c r="H1534" s="712">
        <v>0</v>
      </c>
      <c r="I1534" s="494">
        <v>0</v>
      </c>
      <c r="J1534" s="494">
        <v>7906.8700000000008</v>
      </c>
      <c r="K1534" s="494">
        <v>8.85</v>
      </c>
      <c r="L1534" s="494">
        <f>SUM(L1536:L1542)</f>
        <v>1136.13444</v>
      </c>
      <c r="M1534" s="33">
        <f>SUM(I1534:L1534)</f>
        <v>9051.854440000001</v>
      </c>
      <c r="N1534" s="501">
        <v>1</v>
      </c>
      <c r="O1534" s="502">
        <v>1</v>
      </c>
      <c r="P1534" s="37">
        <v>1</v>
      </c>
      <c r="Q1534" s="34">
        <f>H1534*I1534*N1534*O1534*P1534</f>
        <v>0</v>
      </c>
      <c r="R1534" s="35">
        <f>H1534*J1534*N1534*O1534*P1534</f>
        <v>0</v>
      </c>
      <c r="S1534" s="36">
        <f>H1534*K1534*N1534*O1534*P1534</f>
        <v>0</v>
      </c>
      <c r="T1534" s="36">
        <f>H1534*L1534*N1534*O1534*P1534</f>
        <v>0</v>
      </c>
      <c r="U1534" s="37">
        <f>SUM(Q1534:T1534)</f>
        <v>0</v>
      </c>
      <c r="V1534" s="38">
        <f>(Q1534+R1534+S1534+T1538+T1539+T1540+T1542)*'Прогнозная стоимость РСС ИП '!$M$11+T1537*'Прогнозная стоимость РСС ИП '!$M$10</f>
        <v>0</v>
      </c>
      <c r="W1534" s="39">
        <f>T1534</f>
        <v>0</v>
      </c>
      <c r="X1534" s="39">
        <f>U1534</f>
        <v>0</v>
      </c>
      <c r="Y1534" s="39">
        <f>V1534</f>
        <v>0</v>
      </c>
      <c r="Z1534" s="29"/>
      <c r="AA1534" s="29"/>
      <c r="AB1534" s="29"/>
      <c r="AC1534" s="29"/>
      <c r="AD1534" s="29"/>
    </row>
    <row r="1535" spans="1:30" s="491" customFormat="1" ht="22.5" hidden="1" customHeight="1">
      <c r="A1535" s="25"/>
      <c r="B1535" s="643"/>
      <c r="C1535" s="513"/>
      <c r="D1535" s="514"/>
      <c r="E1535" s="495"/>
      <c r="F1535" s="715"/>
      <c r="G1535" s="646"/>
      <c r="H1535" s="713"/>
      <c r="I1535" s="716"/>
      <c r="J1535" s="717"/>
      <c r="K1535" s="717"/>
      <c r="L1535" s="717"/>
      <c r="M1535" s="718"/>
      <c r="N1535" s="652"/>
      <c r="O1535" s="653"/>
      <c r="P1535" s="654"/>
      <c r="Q1535" s="661"/>
      <c r="R1535" s="719"/>
      <c r="S1535" s="719"/>
      <c r="T1535" s="719"/>
      <c r="U1535" s="663"/>
      <c r="V1535" s="40"/>
      <c r="W1535" s="41"/>
      <c r="X1535" s="41"/>
      <c r="Y1535" s="41"/>
      <c r="Z1535" s="29"/>
      <c r="AA1535" s="29"/>
      <c r="AB1535" s="29"/>
      <c r="AC1535" s="29"/>
      <c r="AD1535" s="29"/>
    </row>
    <row r="1536" spans="1:30" s="491" customFormat="1" ht="41.25" hidden="1" customHeight="1">
      <c r="A1536" s="25"/>
      <c r="B1536" s="643"/>
      <c r="C1536" s="513"/>
      <c r="D1536" s="514"/>
      <c r="E1536" s="664" t="s">
        <v>29</v>
      </c>
      <c r="F1536" s="720"/>
      <c r="G1536" s="720"/>
      <c r="H1536" s="720"/>
      <c r="I1536" s="720"/>
      <c r="J1536" s="720"/>
      <c r="K1536" s="720"/>
      <c r="L1536" s="720"/>
      <c r="M1536" s="666"/>
      <c r="N1536" s="655"/>
      <c r="O1536" s="656"/>
      <c r="P1536" s="657"/>
      <c r="Q1536" s="667"/>
      <c r="R1536" s="721"/>
      <c r="S1536" s="721"/>
      <c r="T1536" s="721"/>
      <c r="U1536" s="722"/>
      <c r="V1536" s="42"/>
      <c r="W1536" s="41"/>
      <c r="X1536" s="41"/>
      <c r="Y1536" s="41"/>
      <c r="Z1536" s="29"/>
      <c r="AA1536" s="29"/>
      <c r="AB1536" s="29"/>
      <c r="AC1536" s="29"/>
      <c r="AD1536" s="29"/>
    </row>
    <row r="1537" spans="1:30" s="491" customFormat="1" ht="41.25" hidden="1" customHeight="1">
      <c r="A1537" s="25"/>
      <c r="B1537" s="643"/>
      <c r="C1537" s="513">
        <v>1010</v>
      </c>
      <c r="D1537" s="514"/>
      <c r="E1537" s="670" t="s">
        <v>30</v>
      </c>
      <c r="F1537" s="670"/>
      <c r="G1537" s="670"/>
      <c r="H1537" s="670"/>
      <c r="I1537" s="670"/>
      <c r="J1537" s="670"/>
      <c r="K1537" s="670"/>
      <c r="L1537" s="498">
        <v>377.17444</v>
      </c>
      <c r="M1537" s="456">
        <f>L1537</f>
        <v>377.17444</v>
      </c>
      <c r="N1537" s="655"/>
      <c r="O1537" s="656"/>
      <c r="P1537" s="657"/>
      <c r="Q1537" s="671"/>
      <c r="R1537" s="723"/>
      <c r="S1537" s="673"/>
      <c r="T1537" s="497">
        <f>H1534*M1537*N1534*O1534*P1534</f>
        <v>0</v>
      </c>
      <c r="U1537" s="458">
        <f>T1537</f>
        <v>0</v>
      </c>
      <c r="V1537" s="42"/>
      <c r="W1537" s="39"/>
      <c r="X1537" s="41"/>
      <c r="Y1537" s="41"/>
      <c r="Z1537" s="43">
        <f>T1537</f>
        <v>0</v>
      </c>
      <c r="AA1537" s="29"/>
      <c r="AB1537" s="29"/>
      <c r="AC1537" s="29"/>
      <c r="AD1537" s="29"/>
    </row>
    <row r="1538" spans="1:30" s="491" customFormat="1" ht="41.25" hidden="1" customHeight="1">
      <c r="A1538" s="25"/>
      <c r="B1538" s="643"/>
      <c r="C1538" s="513"/>
      <c r="D1538" s="514"/>
      <c r="E1538" s="670" t="s">
        <v>31</v>
      </c>
      <c r="F1538" s="670"/>
      <c r="G1538" s="670"/>
      <c r="H1538" s="670"/>
      <c r="I1538" s="670"/>
      <c r="J1538" s="670"/>
      <c r="K1538" s="670"/>
      <c r="L1538" s="498">
        <f>ROUND((I1534+J1534+K1534)*2.14%,2)</f>
        <v>169.4</v>
      </c>
      <c r="M1538" s="456">
        <f>L1538</f>
        <v>169.4</v>
      </c>
      <c r="N1538" s="655"/>
      <c r="O1538" s="656"/>
      <c r="P1538" s="657"/>
      <c r="Q1538" s="671"/>
      <c r="R1538" s="723"/>
      <c r="S1538" s="673"/>
      <c r="T1538" s="497">
        <f>H1534*M1538*N1534*O1534*P1534</f>
        <v>0</v>
      </c>
      <c r="U1538" s="458">
        <f>T1538</f>
        <v>0</v>
      </c>
      <c r="V1538" s="42"/>
      <c r="W1538" s="41"/>
      <c r="X1538" s="39"/>
      <c r="Y1538" s="41"/>
      <c r="Z1538" s="29"/>
      <c r="AA1538" s="43">
        <f>T1538</f>
        <v>0</v>
      </c>
      <c r="AB1538" s="29"/>
      <c r="AC1538" s="29"/>
      <c r="AD1538" s="29"/>
    </row>
    <row r="1539" spans="1:30" s="491" customFormat="1" ht="41.25" hidden="1" customHeight="1">
      <c r="A1539" s="25"/>
      <c r="B1539" s="643"/>
      <c r="C1539" s="515"/>
      <c r="D1539" s="514"/>
      <c r="E1539" s="670" t="s">
        <v>348</v>
      </c>
      <c r="F1539" s="670"/>
      <c r="G1539" s="670"/>
      <c r="H1539" s="670"/>
      <c r="I1539" s="670"/>
      <c r="J1539" s="670"/>
      <c r="K1539" s="670"/>
      <c r="L1539" s="498">
        <f>ROUND((I1534+J1534+K1534+L1537+L1538+L1542)*3%,2)</f>
        <v>263.64999999999998</v>
      </c>
      <c r="M1539" s="459">
        <f>L1539</f>
        <v>263.64999999999998</v>
      </c>
      <c r="N1539" s="655"/>
      <c r="O1539" s="656"/>
      <c r="P1539" s="657"/>
      <c r="Q1539" s="671"/>
      <c r="R1539" s="723"/>
      <c r="S1539" s="673"/>
      <c r="T1539" s="497">
        <f>H1534*M1539*N1534*O1534*P1534</f>
        <v>0</v>
      </c>
      <c r="U1539" s="458">
        <f>T1539</f>
        <v>0</v>
      </c>
      <c r="V1539" s="42"/>
      <c r="W1539" s="41"/>
      <c r="X1539" s="41"/>
      <c r="Y1539" s="39"/>
      <c r="Z1539" s="29"/>
      <c r="AA1539" s="29"/>
      <c r="AB1539" s="43">
        <f>T1539</f>
        <v>0</v>
      </c>
      <c r="AC1539" s="29"/>
      <c r="AD1539" s="29"/>
    </row>
    <row r="1540" spans="1:30" s="491" customFormat="1" ht="54.75" hidden="1" customHeight="1">
      <c r="A1540" s="25"/>
      <c r="B1540" s="643"/>
      <c r="C1540" s="515"/>
      <c r="D1540" s="514"/>
      <c r="E1540" s="670" t="s">
        <v>349</v>
      </c>
      <c r="F1540" s="670"/>
      <c r="G1540" s="670"/>
      <c r="H1540" s="670"/>
      <c r="I1540" s="670"/>
      <c r="J1540" s="670"/>
      <c r="K1540" s="670"/>
      <c r="L1540" s="498">
        <f>881.33444-K1534-L1537-L1538-L1542</f>
        <v>0</v>
      </c>
      <c r="M1540" s="459">
        <f>L1540</f>
        <v>0</v>
      </c>
      <c r="N1540" s="655"/>
      <c r="O1540" s="656"/>
      <c r="P1540" s="657"/>
      <c r="Q1540" s="671"/>
      <c r="R1540" s="723"/>
      <c r="S1540" s="673"/>
      <c r="T1540" s="460">
        <f>H1534*M1540*N1534*O1534*P1534</f>
        <v>0</v>
      </c>
      <c r="U1540" s="458">
        <f>T1540</f>
        <v>0</v>
      </c>
      <c r="V1540" s="42"/>
      <c r="W1540" s="41"/>
      <c r="X1540" s="41"/>
      <c r="Y1540" s="41"/>
      <c r="Z1540" s="44"/>
      <c r="AA1540" s="29"/>
      <c r="AB1540" s="29"/>
      <c r="AC1540" s="44">
        <f>T1540</f>
        <v>0</v>
      </c>
      <c r="AD1540" s="29"/>
    </row>
    <row r="1541" spans="1:30" s="491" customFormat="1" ht="24" hidden="1" customHeight="1">
      <c r="A1541" s="25"/>
      <c r="B1541" s="643"/>
      <c r="C1541" s="515"/>
      <c r="D1541" s="514"/>
      <c r="E1541" s="724"/>
      <c r="F1541" s="725"/>
      <c r="G1541" s="725"/>
      <c r="H1541" s="725"/>
      <c r="I1541" s="725"/>
      <c r="J1541" s="725"/>
      <c r="K1541" s="725"/>
      <c r="L1541" s="725"/>
      <c r="M1541" s="726"/>
      <c r="N1541" s="655"/>
      <c r="O1541" s="656"/>
      <c r="P1541" s="657"/>
      <c r="Q1541" s="677"/>
      <c r="R1541" s="727"/>
      <c r="S1541" s="727"/>
      <c r="T1541" s="727"/>
      <c r="U1541" s="679"/>
      <c r="V1541" s="45"/>
      <c r="W1541" s="41"/>
      <c r="X1541" s="41"/>
      <c r="Y1541" s="41"/>
      <c r="Z1541" s="29"/>
      <c r="AA1541" s="44"/>
      <c r="AB1541" s="29"/>
      <c r="AC1541" s="29"/>
      <c r="AD1541" s="29"/>
    </row>
    <row r="1542" spans="1:30" s="491" customFormat="1" ht="45" hidden="1" customHeight="1" thickBot="1">
      <c r="A1542" s="25"/>
      <c r="B1542" s="644"/>
      <c r="C1542" s="516"/>
      <c r="D1542" s="517"/>
      <c r="E1542" s="680" t="s">
        <v>369</v>
      </c>
      <c r="F1542" s="680" t="s">
        <v>306</v>
      </c>
      <c r="G1542" s="680"/>
      <c r="H1542" s="680"/>
      <c r="I1542" s="680"/>
      <c r="J1542" s="680"/>
      <c r="K1542" s="680"/>
      <c r="L1542" s="499">
        <f>ROUND((I1534+J1534+K1534+L1537)*3.93%,2)</f>
        <v>325.91000000000003</v>
      </c>
      <c r="M1542" s="46">
        <f>L1542</f>
        <v>325.91000000000003</v>
      </c>
      <c r="N1542" s="658"/>
      <c r="O1542" s="659"/>
      <c r="P1542" s="660"/>
      <c r="Q1542" s="681"/>
      <c r="R1542" s="682"/>
      <c r="S1542" s="683"/>
      <c r="T1542" s="385">
        <f>H1534*M1542*N1534*O1534*P1534</f>
        <v>0</v>
      </c>
      <c r="U1542" s="47">
        <f>T1542</f>
        <v>0</v>
      </c>
      <c r="V1542" s="48"/>
      <c r="W1542" s="41"/>
      <c r="X1542" s="41"/>
      <c r="Y1542" s="41"/>
      <c r="Z1542" s="29"/>
      <c r="AA1542" s="29"/>
      <c r="AB1542" s="44"/>
      <c r="AC1542" s="29"/>
      <c r="AD1542" s="44">
        <f>T1542</f>
        <v>0</v>
      </c>
    </row>
    <row r="1543" spans="1:30" s="505" customFormat="1" ht="150" hidden="1" customHeight="1" thickBot="1">
      <c r="A1543" s="492"/>
      <c r="B1543" s="642">
        <v>2</v>
      </c>
      <c r="C1543" s="511">
        <v>10</v>
      </c>
      <c r="D1543" s="512"/>
      <c r="E1543" s="493" t="s">
        <v>633</v>
      </c>
      <c r="F1543" s="487" t="s">
        <v>634</v>
      </c>
      <c r="G1543" s="645" t="s">
        <v>388</v>
      </c>
      <c r="H1543" s="688">
        <v>0</v>
      </c>
      <c r="I1543" s="494">
        <v>2457.2199999999998</v>
      </c>
      <c r="J1543" s="494">
        <v>213.35</v>
      </c>
      <c r="K1543" s="494">
        <v>450.23</v>
      </c>
      <c r="L1543" s="494">
        <f>SUM(L1545:L1551)</f>
        <v>426.95000000000005</v>
      </c>
      <c r="M1543" s="33">
        <f>SUM(I1543:L1543)</f>
        <v>3547.75</v>
      </c>
      <c r="N1543" s="501">
        <v>1</v>
      </c>
      <c r="O1543" s="502">
        <v>1</v>
      </c>
      <c r="P1543" s="37">
        <v>1</v>
      </c>
      <c r="Q1543" s="34">
        <f>H1543*I1543*N1543*O1543*P1543</f>
        <v>0</v>
      </c>
      <c r="R1543" s="35">
        <f>H1543*J1543*N1543*O1543*P1543</f>
        <v>0</v>
      </c>
      <c r="S1543" s="36">
        <f>H1543*K1543*N1543*O1543*P1543</f>
        <v>0</v>
      </c>
      <c r="T1543" s="36">
        <f>H1543*L1543*N1543*O1543*P1543</f>
        <v>0</v>
      </c>
      <c r="U1543" s="37">
        <f>SUM(Q1543:T1543)</f>
        <v>0</v>
      </c>
      <c r="V1543" s="38">
        <f>(Q1543+R1543+S1543+T1547+T1548+T1549+T1551)*'Прогнозная стоимость РСС ИП '!$M$11+T1546*'Прогнозная стоимость РСС ИП '!$M$10</f>
        <v>0</v>
      </c>
      <c r="W1543" s="503">
        <f>T1543</f>
        <v>0</v>
      </c>
      <c r="X1543" s="503">
        <f>U1543</f>
        <v>0</v>
      </c>
      <c r="Y1543" s="503">
        <f>V1543</f>
        <v>0</v>
      </c>
      <c r="Z1543" s="504"/>
      <c r="AA1543" s="504"/>
      <c r="AB1543" s="504"/>
      <c r="AC1543" s="504"/>
      <c r="AD1543" s="504"/>
    </row>
    <row r="1544" spans="1:30" s="505" customFormat="1" ht="41.25" hidden="1" customHeight="1">
      <c r="A1544" s="492"/>
      <c r="B1544" s="643"/>
      <c r="C1544" s="513"/>
      <c r="D1544" s="514"/>
      <c r="E1544" s="495"/>
      <c r="F1544" s="496"/>
      <c r="G1544" s="646"/>
      <c r="H1544" s="688"/>
      <c r="I1544" s="649"/>
      <c r="J1544" s="650"/>
      <c r="K1544" s="650"/>
      <c r="L1544" s="650"/>
      <c r="M1544" s="651"/>
      <c r="N1544" s="652"/>
      <c r="O1544" s="653"/>
      <c r="P1544" s="654"/>
      <c r="Q1544" s="661"/>
      <c r="R1544" s="662"/>
      <c r="S1544" s="662"/>
      <c r="T1544" s="662"/>
      <c r="U1544" s="663"/>
      <c r="V1544" s="40"/>
      <c r="W1544" s="504"/>
      <c r="X1544" s="504"/>
      <c r="Y1544" s="504"/>
      <c r="Z1544" s="504"/>
      <c r="AA1544" s="504"/>
      <c r="AB1544" s="504"/>
      <c r="AC1544" s="504"/>
      <c r="AD1544" s="504"/>
    </row>
    <row r="1545" spans="1:30" s="505" customFormat="1" ht="41.25" hidden="1" customHeight="1">
      <c r="A1545" s="492"/>
      <c r="B1545" s="643"/>
      <c r="C1545" s="513"/>
      <c r="D1545" s="514"/>
      <c r="E1545" s="664" t="s">
        <v>29</v>
      </c>
      <c r="F1545" s="665"/>
      <c r="G1545" s="665"/>
      <c r="H1545" s="665"/>
      <c r="I1545" s="665"/>
      <c r="J1545" s="665"/>
      <c r="K1545" s="665"/>
      <c r="L1545" s="665"/>
      <c r="M1545" s="666"/>
      <c r="N1545" s="655"/>
      <c r="O1545" s="656"/>
      <c r="P1545" s="657"/>
      <c r="Q1545" s="667"/>
      <c r="R1545" s="668"/>
      <c r="S1545" s="668"/>
      <c r="T1545" s="668"/>
      <c r="U1545" s="669"/>
      <c r="V1545" s="42"/>
      <c r="W1545" s="504"/>
      <c r="X1545" s="504"/>
      <c r="Y1545" s="504"/>
      <c r="Z1545" s="504"/>
      <c r="AA1545" s="504"/>
      <c r="AB1545" s="504"/>
      <c r="AC1545" s="504"/>
      <c r="AD1545" s="504"/>
    </row>
    <row r="1546" spans="1:30" s="505" customFormat="1" ht="41.25" hidden="1" customHeight="1">
      <c r="A1546" s="492"/>
      <c r="B1546" s="643"/>
      <c r="C1546" s="513">
        <v>1010</v>
      </c>
      <c r="D1546" s="514"/>
      <c r="E1546" s="670" t="s">
        <v>30</v>
      </c>
      <c r="F1546" s="670"/>
      <c r="G1546" s="670"/>
      <c r="H1546" s="670"/>
      <c r="I1546" s="670"/>
      <c r="J1546" s="670"/>
      <c r="K1546" s="670"/>
      <c r="L1546" s="498">
        <v>129.1</v>
      </c>
      <c r="M1546" s="459">
        <f>L1546</f>
        <v>129.1</v>
      </c>
      <c r="N1546" s="655"/>
      <c r="O1546" s="656"/>
      <c r="P1546" s="657"/>
      <c r="Q1546" s="671"/>
      <c r="R1546" s="672"/>
      <c r="S1546" s="673"/>
      <c r="T1546" s="457">
        <f>H1543*M1546*N1543*O1543*P1543</f>
        <v>0</v>
      </c>
      <c r="U1546" s="458">
        <f>T1546</f>
        <v>0</v>
      </c>
      <c r="V1546" s="42"/>
      <c r="W1546" s="503"/>
      <c r="X1546" s="504"/>
      <c r="Y1546" s="504"/>
      <c r="Z1546" s="503">
        <f>T1546</f>
        <v>0</v>
      </c>
      <c r="AA1546" s="504"/>
      <c r="AB1546" s="504"/>
      <c r="AC1546" s="504"/>
      <c r="AD1546" s="504"/>
    </row>
    <row r="1547" spans="1:30" s="505" customFormat="1" ht="41.25" hidden="1" customHeight="1">
      <c r="A1547" s="492"/>
      <c r="B1547" s="643"/>
      <c r="C1547" s="513"/>
      <c r="D1547" s="514"/>
      <c r="E1547" s="670" t="s">
        <v>31</v>
      </c>
      <c r="F1547" s="670"/>
      <c r="G1547" s="670"/>
      <c r="H1547" s="670"/>
      <c r="I1547" s="670"/>
      <c r="J1547" s="670"/>
      <c r="K1547" s="670"/>
      <c r="L1547" s="498">
        <f>ROUND((I1543+J1543+K1543)*2.14%,2)</f>
        <v>66.790000000000006</v>
      </c>
      <c r="M1547" s="459">
        <f>L1547</f>
        <v>66.790000000000006</v>
      </c>
      <c r="N1547" s="655"/>
      <c r="O1547" s="656"/>
      <c r="P1547" s="657"/>
      <c r="Q1547" s="671"/>
      <c r="R1547" s="672"/>
      <c r="S1547" s="673"/>
      <c r="T1547" s="457">
        <f>H1543*M1547*N1543*O1543*P1543</f>
        <v>0</v>
      </c>
      <c r="U1547" s="458">
        <f>T1547</f>
        <v>0</v>
      </c>
      <c r="V1547" s="42"/>
      <c r="W1547" s="504"/>
      <c r="X1547" s="503"/>
      <c r="Y1547" s="504"/>
      <c r="Z1547" s="504"/>
      <c r="AA1547" s="503">
        <f>T1547</f>
        <v>0</v>
      </c>
      <c r="AB1547" s="504"/>
      <c r="AC1547" s="504"/>
      <c r="AD1547" s="504"/>
    </row>
    <row r="1548" spans="1:30" s="505" customFormat="1" ht="41.25" hidden="1" customHeight="1">
      <c r="A1548" s="492"/>
      <c r="B1548" s="643"/>
      <c r="C1548" s="515"/>
      <c r="D1548" s="514"/>
      <c r="E1548" s="670" t="s">
        <v>376</v>
      </c>
      <c r="F1548" s="670"/>
      <c r="G1548" s="670"/>
      <c r="H1548" s="670"/>
      <c r="I1548" s="670"/>
      <c r="J1548" s="670"/>
      <c r="K1548" s="670"/>
      <c r="L1548" s="498">
        <f>ROUND((I1543+J1543+K1543+L1546+L1547+L1551)*3%,2)+0.01</f>
        <v>103.34</v>
      </c>
      <c r="M1548" s="459">
        <f>L1548</f>
        <v>103.34</v>
      </c>
      <c r="N1548" s="655"/>
      <c r="O1548" s="656"/>
      <c r="P1548" s="657"/>
      <c r="Q1548" s="671"/>
      <c r="R1548" s="672"/>
      <c r="S1548" s="673"/>
      <c r="T1548" s="457">
        <f>H1543*M1548*N1543*O1543*P1543</f>
        <v>0</v>
      </c>
      <c r="U1548" s="458">
        <f>T1548</f>
        <v>0</v>
      </c>
      <c r="V1548" s="42"/>
      <c r="W1548" s="504"/>
      <c r="X1548" s="504"/>
      <c r="Y1548" s="503"/>
      <c r="Z1548" s="504"/>
      <c r="AA1548" s="504"/>
      <c r="AB1548" s="503">
        <f>T1548</f>
        <v>0</v>
      </c>
      <c r="AC1548" s="504"/>
      <c r="AD1548" s="504"/>
    </row>
    <row r="1549" spans="1:30" s="505" customFormat="1" ht="54.75" hidden="1" customHeight="1">
      <c r="A1549" s="492"/>
      <c r="B1549" s="643"/>
      <c r="C1549" s="515"/>
      <c r="D1549" s="514"/>
      <c r="E1549" s="670" t="s">
        <v>377</v>
      </c>
      <c r="F1549" s="670"/>
      <c r="G1549" s="670"/>
      <c r="H1549" s="670"/>
      <c r="I1549" s="670"/>
      <c r="J1549" s="670"/>
      <c r="K1549" s="670"/>
      <c r="L1549" s="498">
        <f>773.84-K1543-L1546-L1547-L1551</f>
        <v>0</v>
      </c>
      <c r="M1549" s="459">
        <f>L1549</f>
        <v>0</v>
      </c>
      <c r="N1549" s="655"/>
      <c r="O1549" s="656"/>
      <c r="P1549" s="657"/>
      <c r="Q1549" s="671"/>
      <c r="R1549" s="672"/>
      <c r="S1549" s="673"/>
      <c r="T1549" s="457">
        <f>H1543*M1549*N1543*O1543*P1543</f>
        <v>0</v>
      </c>
      <c r="U1549" s="458">
        <f>T1549</f>
        <v>0</v>
      </c>
      <c r="V1549" s="42"/>
      <c r="W1549" s="504"/>
      <c r="X1549" s="504"/>
      <c r="Y1549" s="504"/>
      <c r="Z1549" s="506"/>
      <c r="AA1549" s="504"/>
      <c r="AB1549" s="504"/>
      <c r="AC1549" s="506">
        <f>T1549</f>
        <v>0</v>
      </c>
      <c r="AD1549" s="504"/>
    </row>
    <row r="1550" spans="1:30" s="488" customFormat="1" ht="45" hidden="1" customHeight="1">
      <c r="A1550" s="492"/>
      <c r="B1550" s="643"/>
      <c r="C1550" s="515"/>
      <c r="D1550" s="514"/>
      <c r="E1550" s="674"/>
      <c r="F1550" s="675"/>
      <c r="G1550" s="675"/>
      <c r="H1550" s="675"/>
      <c r="I1550" s="675"/>
      <c r="J1550" s="675"/>
      <c r="K1550" s="675"/>
      <c r="L1550" s="675"/>
      <c r="M1550" s="676"/>
      <c r="N1550" s="655"/>
      <c r="O1550" s="656"/>
      <c r="P1550" s="657"/>
      <c r="Q1550" s="677"/>
      <c r="R1550" s="678"/>
      <c r="S1550" s="678"/>
      <c r="T1550" s="678"/>
      <c r="U1550" s="679"/>
      <c r="V1550" s="45"/>
      <c r="W1550" s="41"/>
      <c r="X1550" s="41"/>
      <c r="Y1550" s="41"/>
      <c r="Z1550" s="29"/>
      <c r="AA1550" s="44"/>
      <c r="AB1550" s="29"/>
      <c r="AC1550" s="29"/>
      <c r="AD1550" s="29"/>
    </row>
    <row r="1551" spans="1:30" s="488" customFormat="1" ht="45" hidden="1" customHeight="1" thickBot="1">
      <c r="A1551" s="492"/>
      <c r="B1551" s="644"/>
      <c r="C1551" s="516"/>
      <c r="D1551" s="517"/>
      <c r="E1551" s="680" t="s">
        <v>369</v>
      </c>
      <c r="F1551" s="680" t="s">
        <v>306</v>
      </c>
      <c r="G1551" s="680"/>
      <c r="H1551" s="680"/>
      <c r="I1551" s="680"/>
      <c r="J1551" s="680"/>
      <c r="K1551" s="680"/>
      <c r="L1551" s="499">
        <f>ROUND((I1543+J1543+K1543+L1546)*3.93%,2)</f>
        <v>127.72</v>
      </c>
      <c r="M1551" s="46">
        <f>L1551</f>
        <v>127.72</v>
      </c>
      <c r="N1551" s="658"/>
      <c r="O1551" s="659"/>
      <c r="P1551" s="660"/>
      <c r="Q1551" s="681"/>
      <c r="R1551" s="682"/>
      <c r="S1551" s="683"/>
      <c r="T1551" s="500">
        <f>H1543*M1551*N1543*O1543*P1543</f>
        <v>0</v>
      </c>
      <c r="U1551" s="47">
        <f>T1551</f>
        <v>0</v>
      </c>
      <c r="V1551" s="48"/>
      <c r="W1551" s="41"/>
      <c r="X1551" s="41"/>
      <c r="Y1551" s="41"/>
      <c r="Z1551" s="29"/>
      <c r="AA1551" s="29"/>
      <c r="AB1551" s="44"/>
      <c r="AC1551" s="29"/>
      <c r="AD1551" s="44">
        <f>T1551</f>
        <v>0</v>
      </c>
    </row>
    <row r="1552" spans="1:30" s="488" customFormat="1" ht="150" hidden="1" customHeight="1" thickBot="1">
      <c r="A1552" s="492"/>
      <c r="B1552" s="642">
        <v>2</v>
      </c>
      <c r="C1552" s="511">
        <v>10</v>
      </c>
      <c r="D1552" s="512"/>
      <c r="E1552" s="493" t="s">
        <v>635</v>
      </c>
      <c r="F1552" s="487" t="s">
        <v>754</v>
      </c>
      <c r="G1552" s="645" t="s">
        <v>388</v>
      </c>
      <c r="H1552" s="688">
        <v>0</v>
      </c>
      <c r="I1552" s="494">
        <v>2949.45</v>
      </c>
      <c r="J1552" s="494">
        <v>223.53</v>
      </c>
      <c r="K1552" s="494">
        <v>808.39</v>
      </c>
      <c r="L1552" s="494">
        <f>SUM(L1554:L1560)</f>
        <v>523.14</v>
      </c>
      <c r="M1552" s="33">
        <f>SUM(I1552:L1552)</f>
        <v>4504.51</v>
      </c>
      <c r="N1552" s="501">
        <v>1</v>
      </c>
      <c r="O1552" s="502">
        <v>1</v>
      </c>
      <c r="P1552" s="37">
        <v>1</v>
      </c>
      <c r="Q1552" s="34">
        <f>H1552*I1552*N1552*O1552*P1552</f>
        <v>0</v>
      </c>
      <c r="R1552" s="35">
        <f>H1552*J1552*N1552*O1552*P1552</f>
        <v>0</v>
      </c>
      <c r="S1552" s="36">
        <f>H1552*K1552*N1552*O1552*P1552</f>
        <v>0</v>
      </c>
      <c r="T1552" s="36">
        <f>H1552*L1552*N1552*O1552*P1552</f>
        <v>0</v>
      </c>
      <c r="U1552" s="37">
        <f>SUM(Q1552:T1552)</f>
        <v>0</v>
      </c>
      <c r="V1552" s="38">
        <f>(Q1552+R1552+S1552+T1556+T1557+T1558+T1560)*'Прогнозная стоимость РСС ИП '!$M$11+T1555*'Прогнозная стоимость РСС ИП '!$M$10</f>
        <v>0</v>
      </c>
      <c r="W1552" s="39">
        <f>T1552</f>
        <v>0</v>
      </c>
      <c r="X1552" s="39">
        <f>U1552</f>
        <v>0</v>
      </c>
      <c r="Y1552" s="39">
        <f>V1552</f>
        <v>0</v>
      </c>
      <c r="Z1552" s="29"/>
      <c r="AA1552" s="29"/>
      <c r="AB1552" s="29"/>
      <c r="AC1552" s="29"/>
      <c r="AD1552" s="29"/>
    </row>
    <row r="1553" spans="1:30" s="488" customFormat="1" ht="41.25" hidden="1" customHeight="1">
      <c r="A1553" s="492"/>
      <c r="B1553" s="643"/>
      <c r="C1553" s="513"/>
      <c r="D1553" s="514"/>
      <c r="E1553" s="495"/>
      <c r="F1553" s="496"/>
      <c r="G1553" s="646"/>
      <c r="H1553" s="688"/>
      <c r="I1553" s="649"/>
      <c r="J1553" s="650"/>
      <c r="K1553" s="650"/>
      <c r="L1553" s="650"/>
      <c r="M1553" s="651"/>
      <c r="N1553" s="652"/>
      <c r="O1553" s="653"/>
      <c r="P1553" s="654"/>
      <c r="Q1553" s="661"/>
      <c r="R1553" s="662"/>
      <c r="S1553" s="662"/>
      <c r="T1553" s="662"/>
      <c r="U1553" s="663"/>
      <c r="V1553" s="40"/>
      <c r="W1553" s="41"/>
      <c r="X1553" s="41"/>
      <c r="Y1553" s="41"/>
      <c r="Z1553" s="29"/>
      <c r="AA1553" s="29"/>
      <c r="AB1553" s="29"/>
      <c r="AC1553" s="29"/>
      <c r="AD1553" s="29"/>
    </row>
    <row r="1554" spans="1:30" s="488" customFormat="1" ht="41.25" hidden="1" customHeight="1">
      <c r="A1554" s="492"/>
      <c r="B1554" s="643"/>
      <c r="C1554" s="513"/>
      <c r="D1554" s="514"/>
      <c r="E1554" s="664" t="s">
        <v>29</v>
      </c>
      <c r="F1554" s="665"/>
      <c r="G1554" s="665"/>
      <c r="H1554" s="665"/>
      <c r="I1554" s="665"/>
      <c r="J1554" s="665"/>
      <c r="K1554" s="665"/>
      <c r="L1554" s="665"/>
      <c r="M1554" s="666"/>
      <c r="N1554" s="655"/>
      <c r="O1554" s="656"/>
      <c r="P1554" s="657"/>
      <c r="Q1554" s="667"/>
      <c r="R1554" s="689"/>
      <c r="S1554" s="689"/>
      <c r="T1554" s="689"/>
      <c r="U1554" s="690"/>
      <c r="V1554" s="42"/>
      <c r="W1554" s="41"/>
      <c r="X1554" s="41"/>
      <c r="Y1554" s="41"/>
      <c r="Z1554" s="29"/>
      <c r="AA1554" s="29"/>
      <c r="AB1554" s="29"/>
      <c r="AC1554" s="29"/>
      <c r="AD1554" s="29"/>
    </row>
    <row r="1555" spans="1:30" s="488" customFormat="1" ht="41.25" hidden="1" customHeight="1">
      <c r="A1555" s="492"/>
      <c r="B1555" s="643"/>
      <c r="C1555" s="513">
        <v>1010</v>
      </c>
      <c r="D1555" s="514"/>
      <c r="E1555" s="670" t="s">
        <v>30</v>
      </c>
      <c r="F1555" s="670"/>
      <c r="G1555" s="670"/>
      <c r="H1555" s="670"/>
      <c r="I1555" s="670"/>
      <c r="J1555" s="670"/>
      <c r="K1555" s="670"/>
      <c r="L1555" s="498">
        <v>144.6</v>
      </c>
      <c r="M1555" s="459">
        <f>L1555</f>
        <v>144.6</v>
      </c>
      <c r="N1555" s="655"/>
      <c r="O1555" s="656"/>
      <c r="P1555" s="657"/>
      <c r="Q1555" s="671"/>
      <c r="R1555" s="672"/>
      <c r="S1555" s="673"/>
      <c r="T1555" s="457">
        <f>H1552*M1555*N1552*O1552*P1552</f>
        <v>0</v>
      </c>
      <c r="U1555" s="458">
        <f>T1555</f>
        <v>0</v>
      </c>
      <c r="V1555" s="42"/>
      <c r="W1555" s="39"/>
      <c r="X1555" s="41"/>
      <c r="Y1555" s="41"/>
      <c r="Z1555" s="43">
        <f>T1555</f>
        <v>0</v>
      </c>
      <c r="AA1555" s="29"/>
      <c r="AB1555" s="29"/>
      <c r="AC1555" s="29"/>
      <c r="AD1555" s="29"/>
    </row>
    <row r="1556" spans="1:30" s="488" customFormat="1" ht="41.25" hidden="1" customHeight="1">
      <c r="A1556" s="492"/>
      <c r="B1556" s="643"/>
      <c r="C1556" s="513"/>
      <c r="D1556" s="514"/>
      <c r="E1556" s="670" t="s">
        <v>31</v>
      </c>
      <c r="F1556" s="670"/>
      <c r="G1556" s="670"/>
      <c r="H1556" s="670"/>
      <c r="I1556" s="670"/>
      <c r="J1556" s="670"/>
      <c r="K1556" s="670"/>
      <c r="L1556" s="498">
        <f>ROUND((I1552+J1552+K1552)*2.14%,2)</f>
        <v>85.2</v>
      </c>
      <c r="M1556" s="459">
        <f>L1556</f>
        <v>85.2</v>
      </c>
      <c r="N1556" s="655"/>
      <c r="O1556" s="656"/>
      <c r="P1556" s="657"/>
      <c r="Q1556" s="671"/>
      <c r="R1556" s="672"/>
      <c r="S1556" s="673"/>
      <c r="T1556" s="457">
        <f>H1552*M1556*N1552*O1552*P1552</f>
        <v>0</v>
      </c>
      <c r="U1556" s="458">
        <f>T1556</f>
        <v>0</v>
      </c>
      <c r="V1556" s="42"/>
      <c r="W1556" s="41"/>
      <c r="X1556" s="39"/>
      <c r="Y1556" s="41"/>
      <c r="Z1556" s="29"/>
      <c r="AA1556" s="43">
        <f>T1556</f>
        <v>0</v>
      </c>
      <c r="AB1556" s="29"/>
      <c r="AC1556" s="29"/>
      <c r="AD1556" s="29"/>
    </row>
    <row r="1557" spans="1:30" s="488" customFormat="1" ht="41.25" hidden="1" customHeight="1">
      <c r="A1557" s="492"/>
      <c r="B1557" s="643"/>
      <c r="C1557" s="515"/>
      <c r="D1557" s="514"/>
      <c r="E1557" s="670" t="s">
        <v>376</v>
      </c>
      <c r="F1557" s="670"/>
      <c r="G1557" s="670"/>
      <c r="H1557" s="670"/>
      <c r="I1557" s="670"/>
      <c r="J1557" s="670"/>
      <c r="K1557" s="670"/>
      <c r="L1557" s="498">
        <f>ROUND((I1552+J1552+K1552+L1555+L1556+L1560)*3%,2)-0.01</f>
        <v>131.19</v>
      </c>
      <c r="M1557" s="459">
        <f>L1557</f>
        <v>131.19</v>
      </c>
      <c r="N1557" s="655"/>
      <c r="O1557" s="656"/>
      <c r="P1557" s="657"/>
      <c r="Q1557" s="671"/>
      <c r="R1557" s="672"/>
      <c r="S1557" s="673"/>
      <c r="T1557" s="457">
        <f>H1552*M1557*N1552*O1552*P1552</f>
        <v>0</v>
      </c>
      <c r="U1557" s="458">
        <f>T1557</f>
        <v>0</v>
      </c>
      <c r="V1557" s="42"/>
      <c r="W1557" s="41"/>
      <c r="X1557" s="41"/>
      <c r="Y1557" s="39"/>
      <c r="Z1557" s="29"/>
      <c r="AA1557" s="29"/>
      <c r="AB1557" s="43">
        <f>T1557</f>
        <v>0</v>
      </c>
      <c r="AC1557" s="29"/>
      <c r="AD1557" s="29"/>
    </row>
    <row r="1558" spans="1:30" s="488" customFormat="1" ht="54.75" hidden="1" customHeight="1">
      <c r="A1558" s="492"/>
      <c r="B1558" s="643"/>
      <c r="C1558" s="515"/>
      <c r="D1558" s="514"/>
      <c r="E1558" s="670" t="s">
        <v>377</v>
      </c>
      <c r="F1558" s="670"/>
      <c r="G1558" s="670"/>
      <c r="H1558" s="670"/>
      <c r="I1558" s="670"/>
      <c r="J1558" s="670"/>
      <c r="K1558" s="670"/>
      <c r="L1558" s="498">
        <f>1200.34-K1552-L1555-L1556-L1560</f>
        <v>0</v>
      </c>
      <c r="M1558" s="459">
        <f>L1558</f>
        <v>0</v>
      </c>
      <c r="N1558" s="655"/>
      <c r="O1558" s="656"/>
      <c r="P1558" s="657"/>
      <c r="Q1558" s="671"/>
      <c r="R1558" s="672"/>
      <c r="S1558" s="673"/>
      <c r="T1558" s="457">
        <f>H1552*M1558*N1552*O1552*P1552</f>
        <v>0</v>
      </c>
      <c r="U1558" s="458">
        <f>T1558</f>
        <v>0</v>
      </c>
      <c r="V1558" s="42"/>
      <c r="W1558" s="41"/>
      <c r="X1558" s="41"/>
      <c r="Y1558" s="41"/>
      <c r="Z1558" s="44"/>
      <c r="AA1558" s="29"/>
      <c r="AB1558" s="29"/>
      <c r="AC1558" s="44">
        <f>T1558</f>
        <v>0</v>
      </c>
      <c r="AD1558" s="29"/>
    </row>
    <row r="1559" spans="1:30" s="488" customFormat="1" ht="45" hidden="1" customHeight="1">
      <c r="A1559" s="492"/>
      <c r="B1559" s="643"/>
      <c r="C1559" s="515"/>
      <c r="D1559" s="514"/>
      <c r="E1559" s="674"/>
      <c r="F1559" s="675"/>
      <c r="G1559" s="675"/>
      <c r="H1559" s="675"/>
      <c r="I1559" s="675"/>
      <c r="J1559" s="675"/>
      <c r="K1559" s="675"/>
      <c r="L1559" s="675"/>
      <c r="M1559" s="676"/>
      <c r="N1559" s="655"/>
      <c r="O1559" s="656"/>
      <c r="P1559" s="657"/>
      <c r="Q1559" s="677"/>
      <c r="R1559" s="678"/>
      <c r="S1559" s="678"/>
      <c r="T1559" s="678"/>
      <c r="U1559" s="679"/>
      <c r="V1559" s="45"/>
      <c r="W1559" s="41"/>
      <c r="X1559" s="41"/>
      <c r="Y1559" s="41"/>
      <c r="Z1559" s="29"/>
      <c r="AA1559" s="44"/>
      <c r="AB1559" s="29"/>
      <c r="AC1559" s="29"/>
      <c r="AD1559" s="29"/>
    </row>
    <row r="1560" spans="1:30" s="488" customFormat="1" ht="45" hidden="1" customHeight="1" thickBot="1">
      <c r="A1560" s="492"/>
      <c r="B1560" s="644"/>
      <c r="C1560" s="516"/>
      <c r="D1560" s="517"/>
      <c r="E1560" s="680" t="s">
        <v>369</v>
      </c>
      <c r="F1560" s="680" t="s">
        <v>306</v>
      </c>
      <c r="G1560" s="680"/>
      <c r="H1560" s="680"/>
      <c r="I1560" s="680"/>
      <c r="J1560" s="680"/>
      <c r="K1560" s="680"/>
      <c r="L1560" s="499">
        <f>ROUND((I1552+J1552+K1552+L1555)*3.93%,2)</f>
        <v>162.15</v>
      </c>
      <c r="M1560" s="46">
        <f>L1560</f>
        <v>162.15</v>
      </c>
      <c r="N1560" s="658"/>
      <c r="O1560" s="659"/>
      <c r="P1560" s="660"/>
      <c r="Q1560" s="681"/>
      <c r="R1560" s="682"/>
      <c r="S1560" s="683"/>
      <c r="T1560" s="500">
        <f>H1552*M1560*N1552*O1552*P1552</f>
        <v>0</v>
      </c>
      <c r="U1560" s="47">
        <f>T1560</f>
        <v>0</v>
      </c>
      <c r="V1560" s="48"/>
      <c r="W1560" s="41"/>
      <c r="X1560" s="41"/>
      <c r="Y1560" s="41"/>
      <c r="Z1560" s="29"/>
      <c r="AA1560" s="29"/>
      <c r="AB1560" s="44"/>
      <c r="AC1560" s="29"/>
      <c r="AD1560" s="44">
        <f>T1560</f>
        <v>0</v>
      </c>
    </row>
    <row r="1561" spans="1:30" s="488" customFormat="1" ht="150" hidden="1" customHeight="1" thickBot="1">
      <c r="A1561" s="492"/>
      <c r="B1561" s="642">
        <v>2</v>
      </c>
      <c r="C1561" s="511">
        <v>10</v>
      </c>
      <c r="D1561" s="512"/>
      <c r="E1561" s="493" t="s">
        <v>636</v>
      </c>
      <c r="F1561" s="487" t="s">
        <v>637</v>
      </c>
      <c r="G1561" s="645" t="s">
        <v>388</v>
      </c>
      <c r="H1561" s="688">
        <v>0</v>
      </c>
      <c r="I1561" s="494">
        <v>74.17</v>
      </c>
      <c r="J1561" s="494">
        <v>31.78</v>
      </c>
      <c r="K1561" s="494">
        <v>14.2</v>
      </c>
      <c r="L1561" s="494">
        <f>SUM(L1563:L1569)</f>
        <v>16.0593</v>
      </c>
      <c r="M1561" s="33">
        <f>SUM(I1561:L1561)</f>
        <v>136.20930000000001</v>
      </c>
      <c r="N1561" s="501">
        <v>1</v>
      </c>
      <c r="O1561" s="502">
        <v>1</v>
      </c>
      <c r="P1561" s="37">
        <v>1</v>
      </c>
      <c r="Q1561" s="34">
        <f>H1561*I1561*N1561*O1561*P1561</f>
        <v>0</v>
      </c>
      <c r="R1561" s="35">
        <f>H1561*J1561*N1561*O1561*P1561</f>
        <v>0</v>
      </c>
      <c r="S1561" s="36">
        <f>H1561*K1561*N1561*O1561*P1561</f>
        <v>0</v>
      </c>
      <c r="T1561" s="36">
        <f>H1561*L1561*N1561*O1561*P1561</f>
        <v>0</v>
      </c>
      <c r="U1561" s="37">
        <f>SUM(Q1561:T1561)</f>
        <v>0</v>
      </c>
      <c r="V1561" s="38">
        <f>(Q1561+R1561+S1561+T1565+T1566+T1567+T1569)*'Прогнозная стоимость РСС ИП '!$M$11+T1564*'Прогнозная стоимость РСС ИП '!$M$10</f>
        <v>0</v>
      </c>
      <c r="W1561" s="39">
        <f>T1561</f>
        <v>0</v>
      </c>
      <c r="X1561" s="39">
        <f>U1561</f>
        <v>0</v>
      </c>
      <c r="Y1561" s="39">
        <f>V1561</f>
        <v>0</v>
      </c>
      <c r="Z1561" s="29"/>
      <c r="AA1561" s="29"/>
      <c r="AB1561" s="29"/>
      <c r="AC1561" s="29"/>
      <c r="AD1561" s="29"/>
    </row>
    <row r="1562" spans="1:30" s="488" customFormat="1" ht="41.25" hidden="1" customHeight="1">
      <c r="A1562" s="492"/>
      <c r="B1562" s="643"/>
      <c r="C1562" s="513"/>
      <c r="D1562" s="514"/>
      <c r="E1562" s="495"/>
      <c r="F1562" s="496"/>
      <c r="G1562" s="646"/>
      <c r="H1562" s="688"/>
      <c r="I1562" s="649"/>
      <c r="J1562" s="650"/>
      <c r="K1562" s="650"/>
      <c r="L1562" s="650"/>
      <c r="M1562" s="651"/>
      <c r="N1562" s="652"/>
      <c r="O1562" s="653"/>
      <c r="P1562" s="654"/>
      <c r="Q1562" s="661"/>
      <c r="R1562" s="662"/>
      <c r="S1562" s="662"/>
      <c r="T1562" s="662"/>
      <c r="U1562" s="663"/>
      <c r="V1562" s="40"/>
      <c r="W1562" s="41"/>
      <c r="X1562" s="41"/>
      <c r="Y1562" s="41"/>
      <c r="Z1562" s="29"/>
      <c r="AA1562" s="29"/>
      <c r="AB1562" s="29"/>
      <c r="AC1562" s="29"/>
      <c r="AD1562" s="29"/>
    </row>
    <row r="1563" spans="1:30" s="488" customFormat="1" ht="41.25" hidden="1" customHeight="1">
      <c r="A1563" s="492"/>
      <c r="B1563" s="643"/>
      <c r="C1563" s="513"/>
      <c r="D1563" s="514"/>
      <c r="E1563" s="664" t="s">
        <v>29</v>
      </c>
      <c r="F1563" s="665"/>
      <c r="G1563" s="665"/>
      <c r="H1563" s="665"/>
      <c r="I1563" s="665"/>
      <c r="J1563" s="665"/>
      <c r="K1563" s="665"/>
      <c r="L1563" s="665"/>
      <c r="M1563" s="666"/>
      <c r="N1563" s="655"/>
      <c r="O1563" s="656"/>
      <c r="P1563" s="657"/>
      <c r="Q1563" s="667"/>
      <c r="R1563" s="689"/>
      <c r="S1563" s="689"/>
      <c r="T1563" s="689"/>
      <c r="U1563" s="690"/>
      <c r="V1563" s="42"/>
      <c r="W1563" s="41"/>
      <c r="X1563" s="41"/>
      <c r="Y1563" s="41"/>
      <c r="Z1563" s="29"/>
      <c r="AA1563" s="29"/>
      <c r="AB1563" s="29"/>
      <c r="AC1563" s="29"/>
      <c r="AD1563" s="29"/>
    </row>
    <row r="1564" spans="1:30" s="488" customFormat="1" ht="41.25" hidden="1" customHeight="1">
      <c r="A1564" s="492"/>
      <c r="B1564" s="643"/>
      <c r="C1564" s="513">
        <v>1010</v>
      </c>
      <c r="D1564" s="514"/>
      <c r="E1564" s="670" t="s">
        <v>30</v>
      </c>
      <c r="F1564" s="670"/>
      <c r="G1564" s="670"/>
      <c r="H1564" s="670"/>
      <c r="I1564" s="670"/>
      <c r="J1564" s="670"/>
      <c r="K1564" s="670"/>
      <c r="L1564" s="498">
        <v>4.6193</v>
      </c>
      <c r="M1564" s="459">
        <f>L1564</f>
        <v>4.6193</v>
      </c>
      <c r="N1564" s="655"/>
      <c r="O1564" s="656"/>
      <c r="P1564" s="657"/>
      <c r="Q1564" s="671"/>
      <c r="R1564" s="672"/>
      <c r="S1564" s="673"/>
      <c r="T1564" s="457">
        <f>H1561*M1564*N1561*O1561*P1561</f>
        <v>0</v>
      </c>
      <c r="U1564" s="458">
        <f>T1564</f>
        <v>0</v>
      </c>
      <c r="V1564" s="42"/>
      <c r="W1564" s="39"/>
      <c r="X1564" s="41"/>
      <c r="Y1564" s="41"/>
      <c r="Z1564" s="43">
        <f>T1564</f>
        <v>0</v>
      </c>
      <c r="AA1564" s="29"/>
      <c r="AB1564" s="29"/>
      <c r="AC1564" s="29"/>
      <c r="AD1564" s="29"/>
    </row>
    <row r="1565" spans="1:30" s="488" customFormat="1" ht="41.25" hidden="1" customHeight="1">
      <c r="A1565" s="492"/>
      <c r="B1565" s="643"/>
      <c r="C1565" s="513"/>
      <c r="D1565" s="514"/>
      <c r="E1565" s="670" t="s">
        <v>31</v>
      </c>
      <c r="F1565" s="670"/>
      <c r="G1565" s="670"/>
      <c r="H1565" s="670"/>
      <c r="I1565" s="670"/>
      <c r="J1565" s="670"/>
      <c r="K1565" s="670"/>
      <c r="L1565" s="498">
        <f>ROUND((I1561+J1561+K1561)*2.14%,2)</f>
        <v>2.57</v>
      </c>
      <c r="M1565" s="459">
        <f>L1565</f>
        <v>2.57</v>
      </c>
      <c r="N1565" s="655"/>
      <c r="O1565" s="656"/>
      <c r="P1565" s="657"/>
      <c r="Q1565" s="671"/>
      <c r="R1565" s="672"/>
      <c r="S1565" s="673"/>
      <c r="T1565" s="457">
        <f>H1561*M1565*N1561*O1561*P1561</f>
        <v>0</v>
      </c>
      <c r="U1565" s="458">
        <f>T1565</f>
        <v>0</v>
      </c>
      <c r="V1565" s="42"/>
      <c r="W1565" s="41"/>
      <c r="X1565" s="39"/>
      <c r="Y1565" s="41"/>
      <c r="Z1565" s="29"/>
      <c r="AA1565" s="43">
        <f>T1565</f>
        <v>0</v>
      </c>
      <c r="AB1565" s="29"/>
      <c r="AC1565" s="29"/>
      <c r="AD1565" s="29"/>
    </row>
    <row r="1566" spans="1:30" s="488" customFormat="1" ht="41.25" hidden="1" customHeight="1">
      <c r="A1566" s="492"/>
      <c r="B1566" s="643"/>
      <c r="C1566" s="515"/>
      <c r="D1566" s="514"/>
      <c r="E1566" s="670" t="s">
        <v>376</v>
      </c>
      <c r="F1566" s="670"/>
      <c r="G1566" s="670"/>
      <c r="H1566" s="670"/>
      <c r="I1566" s="670"/>
      <c r="J1566" s="670"/>
      <c r="K1566" s="670"/>
      <c r="L1566" s="498">
        <f>ROUND((I1561+J1561+K1561+L1564+L1565+L1569)*3%,2)</f>
        <v>3.97</v>
      </c>
      <c r="M1566" s="459">
        <f>L1566</f>
        <v>3.97</v>
      </c>
      <c r="N1566" s="655"/>
      <c r="O1566" s="656"/>
      <c r="P1566" s="657"/>
      <c r="Q1566" s="671"/>
      <c r="R1566" s="672"/>
      <c r="S1566" s="673"/>
      <c r="T1566" s="457">
        <f>H1561*M1566*N1561*O1561*P1561</f>
        <v>0</v>
      </c>
      <c r="U1566" s="458">
        <f>T1566</f>
        <v>0</v>
      </c>
      <c r="V1566" s="42"/>
      <c r="W1566" s="41"/>
      <c r="X1566" s="41"/>
      <c r="Y1566" s="39"/>
      <c r="Z1566" s="29"/>
      <c r="AA1566" s="29"/>
      <c r="AB1566" s="43">
        <f>T1566</f>
        <v>0</v>
      </c>
      <c r="AC1566" s="29"/>
      <c r="AD1566" s="29"/>
    </row>
    <row r="1567" spans="1:30" s="488" customFormat="1" ht="54.75" hidden="1" customHeight="1">
      <c r="A1567" s="492"/>
      <c r="B1567" s="643"/>
      <c r="C1567" s="515"/>
      <c r="D1567" s="514"/>
      <c r="E1567" s="670" t="s">
        <v>377</v>
      </c>
      <c r="F1567" s="670"/>
      <c r="G1567" s="670"/>
      <c r="H1567" s="670"/>
      <c r="I1567" s="670"/>
      <c r="J1567" s="670"/>
      <c r="K1567" s="670"/>
      <c r="L1567" s="498">
        <f>26.2893-K1561-L1564-L1565-L1569</f>
        <v>0</v>
      </c>
      <c r="M1567" s="459">
        <f>L1567</f>
        <v>0</v>
      </c>
      <c r="N1567" s="655"/>
      <c r="O1567" s="656"/>
      <c r="P1567" s="657"/>
      <c r="Q1567" s="671"/>
      <c r="R1567" s="672"/>
      <c r="S1567" s="673"/>
      <c r="T1567" s="457">
        <f>H1561*M1567*N1561*O1561*P1561</f>
        <v>0</v>
      </c>
      <c r="U1567" s="458">
        <f>T1567</f>
        <v>0</v>
      </c>
      <c r="V1567" s="42"/>
      <c r="W1567" s="41"/>
      <c r="X1567" s="41"/>
      <c r="Y1567" s="41"/>
      <c r="Z1567" s="44"/>
      <c r="AA1567" s="29"/>
      <c r="AB1567" s="29"/>
      <c r="AC1567" s="44">
        <f>T1567</f>
        <v>0</v>
      </c>
      <c r="AD1567" s="29"/>
    </row>
    <row r="1568" spans="1:30" s="488" customFormat="1" ht="45" hidden="1" customHeight="1">
      <c r="A1568" s="492"/>
      <c r="B1568" s="643"/>
      <c r="C1568" s="515"/>
      <c r="D1568" s="514"/>
      <c r="E1568" s="674"/>
      <c r="F1568" s="675"/>
      <c r="G1568" s="675"/>
      <c r="H1568" s="675"/>
      <c r="I1568" s="675"/>
      <c r="J1568" s="675"/>
      <c r="K1568" s="675"/>
      <c r="L1568" s="675"/>
      <c r="M1568" s="676"/>
      <c r="N1568" s="655"/>
      <c r="O1568" s="656"/>
      <c r="P1568" s="657"/>
      <c r="Q1568" s="677"/>
      <c r="R1568" s="678"/>
      <c r="S1568" s="678"/>
      <c r="T1568" s="678"/>
      <c r="U1568" s="679"/>
      <c r="V1568" s="45"/>
      <c r="W1568" s="41"/>
      <c r="X1568" s="41"/>
      <c r="Y1568" s="41"/>
      <c r="Z1568" s="29"/>
      <c r="AA1568" s="44"/>
      <c r="AB1568" s="29"/>
      <c r="AC1568" s="29"/>
      <c r="AD1568" s="29"/>
    </row>
    <row r="1569" spans="1:30" s="488" customFormat="1" ht="45" hidden="1" customHeight="1" thickBot="1">
      <c r="A1569" s="492"/>
      <c r="B1569" s="644"/>
      <c r="C1569" s="516"/>
      <c r="D1569" s="517"/>
      <c r="E1569" s="680" t="s">
        <v>369</v>
      </c>
      <c r="F1569" s="680" t="s">
        <v>306</v>
      </c>
      <c r="G1569" s="680"/>
      <c r="H1569" s="680"/>
      <c r="I1569" s="680"/>
      <c r="J1569" s="680"/>
      <c r="K1569" s="680"/>
      <c r="L1569" s="499">
        <f>ROUND((I1561+J1561+K1561+L1564)*3.93%,2)</f>
        <v>4.9000000000000004</v>
      </c>
      <c r="M1569" s="46">
        <f>L1569</f>
        <v>4.9000000000000004</v>
      </c>
      <c r="N1569" s="658"/>
      <c r="O1569" s="659"/>
      <c r="P1569" s="660"/>
      <c r="Q1569" s="681"/>
      <c r="R1569" s="682"/>
      <c r="S1569" s="683"/>
      <c r="T1569" s="500">
        <f>H1561*M1569*N1561*O1561*P1561</f>
        <v>0</v>
      </c>
      <c r="U1569" s="47">
        <f>T1569</f>
        <v>0</v>
      </c>
      <c r="V1569" s="48"/>
      <c r="W1569" s="41"/>
      <c r="X1569" s="41"/>
      <c r="Y1569" s="41"/>
      <c r="Z1569" s="29"/>
      <c r="AA1569" s="29"/>
      <c r="AB1569" s="44"/>
      <c r="AC1569" s="29"/>
      <c r="AD1569" s="44">
        <f>T1569</f>
        <v>0</v>
      </c>
    </row>
    <row r="1570" spans="1:30" s="505" customFormat="1" ht="150" hidden="1" customHeight="1" thickBot="1">
      <c r="A1570" s="492"/>
      <c r="B1570" s="642">
        <v>2</v>
      </c>
      <c r="C1570" s="511">
        <v>10</v>
      </c>
      <c r="D1570" s="512"/>
      <c r="E1570" s="493" t="s">
        <v>638</v>
      </c>
      <c r="F1570" s="487" t="s">
        <v>639</v>
      </c>
      <c r="G1570" s="645" t="s">
        <v>388</v>
      </c>
      <c r="H1570" s="688">
        <v>0</v>
      </c>
      <c r="I1570" s="494">
        <v>109.82</v>
      </c>
      <c r="J1570" s="494">
        <v>13.8</v>
      </c>
      <c r="K1570" s="494">
        <v>8.99</v>
      </c>
      <c r="L1570" s="494">
        <f>SUM(L1572:L1578)</f>
        <v>17.234220000000001</v>
      </c>
      <c r="M1570" s="33">
        <f>SUM(I1570:L1570)</f>
        <v>149.84421999999998</v>
      </c>
      <c r="N1570" s="501">
        <v>1</v>
      </c>
      <c r="O1570" s="502">
        <v>1</v>
      </c>
      <c r="P1570" s="37">
        <v>1</v>
      </c>
      <c r="Q1570" s="34">
        <f>H1570*I1570*N1570*O1570*P1570</f>
        <v>0</v>
      </c>
      <c r="R1570" s="35">
        <f>H1570*J1570*N1570*O1570*P1570</f>
        <v>0</v>
      </c>
      <c r="S1570" s="36">
        <f>H1570*K1570*N1570*O1570*P1570</f>
        <v>0</v>
      </c>
      <c r="T1570" s="36">
        <f>H1570*L1570*N1570*O1570*P1570</f>
        <v>0</v>
      </c>
      <c r="U1570" s="37">
        <f>SUM(Q1570:T1570)</f>
        <v>0</v>
      </c>
      <c r="V1570" s="38">
        <f>(Q1570+R1570+S1570+T1574+T1575+T1576+T1578)*'Прогнозная стоимость РСС ИП '!$M$11+T1573*'Прогнозная стоимость РСС ИП '!$M$10</f>
        <v>0</v>
      </c>
      <c r="W1570" s="503">
        <f>T1570</f>
        <v>0</v>
      </c>
      <c r="X1570" s="503">
        <f>U1570</f>
        <v>0</v>
      </c>
      <c r="Y1570" s="503">
        <f>V1570</f>
        <v>0</v>
      </c>
      <c r="Z1570" s="504"/>
      <c r="AA1570" s="504"/>
      <c r="AB1570" s="504"/>
      <c r="AC1570" s="504"/>
      <c r="AD1570" s="504"/>
    </row>
    <row r="1571" spans="1:30" s="505" customFormat="1" ht="41.25" hidden="1" customHeight="1">
      <c r="A1571" s="492"/>
      <c r="B1571" s="643"/>
      <c r="C1571" s="513"/>
      <c r="D1571" s="514"/>
      <c r="E1571" s="495"/>
      <c r="F1571" s="496"/>
      <c r="G1571" s="646"/>
      <c r="H1571" s="688"/>
      <c r="I1571" s="649"/>
      <c r="J1571" s="650"/>
      <c r="K1571" s="650"/>
      <c r="L1571" s="650"/>
      <c r="M1571" s="651"/>
      <c r="N1571" s="652"/>
      <c r="O1571" s="653"/>
      <c r="P1571" s="654"/>
      <c r="Q1571" s="661"/>
      <c r="R1571" s="662"/>
      <c r="S1571" s="662"/>
      <c r="T1571" s="662"/>
      <c r="U1571" s="663"/>
      <c r="V1571" s="40"/>
      <c r="W1571" s="504"/>
      <c r="X1571" s="504"/>
      <c r="Y1571" s="504"/>
      <c r="Z1571" s="504"/>
      <c r="AA1571" s="504"/>
      <c r="AB1571" s="504"/>
      <c r="AC1571" s="504"/>
      <c r="AD1571" s="504"/>
    </row>
    <row r="1572" spans="1:30" s="505" customFormat="1" ht="41.25" hidden="1" customHeight="1">
      <c r="A1572" s="492"/>
      <c r="B1572" s="643"/>
      <c r="C1572" s="513"/>
      <c r="D1572" s="514"/>
      <c r="E1572" s="664" t="s">
        <v>29</v>
      </c>
      <c r="F1572" s="665"/>
      <c r="G1572" s="665"/>
      <c r="H1572" s="665"/>
      <c r="I1572" s="665"/>
      <c r="J1572" s="665"/>
      <c r="K1572" s="665"/>
      <c r="L1572" s="665"/>
      <c r="M1572" s="666"/>
      <c r="N1572" s="655"/>
      <c r="O1572" s="656"/>
      <c r="P1572" s="657"/>
      <c r="Q1572" s="667"/>
      <c r="R1572" s="668"/>
      <c r="S1572" s="668"/>
      <c r="T1572" s="668"/>
      <c r="U1572" s="669"/>
      <c r="V1572" s="42"/>
      <c r="W1572" s="504"/>
      <c r="X1572" s="504"/>
      <c r="Y1572" s="504"/>
      <c r="Z1572" s="504"/>
      <c r="AA1572" s="504"/>
      <c r="AB1572" s="504"/>
      <c r="AC1572" s="504"/>
      <c r="AD1572" s="504"/>
    </row>
    <row r="1573" spans="1:30" s="505" customFormat="1" ht="41.25" hidden="1" customHeight="1">
      <c r="A1573" s="492"/>
      <c r="B1573" s="643"/>
      <c r="C1573" s="513">
        <v>1010</v>
      </c>
      <c r="D1573" s="514"/>
      <c r="E1573" s="670" t="s">
        <v>30</v>
      </c>
      <c r="F1573" s="670"/>
      <c r="G1573" s="670"/>
      <c r="H1573" s="670"/>
      <c r="I1573" s="670"/>
      <c r="J1573" s="670"/>
      <c r="K1573" s="670"/>
      <c r="L1573" s="498">
        <v>4.6442199999999998</v>
      </c>
      <c r="M1573" s="459">
        <f>L1573</f>
        <v>4.6442199999999998</v>
      </c>
      <c r="N1573" s="655"/>
      <c r="O1573" s="656"/>
      <c r="P1573" s="657"/>
      <c r="Q1573" s="671"/>
      <c r="R1573" s="672"/>
      <c r="S1573" s="673"/>
      <c r="T1573" s="457">
        <f>H1570*M1573*N1570*O1570*P1570</f>
        <v>0</v>
      </c>
      <c r="U1573" s="458">
        <f>T1573</f>
        <v>0</v>
      </c>
      <c r="V1573" s="42"/>
      <c r="W1573" s="503"/>
      <c r="X1573" s="504"/>
      <c r="Y1573" s="504"/>
      <c r="Z1573" s="503">
        <f>T1573</f>
        <v>0</v>
      </c>
      <c r="AA1573" s="504"/>
      <c r="AB1573" s="504"/>
      <c r="AC1573" s="504"/>
      <c r="AD1573" s="504"/>
    </row>
    <row r="1574" spans="1:30" s="505" customFormat="1" ht="41.25" hidden="1" customHeight="1">
      <c r="A1574" s="492"/>
      <c r="B1574" s="643"/>
      <c r="C1574" s="513"/>
      <c r="D1574" s="514"/>
      <c r="E1574" s="670" t="s">
        <v>31</v>
      </c>
      <c r="F1574" s="670"/>
      <c r="G1574" s="670"/>
      <c r="H1574" s="670"/>
      <c r="I1574" s="670"/>
      <c r="J1574" s="670"/>
      <c r="K1574" s="670"/>
      <c r="L1574" s="498">
        <f>ROUND((I1570+J1570+K1570)*2.14%,2)</f>
        <v>2.84</v>
      </c>
      <c r="M1574" s="459">
        <f>L1574</f>
        <v>2.84</v>
      </c>
      <c r="N1574" s="655"/>
      <c r="O1574" s="656"/>
      <c r="P1574" s="657"/>
      <c r="Q1574" s="671"/>
      <c r="R1574" s="672"/>
      <c r="S1574" s="673"/>
      <c r="T1574" s="457">
        <f>H1570*M1574*N1570*O1570*P1570</f>
        <v>0</v>
      </c>
      <c r="U1574" s="458">
        <f>T1574</f>
        <v>0</v>
      </c>
      <c r="V1574" s="42"/>
      <c r="W1574" s="504"/>
      <c r="X1574" s="503"/>
      <c r="Y1574" s="504"/>
      <c r="Z1574" s="504"/>
      <c r="AA1574" s="503">
        <f>T1574</f>
        <v>0</v>
      </c>
      <c r="AB1574" s="504"/>
      <c r="AC1574" s="504"/>
      <c r="AD1574" s="504"/>
    </row>
    <row r="1575" spans="1:30" s="505" customFormat="1" ht="41.25" hidden="1" customHeight="1">
      <c r="A1575" s="492"/>
      <c r="B1575" s="643"/>
      <c r="C1575" s="515"/>
      <c r="D1575" s="514"/>
      <c r="E1575" s="670" t="s">
        <v>376</v>
      </c>
      <c r="F1575" s="670"/>
      <c r="G1575" s="670"/>
      <c r="H1575" s="670"/>
      <c r="I1575" s="670"/>
      <c r="J1575" s="670"/>
      <c r="K1575" s="670"/>
      <c r="L1575" s="498">
        <f>ROUND((I1570+J1570+K1570+L1573+L1574+L1578)*3%,2)</f>
        <v>4.3600000000000003</v>
      </c>
      <c r="M1575" s="459">
        <f>L1575</f>
        <v>4.3600000000000003</v>
      </c>
      <c r="N1575" s="655"/>
      <c r="O1575" s="656"/>
      <c r="P1575" s="657"/>
      <c r="Q1575" s="671"/>
      <c r="R1575" s="672"/>
      <c r="S1575" s="673"/>
      <c r="T1575" s="457">
        <f>H1570*M1575*N1570*O1570*P1570</f>
        <v>0</v>
      </c>
      <c r="U1575" s="458">
        <f>T1575</f>
        <v>0</v>
      </c>
      <c r="V1575" s="42"/>
      <c r="W1575" s="504"/>
      <c r="X1575" s="504"/>
      <c r="Y1575" s="503"/>
      <c r="Z1575" s="504"/>
      <c r="AA1575" s="504"/>
      <c r="AB1575" s="503">
        <f>T1575</f>
        <v>0</v>
      </c>
      <c r="AC1575" s="504"/>
      <c r="AD1575" s="504"/>
    </row>
    <row r="1576" spans="1:30" s="505" customFormat="1" ht="54.75" hidden="1" customHeight="1">
      <c r="A1576" s="492"/>
      <c r="B1576" s="643"/>
      <c r="C1576" s="515"/>
      <c r="D1576" s="514"/>
      <c r="E1576" s="670" t="s">
        <v>377</v>
      </c>
      <c r="F1576" s="670"/>
      <c r="G1576" s="670"/>
      <c r="H1576" s="670"/>
      <c r="I1576" s="670"/>
      <c r="J1576" s="670"/>
      <c r="K1576" s="670"/>
      <c r="L1576" s="498">
        <f>21.86422-K1570-L1573-L1574-L1578</f>
        <v>0</v>
      </c>
      <c r="M1576" s="459">
        <f>L1576</f>
        <v>0</v>
      </c>
      <c r="N1576" s="655"/>
      <c r="O1576" s="656"/>
      <c r="P1576" s="657"/>
      <c r="Q1576" s="671"/>
      <c r="R1576" s="672"/>
      <c r="S1576" s="673"/>
      <c r="T1576" s="457">
        <f>H1570*M1576*N1570*O1570*P1570</f>
        <v>0</v>
      </c>
      <c r="U1576" s="458">
        <f>T1576</f>
        <v>0</v>
      </c>
      <c r="V1576" s="42"/>
      <c r="W1576" s="504"/>
      <c r="X1576" s="504"/>
      <c r="Y1576" s="504"/>
      <c r="Z1576" s="506"/>
      <c r="AA1576" s="504"/>
      <c r="AB1576" s="504"/>
      <c r="AC1576" s="506">
        <f>T1576</f>
        <v>0</v>
      </c>
      <c r="AD1576" s="504"/>
    </row>
    <row r="1577" spans="1:30" s="505" customFormat="1" ht="45" hidden="1" customHeight="1">
      <c r="A1577" s="492"/>
      <c r="B1577" s="643"/>
      <c r="C1577" s="515"/>
      <c r="D1577" s="514"/>
      <c r="E1577" s="674"/>
      <c r="F1577" s="675"/>
      <c r="G1577" s="675"/>
      <c r="H1577" s="675"/>
      <c r="I1577" s="675"/>
      <c r="J1577" s="675"/>
      <c r="K1577" s="675"/>
      <c r="L1577" s="675"/>
      <c r="M1577" s="676"/>
      <c r="N1577" s="655"/>
      <c r="O1577" s="656"/>
      <c r="P1577" s="657"/>
      <c r="Q1577" s="677"/>
      <c r="R1577" s="678"/>
      <c r="S1577" s="678"/>
      <c r="T1577" s="678"/>
      <c r="U1577" s="679"/>
      <c r="V1577" s="45"/>
      <c r="W1577" s="504"/>
      <c r="X1577" s="504"/>
      <c r="Y1577" s="504"/>
      <c r="Z1577" s="504"/>
      <c r="AA1577" s="506"/>
      <c r="AB1577" s="504"/>
      <c r="AC1577" s="504"/>
      <c r="AD1577" s="504"/>
    </row>
    <row r="1578" spans="1:30" s="505" customFormat="1" ht="45" hidden="1" customHeight="1" thickBot="1">
      <c r="A1578" s="492"/>
      <c r="B1578" s="644"/>
      <c r="C1578" s="516"/>
      <c r="D1578" s="517"/>
      <c r="E1578" s="680" t="s">
        <v>369</v>
      </c>
      <c r="F1578" s="680" t="s">
        <v>306</v>
      </c>
      <c r="G1578" s="680"/>
      <c r="H1578" s="680"/>
      <c r="I1578" s="680"/>
      <c r="J1578" s="680"/>
      <c r="K1578" s="680"/>
      <c r="L1578" s="499">
        <f>ROUND((I1570+J1570+K1570+L1573)*3.93%,2)</f>
        <v>5.39</v>
      </c>
      <c r="M1578" s="46">
        <f>L1578</f>
        <v>5.39</v>
      </c>
      <c r="N1578" s="658"/>
      <c r="O1578" s="659"/>
      <c r="P1578" s="660"/>
      <c r="Q1578" s="681"/>
      <c r="R1578" s="682"/>
      <c r="S1578" s="683"/>
      <c r="T1578" s="500">
        <f>H1570*M1578*N1570*O1570*P1570</f>
        <v>0</v>
      </c>
      <c r="U1578" s="47">
        <f>T1578</f>
        <v>0</v>
      </c>
      <c r="V1578" s="48"/>
      <c r="W1578" s="504"/>
      <c r="X1578" s="504"/>
      <c r="Y1578" s="504"/>
      <c r="Z1578" s="504"/>
      <c r="AA1578" s="504"/>
      <c r="AB1578" s="506"/>
      <c r="AC1578" s="504"/>
      <c r="AD1578" s="506">
        <f>T1578</f>
        <v>0</v>
      </c>
    </row>
    <row r="1579" spans="1:30" s="505" customFormat="1" ht="150" hidden="1" customHeight="1" thickBot="1">
      <c r="A1579" s="492"/>
      <c r="B1579" s="642">
        <v>2</v>
      </c>
      <c r="C1579" s="511">
        <v>10</v>
      </c>
      <c r="D1579" s="512"/>
      <c r="E1579" s="493" t="s">
        <v>640</v>
      </c>
      <c r="F1579" s="487" t="s">
        <v>641</v>
      </c>
      <c r="G1579" s="645" t="s">
        <v>642</v>
      </c>
      <c r="H1579" s="688">
        <v>0</v>
      </c>
      <c r="I1579" s="494">
        <v>210.6</v>
      </c>
      <c r="J1579" s="494">
        <v>6.95</v>
      </c>
      <c r="K1579" s="494">
        <v>1.29</v>
      </c>
      <c r="L1579" s="494">
        <f>SUM(L1581:L1587)</f>
        <v>34.83</v>
      </c>
      <c r="M1579" s="33">
        <f>SUM(I1579:L1579)</f>
        <v>253.66999999999996</v>
      </c>
      <c r="N1579" s="501">
        <v>1</v>
      </c>
      <c r="O1579" s="502">
        <v>1</v>
      </c>
      <c r="P1579" s="37">
        <v>1</v>
      </c>
      <c r="Q1579" s="34">
        <f>H1579*I1579*N1579*O1579*P1579</f>
        <v>0</v>
      </c>
      <c r="R1579" s="35">
        <f>H1579*J1579*N1579*O1579*P1579</f>
        <v>0</v>
      </c>
      <c r="S1579" s="36">
        <f>H1579*K1579*N1579*O1579*P1579</f>
        <v>0</v>
      </c>
      <c r="T1579" s="36">
        <f>H1579*L1579*N1579*O1579*P1579</f>
        <v>0</v>
      </c>
      <c r="U1579" s="37">
        <f>SUM(Q1579:T1579)</f>
        <v>0</v>
      </c>
      <c r="V1579" s="38">
        <f>(Q1579+R1579+S1579+T1583+T1584+T1585+T1587)*'Прогнозная стоимость РСС ИП '!$M$11+T1582*'Прогнозная стоимость РСС ИП '!$M$10</f>
        <v>0</v>
      </c>
      <c r="W1579" s="503">
        <f>T1579</f>
        <v>0</v>
      </c>
      <c r="X1579" s="503">
        <f>U1579</f>
        <v>0</v>
      </c>
      <c r="Y1579" s="503">
        <f>V1579</f>
        <v>0</v>
      </c>
      <c r="Z1579" s="504"/>
      <c r="AA1579" s="504"/>
      <c r="AB1579" s="504"/>
      <c r="AC1579" s="504"/>
      <c r="AD1579" s="504"/>
    </row>
    <row r="1580" spans="1:30" s="505" customFormat="1" ht="41.25" hidden="1" customHeight="1">
      <c r="A1580" s="492"/>
      <c r="B1580" s="643"/>
      <c r="C1580" s="513"/>
      <c r="D1580" s="514"/>
      <c r="E1580" s="495"/>
      <c r="F1580" s="496"/>
      <c r="G1580" s="646"/>
      <c r="H1580" s="688"/>
      <c r="I1580" s="649"/>
      <c r="J1580" s="650"/>
      <c r="K1580" s="650"/>
      <c r="L1580" s="650"/>
      <c r="M1580" s="651"/>
      <c r="N1580" s="652"/>
      <c r="O1580" s="653"/>
      <c r="P1580" s="654"/>
      <c r="Q1580" s="661"/>
      <c r="R1580" s="662"/>
      <c r="S1580" s="662"/>
      <c r="T1580" s="662"/>
      <c r="U1580" s="663"/>
      <c r="V1580" s="40"/>
      <c r="W1580" s="504"/>
      <c r="X1580" s="504"/>
      <c r="Y1580" s="504"/>
      <c r="Z1580" s="504"/>
      <c r="AA1580" s="504"/>
      <c r="AB1580" s="504"/>
      <c r="AC1580" s="504"/>
      <c r="AD1580" s="504"/>
    </row>
    <row r="1581" spans="1:30" s="505" customFormat="1" ht="41.25" hidden="1" customHeight="1">
      <c r="A1581" s="492"/>
      <c r="B1581" s="643"/>
      <c r="C1581" s="513"/>
      <c r="D1581" s="514"/>
      <c r="E1581" s="664" t="s">
        <v>29</v>
      </c>
      <c r="F1581" s="665"/>
      <c r="G1581" s="665"/>
      <c r="H1581" s="665"/>
      <c r="I1581" s="665"/>
      <c r="J1581" s="665"/>
      <c r="K1581" s="665"/>
      <c r="L1581" s="665"/>
      <c r="M1581" s="666"/>
      <c r="N1581" s="655"/>
      <c r="O1581" s="656"/>
      <c r="P1581" s="657"/>
      <c r="Q1581" s="667"/>
      <c r="R1581" s="668"/>
      <c r="S1581" s="668"/>
      <c r="T1581" s="668"/>
      <c r="U1581" s="669"/>
      <c r="V1581" s="42"/>
      <c r="W1581" s="504"/>
      <c r="X1581" s="504"/>
      <c r="Y1581" s="504"/>
      <c r="Z1581" s="504"/>
      <c r="AA1581" s="504"/>
      <c r="AB1581" s="504"/>
      <c r="AC1581" s="504"/>
      <c r="AD1581" s="504"/>
    </row>
    <row r="1582" spans="1:30" s="505" customFormat="1" ht="41.25" hidden="1" customHeight="1">
      <c r="A1582" s="492"/>
      <c r="B1582" s="643"/>
      <c r="C1582" s="513">
        <v>1010</v>
      </c>
      <c r="D1582" s="514"/>
      <c r="E1582" s="670" t="s">
        <v>30</v>
      </c>
      <c r="F1582" s="670"/>
      <c r="G1582" s="670"/>
      <c r="H1582" s="670"/>
      <c r="I1582" s="670"/>
      <c r="J1582" s="670"/>
      <c r="K1582" s="670"/>
      <c r="L1582" s="498">
        <v>13.62</v>
      </c>
      <c r="M1582" s="459">
        <f>L1582</f>
        <v>13.62</v>
      </c>
      <c r="N1582" s="655"/>
      <c r="O1582" s="656"/>
      <c r="P1582" s="657"/>
      <c r="Q1582" s="671"/>
      <c r="R1582" s="672"/>
      <c r="S1582" s="673"/>
      <c r="T1582" s="457">
        <f>H1579*M1582*N1579*O1579*P1579</f>
        <v>0</v>
      </c>
      <c r="U1582" s="458">
        <f>T1582</f>
        <v>0</v>
      </c>
      <c r="V1582" s="42"/>
      <c r="W1582" s="503"/>
      <c r="X1582" s="504"/>
      <c r="Y1582" s="504"/>
      <c r="Z1582" s="503">
        <f>T1582</f>
        <v>0</v>
      </c>
      <c r="AA1582" s="504"/>
      <c r="AB1582" s="504"/>
      <c r="AC1582" s="504"/>
      <c r="AD1582" s="504"/>
    </row>
    <row r="1583" spans="1:30" s="505" customFormat="1" ht="41.25" hidden="1" customHeight="1">
      <c r="A1583" s="492"/>
      <c r="B1583" s="643"/>
      <c r="C1583" s="513"/>
      <c r="D1583" s="514"/>
      <c r="E1583" s="670" t="s">
        <v>31</v>
      </c>
      <c r="F1583" s="670"/>
      <c r="G1583" s="670"/>
      <c r="H1583" s="670"/>
      <c r="I1583" s="670"/>
      <c r="J1583" s="670"/>
      <c r="K1583" s="670"/>
      <c r="L1583" s="498">
        <f>ROUND((I1579+J1579+K1579)*2.14%,2)</f>
        <v>4.68</v>
      </c>
      <c r="M1583" s="459">
        <f>L1583</f>
        <v>4.68</v>
      </c>
      <c r="N1583" s="655"/>
      <c r="O1583" s="656"/>
      <c r="P1583" s="657"/>
      <c r="Q1583" s="671"/>
      <c r="R1583" s="672"/>
      <c r="S1583" s="673"/>
      <c r="T1583" s="457">
        <f>H1579*M1583*N1579*O1579*P1579</f>
        <v>0</v>
      </c>
      <c r="U1583" s="458">
        <f>T1583</f>
        <v>0</v>
      </c>
      <c r="V1583" s="42"/>
      <c r="W1583" s="504"/>
      <c r="X1583" s="503"/>
      <c r="Y1583" s="504"/>
      <c r="Z1583" s="504"/>
      <c r="AA1583" s="503">
        <f>T1583</f>
        <v>0</v>
      </c>
      <c r="AB1583" s="504"/>
      <c r="AC1583" s="504"/>
      <c r="AD1583" s="504"/>
    </row>
    <row r="1584" spans="1:30" s="505" customFormat="1" ht="41.25" hidden="1" customHeight="1">
      <c r="A1584" s="492"/>
      <c r="B1584" s="643"/>
      <c r="C1584" s="515"/>
      <c r="D1584" s="514"/>
      <c r="E1584" s="670" t="s">
        <v>376</v>
      </c>
      <c r="F1584" s="670"/>
      <c r="G1584" s="670"/>
      <c r="H1584" s="670"/>
      <c r="I1584" s="670"/>
      <c r="J1584" s="670"/>
      <c r="K1584" s="670"/>
      <c r="L1584" s="498">
        <f>ROUND((I1579+J1579+K1579+L1582+L1583+L1587)*3%,2)</f>
        <v>7.39</v>
      </c>
      <c r="M1584" s="459">
        <f>L1584</f>
        <v>7.39</v>
      </c>
      <c r="N1584" s="655"/>
      <c r="O1584" s="656"/>
      <c r="P1584" s="657"/>
      <c r="Q1584" s="671"/>
      <c r="R1584" s="672"/>
      <c r="S1584" s="673"/>
      <c r="T1584" s="457">
        <f>H1579*M1584*N1579*O1579*P1579</f>
        <v>0</v>
      </c>
      <c r="U1584" s="458">
        <f>T1584</f>
        <v>0</v>
      </c>
      <c r="V1584" s="42"/>
      <c r="W1584" s="504"/>
      <c r="X1584" s="504"/>
      <c r="Y1584" s="503"/>
      <c r="Z1584" s="504"/>
      <c r="AA1584" s="504"/>
      <c r="AB1584" s="503">
        <f>T1584</f>
        <v>0</v>
      </c>
      <c r="AC1584" s="504"/>
      <c r="AD1584" s="504"/>
    </row>
    <row r="1585" spans="1:30" s="505" customFormat="1" ht="54.75" hidden="1" customHeight="1">
      <c r="A1585" s="492"/>
      <c r="B1585" s="643"/>
      <c r="C1585" s="515"/>
      <c r="D1585" s="514"/>
      <c r="E1585" s="670" t="s">
        <v>377</v>
      </c>
      <c r="F1585" s="670"/>
      <c r="G1585" s="670"/>
      <c r="H1585" s="670"/>
      <c r="I1585" s="670"/>
      <c r="J1585" s="670"/>
      <c r="K1585" s="670"/>
      <c r="L1585" s="498">
        <f>28.73-K1579-L1582-L1583-L1587</f>
        <v>0</v>
      </c>
      <c r="M1585" s="459">
        <f>L1585</f>
        <v>0</v>
      </c>
      <c r="N1585" s="655"/>
      <c r="O1585" s="656"/>
      <c r="P1585" s="657"/>
      <c r="Q1585" s="671"/>
      <c r="R1585" s="672"/>
      <c r="S1585" s="673"/>
      <c r="T1585" s="457">
        <f>H1579*M1585*N1579*O1579*P1579</f>
        <v>0</v>
      </c>
      <c r="U1585" s="458">
        <f>T1585</f>
        <v>0</v>
      </c>
      <c r="V1585" s="42"/>
      <c r="W1585" s="504"/>
      <c r="X1585" s="504"/>
      <c r="Y1585" s="504"/>
      <c r="Z1585" s="506"/>
      <c r="AA1585" s="504"/>
      <c r="AB1585" s="504"/>
      <c r="AC1585" s="506">
        <f>T1585</f>
        <v>0</v>
      </c>
      <c r="AD1585" s="504"/>
    </row>
    <row r="1586" spans="1:30" s="505" customFormat="1" ht="45" hidden="1" customHeight="1">
      <c r="A1586" s="492"/>
      <c r="B1586" s="643"/>
      <c r="C1586" s="515"/>
      <c r="D1586" s="514"/>
      <c r="E1586" s="674"/>
      <c r="F1586" s="675"/>
      <c r="G1586" s="675"/>
      <c r="H1586" s="675"/>
      <c r="I1586" s="675"/>
      <c r="J1586" s="675"/>
      <c r="K1586" s="675"/>
      <c r="L1586" s="675"/>
      <c r="M1586" s="676"/>
      <c r="N1586" s="655"/>
      <c r="O1586" s="656"/>
      <c r="P1586" s="657"/>
      <c r="Q1586" s="677"/>
      <c r="R1586" s="678"/>
      <c r="S1586" s="678"/>
      <c r="T1586" s="678"/>
      <c r="U1586" s="679"/>
      <c r="V1586" s="45"/>
      <c r="W1586" s="504"/>
      <c r="X1586" s="504"/>
      <c r="Y1586" s="504"/>
      <c r="Z1586" s="504"/>
      <c r="AA1586" s="506"/>
      <c r="AB1586" s="504"/>
      <c r="AC1586" s="504"/>
      <c r="AD1586" s="504"/>
    </row>
    <row r="1587" spans="1:30" s="505" customFormat="1" ht="45" hidden="1" customHeight="1" thickBot="1">
      <c r="A1587" s="492"/>
      <c r="B1587" s="644"/>
      <c r="C1587" s="516"/>
      <c r="D1587" s="517"/>
      <c r="E1587" s="680" t="s">
        <v>369</v>
      </c>
      <c r="F1587" s="680" t="s">
        <v>306</v>
      </c>
      <c r="G1587" s="680"/>
      <c r="H1587" s="680"/>
      <c r="I1587" s="680"/>
      <c r="J1587" s="680"/>
      <c r="K1587" s="680"/>
      <c r="L1587" s="499">
        <f>ROUND((I1579+J1579+K1579+L1582)*3.93%,2)</f>
        <v>9.14</v>
      </c>
      <c r="M1587" s="46">
        <f>L1587</f>
        <v>9.14</v>
      </c>
      <c r="N1587" s="658"/>
      <c r="O1587" s="659"/>
      <c r="P1587" s="660"/>
      <c r="Q1587" s="681"/>
      <c r="R1587" s="682"/>
      <c r="S1587" s="683"/>
      <c r="T1587" s="500">
        <f>H1579*M1587*N1579*O1579*P1579</f>
        <v>0</v>
      </c>
      <c r="U1587" s="47">
        <f>T1587</f>
        <v>0</v>
      </c>
      <c r="V1587" s="48"/>
      <c r="W1587" s="504"/>
      <c r="X1587" s="504"/>
      <c r="Y1587" s="504"/>
      <c r="Z1587" s="504"/>
      <c r="AA1587" s="504"/>
      <c r="AB1587" s="506"/>
      <c r="AC1587" s="504"/>
      <c r="AD1587" s="506">
        <f>T1587</f>
        <v>0</v>
      </c>
    </row>
    <row r="1588" spans="1:30" s="505" customFormat="1" ht="150" hidden="1" customHeight="1" thickBot="1">
      <c r="A1588" s="492"/>
      <c r="B1588" s="642">
        <v>2</v>
      </c>
      <c r="C1588" s="511">
        <v>10</v>
      </c>
      <c r="D1588" s="512"/>
      <c r="E1588" s="493" t="s">
        <v>643</v>
      </c>
      <c r="F1588" s="487" t="s">
        <v>781</v>
      </c>
      <c r="G1588" s="645" t="s">
        <v>388</v>
      </c>
      <c r="H1588" s="688">
        <v>0</v>
      </c>
      <c r="I1588" s="494">
        <v>2055.09</v>
      </c>
      <c r="J1588" s="494">
        <v>231.49</v>
      </c>
      <c r="K1588" s="494">
        <v>217.04</v>
      </c>
      <c r="L1588" s="494">
        <f>SUM(L1590:L1596)</f>
        <v>291.47424000000001</v>
      </c>
      <c r="M1588" s="33">
        <f>SUM(I1588:L1588)</f>
        <v>2795.0942399999999</v>
      </c>
      <c r="N1588" s="501">
        <v>1</v>
      </c>
      <c r="O1588" s="502">
        <v>1</v>
      </c>
      <c r="P1588" s="37">
        <v>1</v>
      </c>
      <c r="Q1588" s="34">
        <f>H1588*I1588*N1588*O1588*P1588</f>
        <v>0</v>
      </c>
      <c r="R1588" s="35">
        <f>H1588*J1588*N1588*O1588*P1588</f>
        <v>0</v>
      </c>
      <c r="S1588" s="36">
        <f>H1588*K1588*N1588*O1588*P1588</f>
        <v>0</v>
      </c>
      <c r="T1588" s="36">
        <f>H1588*L1588*N1588*O1588*P1588</f>
        <v>0</v>
      </c>
      <c r="U1588" s="37">
        <f>SUM(Q1588:T1588)</f>
        <v>0</v>
      </c>
      <c r="V1588" s="38">
        <f>(Q1588+R1588+S1588+T1592+T1593+T1594+T1596)*'Прогнозная стоимость РСС ИП '!$M$11+T1591*'Прогнозная стоимость РСС ИП '!$M$10</f>
        <v>0</v>
      </c>
      <c r="W1588" s="503">
        <f>T1588</f>
        <v>0</v>
      </c>
      <c r="X1588" s="503">
        <f>U1588</f>
        <v>0</v>
      </c>
      <c r="Y1588" s="503">
        <f>V1588</f>
        <v>0</v>
      </c>
      <c r="Z1588" s="504"/>
      <c r="AA1588" s="504"/>
      <c r="AB1588" s="504"/>
      <c r="AC1588" s="504"/>
      <c r="AD1588" s="504"/>
    </row>
    <row r="1589" spans="1:30" s="505" customFormat="1" ht="41.25" hidden="1" customHeight="1">
      <c r="A1589" s="492"/>
      <c r="B1589" s="643"/>
      <c r="C1589" s="513"/>
      <c r="D1589" s="514"/>
      <c r="E1589" s="495"/>
      <c r="F1589" s="496"/>
      <c r="G1589" s="646"/>
      <c r="H1589" s="688"/>
      <c r="I1589" s="649"/>
      <c r="J1589" s="650"/>
      <c r="K1589" s="650"/>
      <c r="L1589" s="650"/>
      <c r="M1589" s="651"/>
      <c r="N1589" s="652"/>
      <c r="O1589" s="653"/>
      <c r="P1589" s="654"/>
      <c r="Q1589" s="661"/>
      <c r="R1589" s="662"/>
      <c r="S1589" s="662"/>
      <c r="T1589" s="662"/>
      <c r="U1589" s="663"/>
      <c r="V1589" s="40"/>
      <c r="W1589" s="504"/>
      <c r="X1589" s="504"/>
      <c r="Y1589" s="504"/>
      <c r="Z1589" s="504"/>
      <c r="AA1589" s="504"/>
      <c r="AB1589" s="504"/>
      <c r="AC1589" s="504"/>
      <c r="AD1589" s="504"/>
    </row>
    <row r="1590" spans="1:30" s="505" customFormat="1" ht="41.25" hidden="1" customHeight="1">
      <c r="A1590" s="492"/>
      <c r="B1590" s="643"/>
      <c r="C1590" s="513"/>
      <c r="D1590" s="514"/>
      <c r="E1590" s="664" t="s">
        <v>29</v>
      </c>
      <c r="F1590" s="665"/>
      <c r="G1590" s="665"/>
      <c r="H1590" s="665"/>
      <c r="I1590" s="665"/>
      <c r="J1590" s="665"/>
      <c r="K1590" s="665"/>
      <c r="L1590" s="665"/>
      <c r="M1590" s="666"/>
      <c r="N1590" s="655"/>
      <c r="O1590" s="656"/>
      <c r="P1590" s="657"/>
      <c r="Q1590" s="667"/>
      <c r="R1590" s="668"/>
      <c r="S1590" s="668"/>
      <c r="T1590" s="668"/>
      <c r="U1590" s="669"/>
      <c r="V1590" s="42"/>
      <c r="W1590" s="504"/>
      <c r="X1590" s="504"/>
      <c r="Y1590" s="504"/>
      <c r="Z1590" s="504"/>
      <c r="AA1590" s="504"/>
      <c r="AB1590" s="504"/>
      <c r="AC1590" s="504"/>
      <c r="AD1590" s="504"/>
    </row>
    <row r="1591" spans="1:30" s="505" customFormat="1" ht="41.25" hidden="1" customHeight="1">
      <c r="A1591" s="492"/>
      <c r="B1591" s="643"/>
      <c r="C1591" s="513">
        <v>1010</v>
      </c>
      <c r="D1591" s="514"/>
      <c r="E1591" s="670" t="s">
        <v>30</v>
      </c>
      <c r="F1591" s="670"/>
      <c r="G1591" s="670"/>
      <c r="H1591" s="670"/>
      <c r="I1591" s="670"/>
      <c r="J1591" s="670"/>
      <c r="K1591" s="670"/>
      <c r="L1591" s="498">
        <v>55.894240000000011</v>
      </c>
      <c r="M1591" s="459">
        <f>L1591</f>
        <v>55.894240000000011</v>
      </c>
      <c r="N1591" s="655"/>
      <c r="O1591" s="656"/>
      <c r="P1591" s="657"/>
      <c r="Q1591" s="671"/>
      <c r="R1591" s="672"/>
      <c r="S1591" s="673"/>
      <c r="T1591" s="457">
        <f>H1588*M1591*N1588*O1588*P1588</f>
        <v>0</v>
      </c>
      <c r="U1591" s="458">
        <f>T1591</f>
        <v>0</v>
      </c>
      <c r="V1591" s="42"/>
      <c r="W1591" s="503"/>
      <c r="X1591" s="504"/>
      <c r="Y1591" s="504"/>
      <c r="Z1591" s="503">
        <f>T1591</f>
        <v>0</v>
      </c>
      <c r="AA1591" s="504"/>
      <c r="AB1591" s="504"/>
      <c r="AC1591" s="504"/>
      <c r="AD1591" s="504"/>
    </row>
    <row r="1592" spans="1:30" s="505" customFormat="1" ht="41.25" hidden="1" customHeight="1">
      <c r="A1592" s="492"/>
      <c r="B1592" s="643"/>
      <c r="C1592" s="513"/>
      <c r="D1592" s="514"/>
      <c r="E1592" s="670" t="s">
        <v>31</v>
      </c>
      <c r="F1592" s="670"/>
      <c r="G1592" s="670"/>
      <c r="H1592" s="670"/>
      <c r="I1592" s="670"/>
      <c r="J1592" s="670"/>
      <c r="K1592" s="670"/>
      <c r="L1592" s="498">
        <f>ROUND((I1588+J1588+K1588)*2.14%,2)</f>
        <v>53.58</v>
      </c>
      <c r="M1592" s="459">
        <f>L1592</f>
        <v>53.58</v>
      </c>
      <c r="N1592" s="655"/>
      <c r="O1592" s="656"/>
      <c r="P1592" s="657"/>
      <c r="Q1592" s="671"/>
      <c r="R1592" s="672"/>
      <c r="S1592" s="673"/>
      <c r="T1592" s="457">
        <f>H1588*M1592*N1588*O1588*P1588</f>
        <v>0</v>
      </c>
      <c r="U1592" s="458">
        <f>T1592</f>
        <v>0</v>
      </c>
      <c r="V1592" s="42"/>
      <c r="W1592" s="504"/>
      <c r="X1592" s="503"/>
      <c r="Y1592" s="504"/>
      <c r="Z1592" s="504"/>
      <c r="AA1592" s="503">
        <f>T1592</f>
        <v>0</v>
      </c>
      <c r="AB1592" s="504"/>
      <c r="AC1592" s="504"/>
      <c r="AD1592" s="504"/>
    </row>
    <row r="1593" spans="1:30" s="505" customFormat="1" ht="41.25" hidden="1" customHeight="1">
      <c r="A1593" s="492"/>
      <c r="B1593" s="643"/>
      <c r="C1593" s="515"/>
      <c r="D1593" s="514"/>
      <c r="E1593" s="670" t="s">
        <v>376</v>
      </c>
      <c r="F1593" s="670"/>
      <c r="G1593" s="670"/>
      <c r="H1593" s="670"/>
      <c r="I1593" s="670"/>
      <c r="J1593" s="670"/>
      <c r="K1593" s="670"/>
      <c r="L1593" s="498">
        <f>ROUND((I1588+J1588+K1588+L1591+L1592+L1596)*3%,2)</f>
        <v>81.41</v>
      </c>
      <c r="M1593" s="459">
        <f>L1593</f>
        <v>81.41</v>
      </c>
      <c r="N1593" s="655"/>
      <c r="O1593" s="656"/>
      <c r="P1593" s="657"/>
      <c r="Q1593" s="671"/>
      <c r="R1593" s="672"/>
      <c r="S1593" s="673"/>
      <c r="T1593" s="457">
        <f>H1588*M1593*N1588*O1588*P1588</f>
        <v>0</v>
      </c>
      <c r="U1593" s="458">
        <f>T1593</f>
        <v>0</v>
      </c>
      <c r="V1593" s="42"/>
      <c r="W1593" s="504"/>
      <c r="X1593" s="504"/>
      <c r="Y1593" s="503"/>
      <c r="Z1593" s="504"/>
      <c r="AA1593" s="504"/>
      <c r="AB1593" s="503">
        <f>T1593</f>
        <v>0</v>
      </c>
      <c r="AC1593" s="504"/>
      <c r="AD1593" s="504"/>
    </row>
    <row r="1594" spans="1:30" s="505" customFormat="1" ht="54.75" hidden="1" customHeight="1">
      <c r="A1594" s="492"/>
      <c r="B1594" s="643"/>
      <c r="C1594" s="515"/>
      <c r="D1594" s="514"/>
      <c r="E1594" s="670" t="s">
        <v>377</v>
      </c>
      <c r="F1594" s="670"/>
      <c r="G1594" s="670"/>
      <c r="H1594" s="670"/>
      <c r="I1594" s="670"/>
      <c r="J1594" s="670"/>
      <c r="K1594" s="670"/>
      <c r="L1594" s="498">
        <f>427.10424-K1588-L1591-L1592-L1596</f>
        <v>0</v>
      </c>
      <c r="M1594" s="459">
        <f>L1594</f>
        <v>0</v>
      </c>
      <c r="N1594" s="655"/>
      <c r="O1594" s="656"/>
      <c r="P1594" s="657"/>
      <c r="Q1594" s="671"/>
      <c r="R1594" s="672"/>
      <c r="S1594" s="673"/>
      <c r="T1594" s="457">
        <f>H1588*M1594*N1588*O1588*P1588</f>
        <v>0</v>
      </c>
      <c r="U1594" s="458">
        <f>T1594</f>
        <v>0</v>
      </c>
      <c r="V1594" s="42"/>
      <c r="W1594" s="504"/>
      <c r="X1594" s="504"/>
      <c r="Y1594" s="504"/>
      <c r="Z1594" s="506"/>
      <c r="AA1594" s="504"/>
      <c r="AB1594" s="504"/>
      <c r="AC1594" s="506">
        <f>T1594</f>
        <v>0</v>
      </c>
      <c r="AD1594" s="504"/>
    </row>
    <row r="1595" spans="1:30" s="505" customFormat="1" ht="45" hidden="1" customHeight="1">
      <c r="A1595" s="492"/>
      <c r="B1595" s="643"/>
      <c r="C1595" s="515"/>
      <c r="D1595" s="514"/>
      <c r="E1595" s="674"/>
      <c r="F1595" s="675"/>
      <c r="G1595" s="675"/>
      <c r="H1595" s="675"/>
      <c r="I1595" s="675"/>
      <c r="J1595" s="675"/>
      <c r="K1595" s="675"/>
      <c r="L1595" s="675"/>
      <c r="M1595" s="676"/>
      <c r="N1595" s="655"/>
      <c r="O1595" s="656"/>
      <c r="P1595" s="657"/>
      <c r="Q1595" s="677"/>
      <c r="R1595" s="678"/>
      <c r="S1595" s="678"/>
      <c r="T1595" s="678"/>
      <c r="U1595" s="679"/>
      <c r="V1595" s="45"/>
      <c r="W1595" s="504"/>
      <c r="X1595" s="504"/>
      <c r="Y1595" s="504"/>
      <c r="Z1595" s="504"/>
      <c r="AA1595" s="506"/>
      <c r="AB1595" s="504"/>
      <c r="AC1595" s="504"/>
      <c r="AD1595" s="504"/>
    </row>
    <row r="1596" spans="1:30" s="505" customFormat="1" ht="45" hidden="1" customHeight="1" thickBot="1">
      <c r="A1596" s="492"/>
      <c r="B1596" s="644"/>
      <c r="C1596" s="516"/>
      <c r="D1596" s="517"/>
      <c r="E1596" s="680" t="s">
        <v>369</v>
      </c>
      <c r="F1596" s="680" t="s">
        <v>306</v>
      </c>
      <c r="G1596" s="680"/>
      <c r="H1596" s="680"/>
      <c r="I1596" s="680"/>
      <c r="J1596" s="680"/>
      <c r="K1596" s="680"/>
      <c r="L1596" s="499">
        <f>ROUND((I1588+J1588+K1588+L1591)*3.93%,2)</f>
        <v>100.59</v>
      </c>
      <c r="M1596" s="46">
        <f>L1596</f>
        <v>100.59</v>
      </c>
      <c r="N1596" s="658"/>
      <c r="O1596" s="659"/>
      <c r="P1596" s="660"/>
      <c r="Q1596" s="681"/>
      <c r="R1596" s="682"/>
      <c r="S1596" s="683"/>
      <c r="T1596" s="500">
        <f>H1588*M1596*N1588*O1588*P1588</f>
        <v>0</v>
      </c>
      <c r="U1596" s="47">
        <f>T1596</f>
        <v>0</v>
      </c>
      <c r="V1596" s="48"/>
      <c r="W1596" s="504"/>
      <c r="X1596" s="504"/>
      <c r="Y1596" s="504"/>
      <c r="Z1596" s="504"/>
      <c r="AA1596" s="504"/>
      <c r="AB1596" s="506"/>
      <c r="AC1596" s="504"/>
      <c r="AD1596" s="506">
        <f>T1596</f>
        <v>0</v>
      </c>
    </row>
    <row r="1597" spans="1:30" s="488" customFormat="1" ht="150" hidden="1" customHeight="1" thickBot="1">
      <c r="A1597" s="492"/>
      <c r="B1597" s="642">
        <v>2</v>
      </c>
      <c r="C1597" s="511">
        <v>10</v>
      </c>
      <c r="D1597" s="512"/>
      <c r="E1597" s="493" t="s">
        <v>644</v>
      </c>
      <c r="F1597" s="487" t="s">
        <v>645</v>
      </c>
      <c r="G1597" s="645" t="s">
        <v>388</v>
      </c>
      <c r="H1597" s="688">
        <v>0</v>
      </c>
      <c r="I1597" s="494">
        <v>195.44</v>
      </c>
      <c r="J1597" s="494">
        <v>39.43</v>
      </c>
      <c r="K1597" s="494">
        <v>3.04</v>
      </c>
      <c r="L1597" s="494">
        <f>SUM(L1599:L1605)</f>
        <v>30.273820000000001</v>
      </c>
      <c r="M1597" s="33">
        <f>SUM(I1597:L1597)</f>
        <v>268.18381999999997</v>
      </c>
      <c r="N1597" s="501">
        <v>1</v>
      </c>
      <c r="O1597" s="502">
        <v>1</v>
      </c>
      <c r="P1597" s="37">
        <v>1</v>
      </c>
      <c r="Q1597" s="34">
        <f>H1597*I1597*N1597*O1597*P1597</f>
        <v>0</v>
      </c>
      <c r="R1597" s="35">
        <f>H1597*J1597*N1597*O1597*P1597</f>
        <v>0</v>
      </c>
      <c r="S1597" s="36">
        <f>H1597*K1597*N1597*O1597*P1597</f>
        <v>0</v>
      </c>
      <c r="T1597" s="36">
        <f>H1597*L1597*N1597*O1597*P1597</f>
        <v>0</v>
      </c>
      <c r="U1597" s="37">
        <f>SUM(Q1597:T1597)</f>
        <v>0</v>
      </c>
      <c r="V1597" s="38">
        <f>(Q1597+R1597+S1597+T1601+T1602+T1603+T1605)*'Прогнозная стоимость РСС ИП '!$M$11+T1600*'Прогнозная стоимость РСС ИП '!$M$10</f>
        <v>0</v>
      </c>
      <c r="W1597" s="39">
        <f>T1597</f>
        <v>0</v>
      </c>
      <c r="X1597" s="39">
        <f>U1597</f>
        <v>0</v>
      </c>
      <c r="Y1597" s="39">
        <f>V1597</f>
        <v>0</v>
      </c>
      <c r="Z1597" s="29"/>
      <c r="AA1597" s="29"/>
      <c r="AB1597" s="29"/>
      <c r="AC1597" s="29"/>
      <c r="AD1597" s="29"/>
    </row>
    <row r="1598" spans="1:30" s="488" customFormat="1" ht="41.25" hidden="1" customHeight="1">
      <c r="A1598" s="492"/>
      <c r="B1598" s="643"/>
      <c r="C1598" s="513"/>
      <c r="D1598" s="514"/>
      <c r="E1598" s="495"/>
      <c r="F1598" s="496"/>
      <c r="G1598" s="646"/>
      <c r="H1598" s="688"/>
      <c r="I1598" s="649"/>
      <c r="J1598" s="650"/>
      <c r="K1598" s="650"/>
      <c r="L1598" s="650"/>
      <c r="M1598" s="651"/>
      <c r="N1598" s="652"/>
      <c r="O1598" s="653"/>
      <c r="P1598" s="654"/>
      <c r="Q1598" s="661"/>
      <c r="R1598" s="662"/>
      <c r="S1598" s="662"/>
      <c r="T1598" s="662"/>
      <c r="U1598" s="663"/>
      <c r="V1598" s="40"/>
      <c r="W1598" s="41"/>
      <c r="X1598" s="41"/>
      <c r="Y1598" s="41"/>
      <c r="Z1598" s="29"/>
      <c r="AA1598" s="29"/>
      <c r="AB1598" s="29"/>
      <c r="AC1598" s="29"/>
      <c r="AD1598" s="29"/>
    </row>
    <row r="1599" spans="1:30" s="488" customFormat="1" ht="41.25" hidden="1" customHeight="1">
      <c r="A1599" s="492"/>
      <c r="B1599" s="643"/>
      <c r="C1599" s="513"/>
      <c r="D1599" s="514"/>
      <c r="E1599" s="664" t="s">
        <v>29</v>
      </c>
      <c r="F1599" s="665"/>
      <c r="G1599" s="665"/>
      <c r="H1599" s="665"/>
      <c r="I1599" s="665"/>
      <c r="J1599" s="665"/>
      <c r="K1599" s="665"/>
      <c r="L1599" s="665"/>
      <c r="M1599" s="666"/>
      <c r="N1599" s="655"/>
      <c r="O1599" s="656"/>
      <c r="P1599" s="657"/>
      <c r="Q1599" s="667"/>
      <c r="R1599" s="689"/>
      <c r="S1599" s="689"/>
      <c r="T1599" s="689"/>
      <c r="U1599" s="690"/>
      <c r="V1599" s="42"/>
      <c r="W1599" s="41"/>
      <c r="X1599" s="41"/>
      <c r="Y1599" s="41"/>
      <c r="Z1599" s="29"/>
      <c r="AA1599" s="29"/>
      <c r="AB1599" s="29"/>
      <c r="AC1599" s="29"/>
      <c r="AD1599" s="29"/>
    </row>
    <row r="1600" spans="1:30" s="488" customFormat="1" ht="41.25" hidden="1" customHeight="1">
      <c r="A1600" s="492"/>
      <c r="B1600" s="643"/>
      <c r="C1600" s="513">
        <v>1010</v>
      </c>
      <c r="D1600" s="514"/>
      <c r="E1600" s="670" t="s">
        <v>30</v>
      </c>
      <c r="F1600" s="670"/>
      <c r="G1600" s="670"/>
      <c r="H1600" s="670"/>
      <c r="I1600" s="670"/>
      <c r="J1600" s="670"/>
      <c r="K1600" s="670"/>
      <c r="L1600" s="498">
        <v>7.723819999999999</v>
      </c>
      <c r="M1600" s="459">
        <f>L1600</f>
        <v>7.723819999999999</v>
      </c>
      <c r="N1600" s="655"/>
      <c r="O1600" s="656"/>
      <c r="P1600" s="657"/>
      <c r="Q1600" s="671"/>
      <c r="R1600" s="672"/>
      <c r="S1600" s="673"/>
      <c r="T1600" s="457">
        <f>H1597*M1600*N1597*O1597*P1597</f>
        <v>0</v>
      </c>
      <c r="U1600" s="458">
        <f>T1600</f>
        <v>0</v>
      </c>
      <c r="V1600" s="42"/>
      <c r="W1600" s="39"/>
      <c r="X1600" s="41"/>
      <c r="Y1600" s="41"/>
      <c r="Z1600" s="43">
        <f>T1600</f>
        <v>0</v>
      </c>
      <c r="AA1600" s="29"/>
      <c r="AB1600" s="29"/>
      <c r="AC1600" s="29"/>
      <c r="AD1600" s="29"/>
    </row>
    <row r="1601" spans="1:30" s="488" customFormat="1" ht="41.25" hidden="1" customHeight="1">
      <c r="A1601" s="492"/>
      <c r="B1601" s="643"/>
      <c r="C1601" s="513"/>
      <c r="D1601" s="514"/>
      <c r="E1601" s="670" t="s">
        <v>31</v>
      </c>
      <c r="F1601" s="670"/>
      <c r="G1601" s="670"/>
      <c r="H1601" s="670"/>
      <c r="I1601" s="670"/>
      <c r="J1601" s="670"/>
      <c r="K1601" s="670"/>
      <c r="L1601" s="498">
        <f>ROUND((I1597+J1597+K1597)*2.14%,2)</f>
        <v>5.09</v>
      </c>
      <c r="M1601" s="459">
        <f>L1601</f>
        <v>5.09</v>
      </c>
      <c r="N1601" s="655"/>
      <c r="O1601" s="656"/>
      <c r="P1601" s="657"/>
      <c r="Q1601" s="671"/>
      <c r="R1601" s="672"/>
      <c r="S1601" s="673"/>
      <c r="T1601" s="457">
        <f>H1597*M1601*N1597*O1597*P1597</f>
        <v>0</v>
      </c>
      <c r="U1601" s="458">
        <f>T1601</f>
        <v>0</v>
      </c>
      <c r="V1601" s="42"/>
      <c r="W1601" s="41"/>
      <c r="X1601" s="39"/>
      <c r="Y1601" s="41"/>
      <c r="Z1601" s="29"/>
      <c r="AA1601" s="43">
        <f>T1601</f>
        <v>0</v>
      </c>
      <c r="AB1601" s="29"/>
      <c r="AC1601" s="29"/>
      <c r="AD1601" s="29"/>
    </row>
    <row r="1602" spans="1:30" s="488" customFormat="1" ht="41.25" hidden="1" customHeight="1">
      <c r="A1602" s="492"/>
      <c r="B1602" s="643"/>
      <c r="C1602" s="515"/>
      <c r="D1602" s="514"/>
      <c r="E1602" s="670" t="s">
        <v>376</v>
      </c>
      <c r="F1602" s="670"/>
      <c r="G1602" s="670"/>
      <c r="H1602" s="670"/>
      <c r="I1602" s="670"/>
      <c r="J1602" s="670"/>
      <c r="K1602" s="670"/>
      <c r="L1602" s="498">
        <f>ROUND((I1597+J1597+K1597+L1600+L1601+L1605)*3%,2)</f>
        <v>7.81</v>
      </c>
      <c r="M1602" s="459">
        <f>L1602</f>
        <v>7.81</v>
      </c>
      <c r="N1602" s="655"/>
      <c r="O1602" s="656"/>
      <c r="P1602" s="657"/>
      <c r="Q1602" s="671"/>
      <c r="R1602" s="672"/>
      <c r="S1602" s="673"/>
      <c r="T1602" s="457">
        <f>H1597*M1602*N1597*O1597*P1597</f>
        <v>0</v>
      </c>
      <c r="U1602" s="458">
        <f>T1602</f>
        <v>0</v>
      </c>
      <c r="V1602" s="42"/>
      <c r="W1602" s="41"/>
      <c r="X1602" s="41"/>
      <c r="Y1602" s="39"/>
      <c r="Z1602" s="29"/>
      <c r="AA1602" s="29"/>
      <c r="AB1602" s="43">
        <f>T1602</f>
        <v>0</v>
      </c>
      <c r="AC1602" s="29"/>
      <c r="AD1602" s="29"/>
    </row>
    <row r="1603" spans="1:30" s="488" customFormat="1" ht="54.75" hidden="1" customHeight="1">
      <c r="A1603" s="492"/>
      <c r="B1603" s="643"/>
      <c r="C1603" s="515"/>
      <c r="D1603" s="514"/>
      <c r="E1603" s="670" t="s">
        <v>377</v>
      </c>
      <c r="F1603" s="670"/>
      <c r="G1603" s="670"/>
      <c r="H1603" s="670"/>
      <c r="I1603" s="670"/>
      <c r="J1603" s="670"/>
      <c r="K1603" s="670"/>
      <c r="L1603" s="498">
        <f>25.50382-K1597-L1600-L1601-L1605</f>
        <v>0</v>
      </c>
      <c r="M1603" s="459">
        <f>L1603</f>
        <v>0</v>
      </c>
      <c r="N1603" s="655"/>
      <c r="O1603" s="656"/>
      <c r="P1603" s="657"/>
      <c r="Q1603" s="671"/>
      <c r="R1603" s="672"/>
      <c r="S1603" s="673"/>
      <c r="T1603" s="457">
        <f>H1597*M1603*N1597*O1597*P1597</f>
        <v>0</v>
      </c>
      <c r="U1603" s="458">
        <f>T1603</f>
        <v>0</v>
      </c>
      <c r="V1603" s="42"/>
      <c r="W1603" s="41"/>
      <c r="X1603" s="41"/>
      <c r="Y1603" s="41"/>
      <c r="Z1603" s="44"/>
      <c r="AA1603" s="29"/>
      <c r="AB1603" s="29"/>
      <c r="AC1603" s="44">
        <f>T1603</f>
        <v>0</v>
      </c>
      <c r="AD1603" s="29"/>
    </row>
    <row r="1604" spans="1:30" s="488" customFormat="1" ht="45" hidden="1" customHeight="1">
      <c r="A1604" s="492"/>
      <c r="B1604" s="643"/>
      <c r="C1604" s="515"/>
      <c r="D1604" s="514"/>
      <c r="E1604" s="674"/>
      <c r="F1604" s="675"/>
      <c r="G1604" s="675"/>
      <c r="H1604" s="675"/>
      <c r="I1604" s="675"/>
      <c r="J1604" s="675"/>
      <c r="K1604" s="675"/>
      <c r="L1604" s="675"/>
      <c r="M1604" s="676"/>
      <c r="N1604" s="655"/>
      <c r="O1604" s="656"/>
      <c r="P1604" s="657"/>
      <c r="Q1604" s="677"/>
      <c r="R1604" s="678"/>
      <c r="S1604" s="678"/>
      <c r="T1604" s="678"/>
      <c r="U1604" s="679"/>
      <c r="V1604" s="45"/>
      <c r="W1604" s="41"/>
      <c r="X1604" s="41"/>
      <c r="Y1604" s="41"/>
      <c r="Z1604" s="29"/>
      <c r="AA1604" s="44"/>
      <c r="AB1604" s="29"/>
      <c r="AC1604" s="29"/>
      <c r="AD1604" s="29"/>
    </row>
    <row r="1605" spans="1:30" s="488" customFormat="1" ht="45" hidden="1" customHeight="1" thickBot="1">
      <c r="A1605" s="492"/>
      <c r="B1605" s="644"/>
      <c r="C1605" s="516"/>
      <c r="D1605" s="517"/>
      <c r="E1605" s="680" t="s">
        <v>369</v>
      </c>
      <c r="F1605" s="680" t="s">
        <v>306</v>
      </c>
      <c r="G1605" s="680"/>
      <c r="H1605" s="680"/>
      <c r="I1605" s="680"/>
      <c r="J1605" s="680"/>
      <c r="K1605" s="680"/>
      <c r="L1605" s="499">
        <f>ROUND((I1597+J1597+K1597+L1600)*3.93%,2)</f>
        <v>9.65</v>
      </c>
      <c r="M1605" s="46">
        <f>L1605</f>
        <v>9.65</v>
      </c>
      <c r="N1605" s="658"/>
      <c r="O1605" s="659"/>
      <c r="P1605" s="660"/>
      <c r="Q1605" s="681"/>
      <c r="R1605" s="682"/>
      <c r="S1605" s="683"/>
      <c r="T1605" s="500">
        <f>H1597*M1605*N1597*O1597*P1597</f>
        <v>0</v>
      </c>
      <c r="U1605" s="47">
        <f>T1605</f>
        <v>0</v>
      </c>
      <c r="V1605" s="48"/>
      <c r="W1605" s="41"/>
      <c r="X1605" s="41"/>
      <c r="Y1605" s="41"/>
      <c r="Z1605" s="29"/>
      <c r="AA1605" s="29"/>
      <c r="AB1605" s="44"/>
      <c r="AC1605" s="29"/>
      <c r="AD1605" s="44">
        <f>T1605</f>
        <v>0</v>
      </c>
    </row>
    <row r="1606" spans="1:30" s="488" customFormat="1" ht="150" hidden="1" customHeight="1" thickBot="1">
      <c r="A1606" s="492"/>
      <c r="B1606" s="642">
        <v>2</v>
      </c>
      <c r="C1606" s="511">
        <v>10</v>
      </c>
      <c r="D1606" s="512"/>
      <c r="E1606" s="493" t="s">
        <v>646</v>
      </c>
      <c r="F1606" s="487" t="s">
        <v>647</v>
      </c>
      <c r="G1606" s="645" t="s">
        <v>388</v>
      </c>
      <c r="H1606" s="688">
        <v>0</v>
      </c>
      <c r="I1606" s="494">
        <v>164.69</v>
      </c>
      <c r="J1606" s="494">
        <v>19.850000000000001</v>
      </c>
      <c r="K1606" s="494">
        <v>2.1800000000000002</v>
      </c>
      <c r="L1606" s="494">
        <f>SUM(L1608:L1614)</f>
        <v>215.05444</v>
      </c>
      <c r="M1606" s="33">
        <f>SUM(I1606:L1606)</f>
        <v>401.77444000000003</v>
      </c>
      <c r="N1606" s="501">
        <v>1</v>
      </c>
      <c r="O1606" s="502">
        <v>1</v>
      </c>
      <c r="P1606" s="37">
        <v>1</v>
      </c>
      <c r="Q1606" s="34">
        <f>H1606*I1606*N1606*O1606*P1606</f>
        <v>0</v>
      </c>
      <c r="R1606" s="35">
        <f>H1606*J1606*N1606*O1606*P1606</f>
        <v>0</v>
      </c>
      <c r="S1606" s="36">
        <f>H1606*K1606*N1606*O1606*P1606</f>
        <v>0</v>
      </c>
      <c r="T1606" s="36">
        <f>H1606*L1606*N1606*O1606*P1606</f>
        <v>0</v>
      </c>
      <c r="U1606" s="37">
        <f>SUM(Q1606:T1606)</f>
        <v>0</v>
      </c>
      <c r="V1606" s="38">
        <f>(Q1606+R1606+S1606+T1610+T1611+T1612+T1614)*'Прогнозная стоимость РСС ИП '!$M$11+T1609*'Прогнозная стоимость РСС ИП '!$M$10</f>
        <v>0</v>
      </c>
      <c r="W1606" s="39">
        <f>T1606</f>
        <v>0</v>
      </c>
      <c r="X1606" s="39">
        <f>U1606</f>
        <v>0</v>
      </c>
      <c r="Y1606" s="39">
        <f>V1606</f>
        <v>0</v>
      </c>
      <c r="Z1606" s="29"/>
      <c r="AA1606" s="29"/>
      <c r="AB1606" s="29"/>
      <c r="AC1606" s="29"/>
      <c r="AD1606" s="29"/>
    </row>
    <row r="1607" spans="1:30" s="488" customFormat="1" ht="41.25" hidden="1" customHeight="1">
      <c r="A1607" s="492"/>
      <c r="B1607" s="643"/>
      <c r="C1607" s="513"/>
      <c r="D1607" s="514"/>
      <c r="E1607" s="495"/>
      <c r="F1607" s="496"/>
      <c r="G1607" s="646"/>
      <c r="H1607" s="688"/>
      <c r="I1607" s="649"/>
      <c r="J1607" s="650"/>
      <c r="K1607" s="650"/>
      <c r="L1607" s="650"/>
      <c r="M1607" s="651"/>
      <c r="N1607" s="652"/>
      <c r="O1607" s="653"/>
      <c r="P1607" s="654"/>
      <c r="Q1607" s="661"/>
      <c r="R1607" s="662"/>
      <c r="S1607" s="662"/>
      <c r="T1607" s="662"/>
      <c r="U1607" s="663"/>
      <c r="V1607" s="40"/>
      <c r="W1607" s="41"/>
      <c r="X1607" s="41"/>
      <c r="Y1607" s="41"/>
      <c r="Z1607" s="29"/>
      <c r="AA1607" s="29"/>
      <c r="AB1607" s="29"/>
      <c r="AC1607" s="29"/>
      <c r="AD1607" s="29"/>
    </row>
    <row r="1608" spans="1:30" s="488" customFormat="1" ht="41.25" hidden="1" customHeight="1">
      <c r="A1608" s="492"/>
      <c r="B1608" s="643"/>
      <c r="C1608" s="513"/>
      <c r="D1608" s="514"/>
      <c r="E1608" s="664" t="s">
        <v>29</v>
      </c>
      <c r="F1608" s="665"/>
      <c r="G1608" s="665"/>
      <c r="H1608" s="665"/>
      <c r="I1608" s="665"/>
      <c r="J1608" s="665"/>
      <c r="K1608" s="665"/>
      <c r="L1608" s="665"/>
      <c r="M1608" s="666"/>
      <c r="N1608" s="655"/>
      <c r="O1608" s="656"/>
      <c r="P1608" s="657"/>
      <c r="Q1608" s="667"/>
      <c r="R1608" s="689"/>
      <c r="S1608" s="689"/>
      <c r="T1608" s="689"/>
      <c r="U1608" s="690"/>
      <c r="V1608" s="42"/>
      <c r="W1608" s="41"/>
      <c r="X1608" s="41"/>
      <c r="Y1608" s="41"/>
      <c r="Z1608" s="29"/>
      <c r="AA1608" s="29"/>
      <c r="AB1608" s="29"/>
      <c r="AC1608" s="29"/>
      <c r="AD1608" s="29"/>
    </row>
    <row r="1609" spans="1:30" s="488" customFormat="1" ht="41.25" hidden="1" customHeight="1">
      <c r="A1609" s="492"/>
      <c r="B1609" s="643"/>
      <c r="C1609" s="513">
        <v>1010</v>
      </c>
      <c r="D1609" s="514"/>
      <c r="E1609" s="670" t="s">
        <v>30</v>
      </c>
      <c r="F1609" s="670"/>
      <c r="G1609" s="670"/>
      <c r="H1609" s="670"/>
      <c r="I1609" s="670"/>
      <c r="J1609" s="670"/>
      <c r="K1609" s="670"/>
      <c r="L1609" s="498">
        <v>184.74443999999997</v>
      </c>
      <c r="M1609" s="459">
        <f>L1609</f>
        <v>184.74443999999997</v>
      </c>
      <c r="N1609" s="655"/>
      <c r="O1609" s="656"/>
      <c r="P1609" s="657"/>
      <c r="Q1609" s="671"/>
      <c r="R1609" s="672"/>
      <c r="S1609" s="673"/>
      <c r="T1609" s="457">
        <f>H1606*M1609*N1606*O1606*P1606</f>
        <v>0</v>
      </c>
      <c r="U1609" s="458">
        <f>T1609</f>
        <v>0</v>
      </c>
      <c r="V1609" s="42"/>
      <c r="W1609" s="39"/>
      <c r="X1609" s="41"/>
      <c r="Y1609" s="41"/>
      <c r="Z1609" s="43">
        <f>T1609</f>
        <v>0</v>
      </c>
      <c r="AA1609" s="29"/>
      <c r="AB1609" s="29"/>
      <c r="AC1609" s="29"/>
      <c r="AD1609" s="29"/>
    </row>
    <row r="1610" spans="1:30" s="488" customFormat="1" ht="41.25" hidden="1" customHeight="1">
      <c r="A1610" s="492"/>
      <c r="B1610" s="643"/>
      <c r="C1610" s="513"/>
      <c r="D1610" s="514"/>
      <c r="E1610" s="670" t="s">
        <v>31</v>
      </c>
      <c r="F1610" s="670"/>
      <c r="G1610" s="670"/>
      <c r="H1610" s="670"/>
      <c r="I1610" s="670"/>
      <c r="J1610" s="670"/>
      <c r="K1610" s="670"/>
      <c r="L1610" s="498">
        <f>ROUND((I1606+J1606+K1606)*2.14%,2)</f>
        <v>4</v>
      </c>
      <c r="M1610" s="459">
        <f>L1610</f>
        <v>4</v>
      </c>
      <c r="N1610" s="655"/>
      <c r="O1610" s="656"/>
      <c r="P1610" s="657"/>
      <c r="Q1610" s="671"/>
      <c r="R1610" s="672"/>
      <c r="S1610" s="673"/>
      <c r="T1610" s="457">
        <f>H1606*M1610*N1606*O1606*P1606</f>
        <v>0</v>
      </c>
      <c r="U1610" s="458">
        <f>T1610</f>
        <v>0</v>
      </c>
      <c r="V1610" s="42"/>
      <c r="W1610" s="41"/>
      <c r="X1610" s="39"/>
      <c r="Y1610" s="41"/>
      <c r="Z1610" s="29"/>
      <c r="AA1610" s="43">
        <f>T1610</f>
        <v>0</v>
      </c>
      <c r="AB1610" s="29"/>
      <c r="AC1610" s="29"/>
      <c r="AD1610" s="29"/>
    </row>
    <row r="1611" spans="1:30" s="488" customFormat="1" ht="41.25" hidden="1" customHeight="1">
      <c r="A1611" s="492"/>
      <c r="B1611" s="643"/>
      <c r="C1611" s="515"/>
      <c r="D1611" s="514"/>
      <c r="E1611" s="670" t="s">
        <v>376</v>
      </c>
      <c r="F1611" s="670"/>
      <c r="G1611" s="670"/>
      <c r="H1611" s="670"/>
      <c r="I1611" s="670"/>
      <c r="J1611" s="670"/>
      <c r="K1611" s="670"/>
      <c r="L1611" s="498">
        <f>ROUND((I1606+J1606+K1606+L1609+L1610+L1614)*3%,2)+0.01</f>
        <v>11.709999999999999</v>
      </c>
      <c r="M1611" s="459">
        <f>L1611</f>
        <v>11.709999999999999</v>
      </c>
      <c r="N1611" s="655"/>
      <c r="O1611" s="656"/>
      <c r="P1611" s="657"/>
      <c r="Q1611" s="671"/>
      <c r="R1611" s="672"/>
      <c r="S1611" s="673"/>
      <c r="T1611" s="457">
        <f>H1606*M1611*N1606*O1606*P1606</f>
        <v>0</v>
      </c>
      <c r="U1611" s="458">
        <f>T1611</f>
        <v>0</v>
      </c>
      <c r="V1611" s="42"/>
      <c r="W1611" s="41"/>
      <c r="X1611" s="41"/>
      <c r="Y1611" s="39"/>
      <c r="Z1611" s="29"/>
      <c r="AA1611" s="29"/>
      <c r="AB1611" s="43">
        <f>T1611</f>
        <v>0</v>
      </c>
      <c r="AC1611" s="29"/>
      <c r="AD1611" s="29"/>
    </row>
    <row r="1612" spans="1:30" s="488" customFormat="1" ht="54.75" hidden="1" customHeight="1">
      <c r="A1612" s="492"/>
      <c r="B1612" s="643"/>
      <c r="C1612" s="515"/>
      <c r="D1612" s="514"/>
      <c r="E1612" s="670" t="s">
        <v>377</v>
      </c>
      <c r="F1612" s="670"/>
      <c r="G1612" s="670"/>
      <c r="H1612" s="670"/>
      <c r="I1612" s="670"/>
      <c r="J1612" s="670"/>
      <c r="K1612" s="670"/>
      <c r="L1612" s="498">
        <f>205.52444-K1606-L1609-L1610-L1614</f>
        <v>2.3092638912203256E-14</v>
      </c>
      <c r="M1612" s="459">
        <f>L1612</f>
        <v>2.3092638912203256E-14</v>
      </c>
      <c r="N1612" s="655"/>
      <c r="O1612" s="656"/>
      <c r="P1612" s="657"/>
      <c r="Q1612" s="671"/>
      <c r="R1612" s="672"/>
      <c r="S1612" s="673"/>
      <c r="T1612" s="457">
        <f>H1606*M1612*N1606*O1606*P1606</f>
        <v>0</v>
      </c>
      <c r="U1612" s="458">
        <f>T1612</f>
        <v>0</v>
      </c>
      <c r="V1612" s="42"/>
      <c r="W1612" s="41"/>
      <c r="X1612" s="41"/>
      <c r="Y1612" s="41"/>
      <c r="Z1612" s="44"/>
      <c r="AA1612" s="29"/>
      <c r="AB1612" s="29"/>
      <c r="AC1612" s="44">
        <f>T1612</f>
        <v>0</v>
      </c>
      <c r="AD1612" s="29"/>
    </row>
    <row r="1613" spans="1:30" s="488" customFormat="1" ht="45" hidden="1" customHeight="1">
      <c r="A1613" s="492"/>
      <c r="B1613" s="643"/>
      <c r="C1613" s="515"/>
      <c r="D1613" s="514"/>
      <c r="E1613" s="674"/>
      <c r="F1613" s="675"/>
      <c r="G1613" s="675"/>
      <c r="H1613" s="675"/>
      <c r="I1613" s="675"/>
      <c r="J1613" s="675"/>
      <c r="K1613" s="675"/>
      <c r="L1613" s="675"/>
      <c r="M1613" s="676"/>
      <c r="N1613" s="655"/>
      <c r="O1613" s="656"/>
      <c r="P1613" s="657"/>
      <c r="Q1613" s="677"/>
      <c r="R1613" s="678"/>
      <c r="S1613" s="678"/>
      <c r="T1613" s="678"/>
      <c r="U1613" s="679"/>
      <c r="V1613" s="45"/>
      <c r="W1613" s="41"/>
      <c r="X1613" s="41"/>
      <c r="Y1613" s="41"/>
      <c r="Z1613" s="29"/>
      <c r="AA1613" s="44"/>
      <c r="AB1613" s="29"/>
      <c r="AC1613" s="29"/>
      <c r="AD1613" s="29"/>
    </row>
    <row r="1614" spans="1:30" s="488" customFormat="1" ht="45" hidden="1" customHeight="1" thickBot="1">
      <c r="A1614" s="492"/>
      <c r="B1614" s="644"/>
      <c r="C1614" s="516"/>
      <c r="D1614" s="517"/>
      <c r="E1614" s="680" t="s">
        <v>369</v>
      </c>
      <c r="F1614" s="680" t="s">
        <v>306</v>
      </c>
      <c r="G1614" s="680"/>
      <c r="H1614" s="680"/>
      <c r="I1614" s="680"/>
      <c r="J1614" s="680"/>
      <c r="K1614" s="680"/>
      <c r="L1614" s="499">
        <f>ROUND((I1606+J1606+K1606+L1609)*3.93%,2)</f>
        <v>14.6</v>
      </c>
      <c r="M1614" s="46">
        <f>L1614</f>
        <v>14.6</v>
      </c>
      <c r="N1614" s="658"/>
      <c r="O1614" s="659"/>
      <c r="P1614" s="660"/>
      <c r="Q1614" s="681"/>
      <c r="R1614" s="682"/>
      <c r="S1614" s="683"/>
      <c r="T1614" s="500">
        <f>H1606*M1614*N1606*O1606*P1606</f>
        <v>0</v>
      </c>
      <c r="U1614" s="47">
        <f>T1614</f>
        <v>0</v>
      </c>
      <c r="V1614" s="48"/>
      <c r="W1614" s="41"/>
      <c r="X1614" s="41"/>
      <c r="Y1614" s="41"/>
      <c r="Z1614" s="29"/>
      <c r="AA1614" s="29"/>
      <c r="AB1614" s="44"/>
      <c r="AC1614" s="29"/>
      <c r="AD1614" s="44">
        <f>T1614</f>
        <v>0</v>
      </c>
    </row>
    <row r="1615" spans="1:30" s="555" customFormat="1" ht="150" hidden="1" customHeight="1" thickBot="1">
      <c r="A1615" s="492"/>
      <c r="B1615" s="642">
        <v>2</v>
      </c>
      <c r="C1615" s="511">
        <v>10</v>
      </c>
      <c r="D1615" s="512"/>
      <c r="E1615" s="493" t="s">
        <v>784</v>
      </c>
      <c r="F1615" s="554" t="s">
        <v>785</v>
      </c>
      <c r="G1615" s="645" t="s">
        <v>388</v>
      </c>
      <c r="H1615" s="688">
        <v>0</v>
      </c>
      <c r="I1615" s="494">
        <v>1259.52</v>
      </c>
      <c r="J1615" s="494">
        <v>200.42</v>
      </c>
      <c r="K1615" s="494">
        <v>82.42</v>
      </c>
      <c r="L1615" s="494">
        <f>SUM(L1617:L1623)</f>
        <v>208.39072000000002</v>
      </c>
      <c r="M1615" s="33">
        <f>SUM(I1615:L1615)</f>
        <v>1750.7507200000002</v>
      </c>
      <c r="N1615" s="501">
        <v>1</v>
      </c>
      <c r="O1615" s="502">
        <v>1</v>
      </c>
      <c r="P1615" s="37">
        <v>1</v>
      </c>
      <c r="Q1615" s="34">
        <f>H1615*I1615*N1615*O1615*P1615</f>
        <v>0</v>
      </c>
      <c r="R1615" s="35">
        <f>H1615*J1615*N1615*O1615*P1615</f>
        <v>0</v>
      </c>
      <c r="S1615" s="36">
        <f>H1615*K1615*N1615*O1615*P1615</f>
        <v>0</v>
      </c>
      <c r="T1615" s="36">
        <f>H1615*L1615*N1615*O1615*P1615</f>
        <v>0</v>
      </c>
      <c r="U1615" s="37">
        <f>SUM(Q1615:T1615)</f>
        <v>0</v>
      </c>
      <c r="V1615" s="38">
        <f>(Q1615+R1615+S1615+T1619+T1620+T1621+T1623)*'Прогнозная стоимость РСС ИП '!$M$11+T1618*'Прогнозная стоимость РСС ИП '!$M$10</f>
        <v>0</v>
      </c>
      <c r="W1615" s="39">
        <f>T1615</f>
        <v>0</v>
      </c>
      <c r="X1615" s="39">
        <f>U1615</f>
        <v>0</v>
      </c>
      <c r="Y1615" s="39">
        <f>V1615</f>
        <v>0</v>
      </c>
      <c r="Z1615" s="29"/>
      <c r="AA1615" s="29"/>
      <c r="AB1615" s="29"/>
      <c r="AC1615" s="29"/>
      <c r="AD1615" s="29"/>
    </row>
    <row r="1616" spans="1:30" s="555" customFormat="1" ht="41.25" hidden="1" customHeight="1">
      <c r="A1616" s="492"/>
      <c r="B1616" s="643"/>
      <c r="C1616" s="513"/>
      <c r="D1616" s="514"/>
      <c r="E1616" s="495"/>
      <c r="F1616" s="496"/>
      <c r="G1616" s="646"/>
      <c r="H1616" s="688"/>
      <c r="I1616" s="649"/>
      <c r="J1616" s="650"/>
      <c r="K1616" s="650"/>
      <c r="L1616" s="650"/>
      <c r="M1616" s="651"/>
      <c r="N1616" s="652"/>
      <c r="O1616" s="653"/>
      <c r="P1616" s="654"/>
      <c r="Q1616" s="661"/>
      <c r="R1616" s="662"/>
      <c r="S1616" s="662"/>
      <c r="T1616" s="662"/>
      <c r="U1616" s="663"/>
      <c r="V1616" s="40"/>
      <c r="W1616" s="41"/>
      <c r="X1616" s="41"/>
      <c r="Y1616" s="41"/>
      <c r="Z1616" s="29"/>
      <c r="AA1616" s="29"/>
      <c r="AB1616" s="29"/>
      <c r="AC1616" s="29"/>
      <c r="AD1616" s="29"/>
    </row>
    <row r="1617" spans="1:30" s="555" customFormat="1" ht="41.25" hidden="1" customHeight="1">
      <c r="A1617" s="492"/>
      <c r="B1617" s="643"/>
      <c r="C1617" s="513"/>
      <c r="D1617" s="514"/>
      <c r="E1617" s="664" t="s">
        <v>29</v>
      </c>
      <c r="F1617" s="665"/>
      <c r="G1617" s="665"/>
      <c r="H1617" s="665"/>
      <c r="I1617" s="665"/>
      <c r="J1617" s="665"/>
      <c r="K1617" s="665"/>
      <c r="L1617" s="665"/>
      <c r="M1617" s="666"/>
      <c r="N1617" s="655"/>
      <c r="O1617" s="656"/>
      <c r="P1617" s="657"/>
      <c r="Q1617" s="667"/>
      <c r="R1617" s="689"/>
      <c r="S1617" s="689"/>
      <c r="T1617" s="689"/>
      <c r="U1617" s="690"/>
      <c r="V1617" s="42"/>
      <c r="W1617" s="41"/>
      <c r="X1617" s="41"/>
      <c r="Y1617" s="41"/>
      <c r="Z1617" s="29"/>
      <c r="AA1617" s="29"/>
      <c r="AB1617" s="29"/>
      <c r="AC1617" s="29"/>
      <c r="AD1617" s="29"/>
    </row>
    <row r="1618" spans="1:30" s="555" customFormat="1" ht="41.25" hidden="1" customHeight="1">
      <c r="A1618" s="492"/>
      <c r="B1618" s="643"/>
      <c r="C1618" s="513">
        <v>1010</v>
      </c>
      <c r="D1618" s="514"/>
      <c r="E1618" s="670" t="s">
        <v>30</v>
      </c>
      <c r="F1618" s="670"/>
      <c r="G1618" s="670"/>
      <c r="H1618" s="670"/>
      <c r="I1618" s="670"/>
      <c r="J1618" s="670"/>
      <c r="K1618" s="670"/>
      <c r="L1618" s="498">
        <v>61.370719999999999</v>
      </c>
      <c r="M1618" s="459">
        <f>L1618</f>
        <v>61.370719999999999</v>
      </c>
      <c r="N1618" s="655"/>
      <c r="O1618" s="656"/>
      <c r="P1618" s="657"/>
      <c r="Q1618" s="671"/>
      <c r="R1618" s="672"/>
      <c r="S1618" s="673"/>
      <c r="T1618" s="553">
        <f>H1615*M1618*N1615*O1615*P1615</f>
        <v>0</v>
      </c>
      <c r="U1618" s="458">
        <f>T1618</f>
        <v>0</v>
      </c>
      <c r="V1618" s="42"/>
      <c r="W1618" s="39"/>
      <c r="X1618" s="41"/>
      <c r="Y1618" s="41"/>
      <c r="Z1618" s="43">
        <f>T1618</f>
        <v>0</v>
      </c>
      <c r="AA1618" s="29"/>
      <c r="AB1618" s="29"/>
      <c r="AC1618" s="29"/>
      <c r="AD1618" s="29"/>
    </row>
    <row r="1619" spans="1:30" s="555" customFormat="1" ht="41.25" hidden="1" customHeight="1">
      <c r="A1619" s="492"/>
      <c r="B1619" s="643"/>
      <c r="C1619" s="513"/>
      <c r="D1619" s="514"/>
      <c r="E1619" s="670" t="s">
        <v>31</v>
      </c>
      <c r="F1619" s="670"/>
      <c r="G1619" s="670"/>
      <c r="H1619" s="670"/>
      <c r="I1619" s="670"/>
      <c r="J1619" s="670"/>
      <c r="K1619" s="670"/>
      <c r="L1619" s="498">
        <f>ROUND((I1615+J1615+K1615)*2.14%,2)</f>
        <v>33.01</v>
      </c>
      <c r="M1619" s="459">
        <f>L1619</f>
        <v>33.01</v>
      </c>
      <c r="N1619" s="655"/>
      <c r="O1619" s="656"/>
      <c r="P1619" s="657"/>
      <c r="Q1619" s="671"/>
      <c r="R1619" s="672"/>
      <c r="S1619" s="673"/>
      <c r="T1619" s="553">
        <f>H1615*M1619*N1615*O1615*P1615</f>
        <v>0</v>
      </c>
      <c r="U1619" s="458">
        <f>T1619</f>
        <v>0</v>
      </c>
      <c r="V1619" s="42"/>
      <c r="W1619" s="41"/>
      <c r="X1619" s="39"/>
      <c r="Y1619" s="41"/>
      <c r="Z1619" s="29"/>
      <c r="AA1619" s="43">
        <f>T1619</f>
        <v>0</v>
      </c>
      <c r="AB1619" s="29"/>
      <c r="AC1619" s="29"/>
      <c r="AD1619" s="29"/>
    </row>
    <row r="1620" spans="1:30" s="555" customFormat="1" ht="41.25" hidden="1" customHeight="1">
      <c r="A1620" s="492"/>
      <c r="B1620" s="643"/>
      <c r="C1620" s="515"/>
      <c r="D1620" s="514"/>
      <c r="E1620" s="670" t="s">
        <v>376</v>
      </c>
      <c r="F1620" s="670"/>
      <c r="G1620" s="670"/>
      <c r="H1620" s="670"/>
      <c r="I1620" s="670"/>
      <c r="J1620" s="670"/>
      <c r="K1620" s="670"/>
      <c r="L1620" s="498">
        <f>ROUND((I1615+J1615+K1615+L1618+L1619+L1623)*3%,2)-0.01</f>
        <v>50.980000000000004</v>
      </c>
      <c r="M1620" s="459">
        <f>L1620</f>
        <v>50.980000000000004</v>
      </c>
      <c r="N1620" s="655"/>
      <c r="O1620" s="656"/>
      <c r="P1620" s="657"/>
      <c r="Q1620" s="671"/>
      <c r="R1620" s="672"/>
      <c r="S1620" s="673"/>
      <c r="T1620" s="553">
        <f>H1615*M1620*N1615*O1615*P1615</f>
        <v>0</v>
      </c>
      <c r="U1620" s="458">
        <f>T1620</f>
        <v>0</v>
      </c>
      <c r="V1620" s="42"/>
      <c r="W1620" s="41"/>
      <c r="X1620" s="41"/>
      <c r="Y1620" s="39"/>
      <c r="Z1620" s="29"/>
      <c r="AA1620" s="29"/>
      <c r="AB1620" s="43">
        <f>T1620</f>
        <v>0</v>
      </c>
      <c r="AC1620" s="29"/>
      <c r="AD1620" s="29"/>
    </row>
    <row r="1621" spans="1:30" s="555" customFormat="1" ht="54.75" hidden="1" customHeight="1">
      <c r="A1621" s="492"/>
      <c r="B1621" s="643"/>
      <c r="C1621" s="515"/>
      <c r="D1621" s="514"/>
      <c r="E1621" s="670" t="s">
        <v>377</v>
      </c>
      <c r="F1621" s="670"/>
      <c r="G1621" s="670"/>
      <c r="H1621" s="670"/>
      <c r="I1621" s="670"/>
      <c r="J1621" s="670"/>
      <c r="K1621" s="670"/>
      <c r="L1621" s="498">
        <f>239.83072-K1615-L1618-L1619-L1623</f>
        <v>0</v>
      </c>
      <c r="M1621" s="459">
        <f>L1621</f>
        <v>0</v>
      </c>
      <c r="N1621" s="655"/>
      <c r="O1621" s="656"/>
      <c r="P1621" s="657"/>
      <c r="Q1621" s="671"/>
      <c r="R1621" s="672"/>
      <c r="S1621" s="673"/>
      <c r="T1621" s="553">
        <f>H1615*M1621*N1615*O1615*P1615</f>
        <v>0</v>
      </c>
      <c r="U1621" s="458">
        <f>T1621</f>
        <v>0</v>
      </c>
      <c r="V1621" s="42"/>
      <c r="W1621" s="41"/>
      <c r="X1621" s="41"/>
      <c r="Y1621" s="41"/>
      <c r="Z1621" s="44"/>
      <c r="AA1621" s="29"/>
      <c r="AB1621" s="29"/>
      <c r="AC1621" s="44">
        <f>T1621</f>
        <v>0</v>
      </c>
      <c r="AD1621" s="29"/>
    </row>
    <row r="1622" spans="1:30" s="555" customFormat="1" ht="45" hidden="1" customHeight="1">
      <c r="A1622" s="492"/>
      <c r="B1622" s="643"/>
      <c r="C1622" s="515"/>
      <c r="D1622" s="514"/>
      <c r="E1622" s="674"/>
      <c r="F1622" s="675"/>
      <c r="G1622" s="675"/>
      <c r="H1622" s="675"/>
      <c r="I1622" s="675"/>
      <c r="J1622" s="675"/>
      <c r="K1622" s="675"/>
      <c r="L1622" s="675"/>
      <c r="M1622" s="676"/>
      <c r="N1622" s="655"/>
      <c r="O1622" s="656"/>
      <c r="P1622" s="657"/>
      <c r="Q1622" s="677"/>
      <c r="R1622" s="678"/>
      <c r="S1622" s="678"/>
      <c r="T1622" s="678"/>
      <c r="U1622" s="679"/>
      <c r="V1622" s="45"/>
      <c r="W1622" s="41"/>
      <c r="X1622" s="41"/>
      <c r="Y1622" s="41"/>
      <c r="Z1622" s="29"/>
      <c r="AA1622" s="44"/>
      <c r="AB1622" s="29"/>
      <c r="AC1622" s="29"/>
      <c r="AD1622" s="29"/>
    </row>
    <row r="1623" spans="1:30" s="555" customFormat="1" ht="45" hidden="1" customHeight="1" thickBot="1">
      <c r="A1623" s="492"/>
      <c r="B1623" s="644"/>
      <c r="C1623" s="516"/>
      <c r="D1623" s="517"/>
      <c r="E1623" s="680" t="s">
        <v>369</v>
      </c>
      <c r="F1623" s="680" t="s">
        <v>306</v>
      </c>
      <c r="G1623" s="680"/>
      <c r="H1623" s="680"/>
      <c r="I1623" s="680"/>
      <c r="J1623" s="680"/>
      <c r="K1623" s="680"/>
      <c r="L1623" s="499">
        <f>ROUND((I1615+J1615+K1615+L1618)*3.93%,2)</f>
        <v>63.03</v>
      </c>
      <c r="M1623" s="46">
        <f>L1623</f>
        <v>63.03</v>
      </c>
      <c r="N1623" s="658"/>
      <c r="O1623" s="659"/>
      <c r="P1623" s="660"/>
      <c r="Q1623" s="681"/>
      <c r="R1623" s="682"/>
      <c r="S1623" s="683"/>
      <c r="T1623" s="500">
        <f>H1615*M1623*N1615*O1615*P1615</f>
        <v>0</v>
      </c>
      <c r="U1623" s="47">
        <f>T1623</f>
        <v>0</v>
      </c>
      <c r="V1623" s="48"/>
      <c r="W1623" s="41"/>
      <c r="X1623" s="41"/>
      <c r="Y1623" s="41"/>
      <c r="Z1623" s="29"/>
      <c r="AA1623" s="29"/>
      <c r="AB1623" s="44"/>
      <c r="AC1623" s="29"/>
      <c r="AD1623" s="44">
        <f>T1623</f>
        <v>0</v>
      </c>
    </row>
    <row r="1624" spans="1:30" s="491" customFormat="1" ht="150" hidden="1" customHeight="1" thickBot="1">
      <c r="A1624" s="492"/>
      <c r="B1624" s="642">
        <v>2</v>
      </c>
      <c r="C1624" s="511">
        <v>10</v>
      </c>
      <c r="D1624" s="512"/>
      <c r="E1624" s="493" t="s">
        <v>770</v>
      </c>
      <c r="F1624" s="490" t="s">
        <v>769</v>
      </c>
      <c r="G1624" s="645" t="s">
        <v>388</v>
      </c>
      <c r="H1624" s="688">
        <v>0</v>
      </c>
      <c r="I1624" s="494">
        <v>20835.099999999999</v>
      </c>
      <c r="J1624" s="494">
        <v>2060.3000000000002</v>
      </c>
      <c r="K1624" s="494">
        <v>233.36</v>
      </c>
      <c r="L1624" s="494">
        <f>SUM(L1626:L1632)</f>
        <v>2320.0155199999999</v>
      </c>
      <c r="M1624" s="33">
        <f>SUM(I1624:L1624)</f>
        <v>25448.775519999999</v>
      </c>
      <c r="N1624" s="501">
        <v>1</v>
      </c>
      <c r="O1624" s="502">
        <v>1</v>
      </c>
      <c r="P1624" s="37">
        <v>1</v>
      </c>
      <c r="Q1624" s="34">
        <f>H1624*I1624*N1624*O1624*P1624</f>
        <v>0</v>
      </c>
      <c r="R1624" s="35">
        <f>H1624*J1624*N1624*O1624*P1624</f>
        <v>0</v>
      </c>
      <c r="S1624" s="36">
        <f>H1624*K1624*N1624*O1624*P1624</f>
        <v>0</v>
      </c>
      <c r="T1624" s="36">
        <f>H1624*L1624*N1624*O1624*P1624</f>
        <v>0</v>
      </c>
      <c r="U1624" s="37">
        <f>SUM(Q1624:T1624)</f>
        <v>0</v>
      </c>
      <c r="V1624" s="38">
        <f>(Q1624+R1624+S1624+T1628+T1629+T1630+T1632)*'Прогнозная стоимость РСС ИП '!$M$11+T1627*'Прогнозная стоимость РСС ИП '!$M$10</f>
        <v>0</v>
      </c>
      <c r="W1624" s="39">
        <f>T1624</f>
        <v>0</v>
      </c>
      <c r="X1624" s="39">
        <f>U1624</f>
        <v>0</v>
      </c>
      <c r="Y1624" s="39">
        <f>V1624</f>
        <v>0</v>
      </c>
      <c r="Z1624" s="29"/>
      <c r="AA1624" s="29"/>
      <c r="AB1624" s="29"/>
      <c r="AC1624" s="29"/>
      <c r="AD1624" s="29"/>
    </row>
    <row r="1625" spans="1:30" s="491" customFormat="1" ht="41.25" hidden="1" customHeight="1">
      <c r="A1625" s="492"/>
      <c r="B1625" s="643"/>
      <c r="C1625" s="513"/>
      <c r="D1625" s="514"/>
      <c r="E1625" s="495"/>
      <c r="F1625" s="496"/>
      <c r="G1625" s="646"/>
      <c r="H1625" s="688"/>
      <c r="I1625" s="649"/>
      <c r="J1625" s="650"/>
      <c r="K1625" s="650"/>
      <c r="L1625" s="650"/>
      <c r="M1625" s="651"/>
      <c r="N1625" s="652"/>
      <c r="O1625" s="653"/>
      <c r="P1625" s="654"/>
      <c r="Q1625" s="661"/>
      <c r="R1625" s="662"/>
      <c r="S1625" s="662"/>
      <c r="T1625" s="662"/>
      <c r="U1625" s="663"/>
      <c r="V1625" s="40"/>
      <c r="W1625" s="41"/>
      <c r="X1625" s="41"/>
      <c r="Y1625" s="41"/>
      <c r="Z1625" s="29"/>
      <c r="AA1625" s="29"/>
      <c r="AB1625" s="29"/>
      <c r="AC1625" s="29"/>
      <c r="AD1625" s="29"/>
    </row>
    <row r="1626" spans="1:30" s="491" customFormat="1" ht="41.25" hidden="1" customHeight="1">
      <c r="A1626" s="492"/>
      <c r="B1626" s="643"/>
      <c r="C1626" s="513"/>
      <c r="D1626" s="514"/>
      <c r="E1626" s="664" t="s">
        <v>29</v>
      </c>
      <c r="F1626" s="665"/>
      <c r="G1626" s="665"/>
      <c r="H1626" s="665"/>
      <c r="I1626" s="665"/>
      <c r="J1626" s="665"/>
      <c r="K1626" s="665"/>
      <c r="L1626" s="665"/>
      <c r="M1626" s="666"/>
      <c r="N1626" s="655"/>
      <c r="O1626" s="656"/>
      <c r="P1626" s="657"/>
      <c r="Q1626" s="667"/>
      <c r="R1626" s="689"/>
      <c r="S1626" s="689"/>
      <c r="T1626" s="689"/>
      <c r="U1626" s="690"/>
      <c r="V1626" s="42"/>
      <c r="W1626" s="41"/>
      <c r="X1626" s="41"/>
      <c r="Y1626" s="41"/>
      <c r="Z1626" s="29"/>
      <c r="AA1626" s="29"/>
      <c r="AB1626" s="29"/>
      <c r="AC1626" s="29"/>
      <c r="AD1626" s="29"/>
    </row>
    <row r="1627" spans="1:30" s="491" customFormat="1" ht="41.25" hidden="1" customHeight="1">
      <c r="A1627" s="492"/>
      <c r="B1627" s="643"/>
      <c r="C1627" s="513">
        <v>1010</v>
      </c>
      <c r="D1627" s="514"/>
      <c r="E1627" s="670" t="s">
        <v>30</v>
      </c>
      <c r="F1627" s="670"/>
      <c r="G1627" s="670"/>
      <c r="H1627" s="670"/>
      <c r="I1627" s="670"/>
      <c r="J1627" s="670"/>
      <c r="K1627" s="670"/>
      <c r="L1627" s="498">
        <v>168.26551999999998</v>
      </c>
      <c r="M1627" s="459">
        <f>L1627</f>
        <v>168.26551999999998</v>
      </c>
      <c r="N1627" s="655"/>
      <c r="O1627" s="656"/>
      <c r="P1627" s="657"/>
      <c r="Q1627" s="671"/>
      <c r="R1627" s="672"/>
      <c r="S1627" s="673"/>
      <c r="T1627" s="497">
        <f>H1624*M1627*N1624*O1624*P1624</f>
        <v>0</v>
      </c>
      <c r="U1627" s="458">
        <f>T1627</f>
        <v>0</v>
      </c>
      <c r="V1627" s="42"/>
      <c r="W1627" s="39"/>
      <c r="X1627" s="41"/>
      <c r="Y1627" s="41"/>
      <c r="Z1627" s="43">
        <f>T1627</f>
        <v>0</v>
      </c>
      <c r="AA1627" s="29"/>
      <c r="AB1627" s="29"/>
      <c r="AC1627" s="29"/>
      <c r="AD1627" s="29"/>
    </row>
    <row r="1628" spans="1:30" s="491" customFormat="1" ht="41.25" hidden="1" customHeight="1">
      <c r="A1628" s="492"/>
      <c r="B1628" s="643"/>
      <c r="C1628" s="513"/>
      <c r="D1628" s="514"/>
      <c r="E1628" s="670" t="s">
        <v>31</v>
      </c>
      <c r="F1628" s="670"/>
      <c r="G1628" s="670"/>
      <c r="H1628" s="670"/>
      <c r="I1628" s="670"/>
      <c r="J1628" s="670"/>
      <c r="K1628" s="670"/>
      <c r="L1628" s="498">
        <f>ROUND((I1624+J1624+K1624)*2.14%,2)</f>
        <v>494.96</v>
      </c>
      <c r="M1628" s="459">
        <f>L1628</f>
        <v>494.96</v>
      </c>
      <c r="N1628" s="655"/>
      <c r="O1628" s="656"/>
      <c r="P1628" s="657"/>
      <c r="Q1628" s="671"/>
      <c r="R1628" s="672"/>
      <c r="S1628" s="673"/>
      <c r="T1628" s="497">
        <f>H1624*M1628*N1624*O1624*P1624</f>
        <v>0</v>
      </c>
      <c r="U1628" s="458">
        <f>T1628</f>
        <v>0</v>
      </c>
      <c r="V1628" s="42"/>
      <c r="W1628" s="41"/>
      <c r="X1628" s="39"/>
      <c r="Y1628" s="41"/>
      <c r="Z1628" s="29"/>
      <c r="AA1628" s="43">
        <f>T1628</f>
        <v>0</v>
      </c>
      <c r="AB1628" s="29"/>
      <c r="AC1628" s="29"/>
      <c r="AD1628" s="29"/>
    </row>
    <row r="1629" spans="1:30" s="491" customFormat="1" ht="41.25" hidden="1" customHeight="1">
      <c r="A1629" s="492"/>
      <c r="B1629" s="643"/>
      <c r="C1629" s="515"/>
      <c r="D1629" s="514"/>
      <c r="E1629" s="670" t="s">
        <v>376</v>
      </c>
      <c r="F1629" s="670"/>
      <c r="G1629" s="670"/>
      <c r="H1629" s="670"/>
      <c r="I1629" s="670"/>
      <c r="J1629" s="670"/>
      <c r="K1629" s="670"/>
      <c r="L1629" s="498">
        <f>ROUND((I1624+J1624+K1624+L1627+L1628+L1632)*3%,2)-0.01</f>
        <v>741.22</v>
      </c>
      <c r="M1629" s="459">
        <f>L1629</f>
        <v>741.22</v>
      </c>
      <c r="N1629" s="655"/>
      <c r="O1629" s="656"/>
      <c r="P1629" s="657"/>
      <c r="Q1629" s="671"/>
      <c r="R1629" s="672"/>
      <c r="S1629" s="673"/>
      <c r="T1629" s="497">
        <f>H1624*M1629*N1624*O1624*P1624</f>
        <v>0</v>
      </c>
      <c r="U1629" s="458">
        <f>T1629</f>
        <v>0</v>
      </c>
      <c r="V1629" s="42"/>
      <c r="W1629" s="41"/>
      <c r="X1629" s="41"/>
      <c r="Y1629" s="39"/>
      <c r="Z1629" s="29"/>
      <c r="AA1629" s="29"/>
      <c r="AB1629" s="43">
        <f>T1629</f>
        <v>0</v>
      </c>
      <c r="AC1629" s="29"/>
      <c r="AD1629" s="29"/>
    </row>
    <row r="1630" spans="1:30" s="491" customFormat="1" ht="54.75" hidden="1" customHeight="1">
      <c r="A1630" s="492"/>
      <c r="B1630" s="643"/>
      <c r="C1630" s="515"/>
      <c r="D1630" s="514"/>
      <c r="E1630" s="670" t="s">
        <v>377</v>
      </c>
      <c r="F1630" s="670"/>
      <c r="G1630" s="670"/>
      <c r="H1630" s="670"/>
      <c r="I1630" s="670"/>
      <c r="J1630" s="670"/>
      <c r="K1630" s="670"/>
      <c r="L1630" s="498">
        <f>1812.15552-K1624-L1627-L1628-L1632</f>
        <v>0</v>
      </c>
      <c r="M1630" s="459">
        <f>L1630</f>
        <v>0</v>
      </c>
      <c r="N1630" s="655"/>
      <c r="O1630" s="656"/>
      <c r="P1630" s="657"/>
      <c r="Q1630" s="671"/>
      <c r="R1630" s="672"/>
      <c r="S1630" s="673"/>
      <c r="T1630" s="497">
        <f>H1624*M1630*N1624*O1624*P1624</f>
        <v>0</v>
      </c>
      <c r="U1630" s="458">
        <f>T1630</f>
        <v>0</v>
      </c>
      <c r="V1630" s="42"/>
      <c r="W1630" s="41"/>
      <c r="X1630" s="41"/>
      <c r="Y1630" s="41"/>
      <c r="Z1630" s="44"/>
      <c r="AA1630" s="29"/>
      <c r="AB1630" s="29"/>
      <c r="AC1630" s="44">
        <f>T1630</f>
        <v>0</v>
      </c>
      <c r="AD1630" s="29"/>
    </row>
    <row r="1631" spans="1:30" s="491" customFormat="1" ht="45" hidden="1" customHeight="1">
      <c r="A1631" s="492"/>
      <c r="B1631" s="643"/>
      <c r="C1631" s="515"/>
      <c r="D1631" s="514"/>
      <c r="E1631" s="674"/>
      <c r="F1631" s="675"/>
      <c r="G1631" s="675"/>
      <c r="H1631" s="675"/>
      <c r="I1631" s="675"/>
      <c r="J1631" s="675"/>
      <c r="K1631" s="675"/>
      <c r="L1631" s="675"/>
      <c r="M1631" s="676"/>
      <c r="N1631" s="655"/>
      <c r="O1631" s="656"/>
      <c r="P1631" s="657"/>
      <c r="Q1631" s="677"/>
      <c r="R1631" s="678"/>
      <c r="S1631" s="678"/>
      <c r="T1631" s="678"/>
      <c r="U1631" s="679"/>
      <c r="V1631" s="45"/>
      <c r="W1631" s="41"/>
      <c r="X1631" s="41"/>
      <c r="Y1631" s="41"/>
      <c r="Z1631" s="29"/>
      <c r="AA1631" s="44"/>
      <c r="AB1631" s="29"/>
      <c r="AC1631" s="29"/>
      <c r="AD1631" s="29"/>
    </row>
    <row r="1632" spans="1:30" s="491" customFormat="1" ht="45" hidden="1" customHeight="1" thickBot="1">
      <c r="A1632" s="492"/>
      <c r="B1632" s="644"/>
      <c r="C1632" s="516"/>
      <c r="D1632" s="517"/>
      <c r="E1632" s="680" t="s">
        <v>369</v>
      </c>
      <c r="F1632" s="680" t="s">
        <v>306</v>
      </c>
      <c r="G1632" s="680"/>
      <c r="H1632" s="680"/>
      <c r="I1632" s="680"/>
      <c r="J1632" s="680"/>
      <c r="K1632" s="680"/>
      <c r="L1632" s="499">
        <f>ROUND((I1624+J1624+K1624+L1627)*3.93%,2)</f>
        <v>915.57</v>
      </c>
      <c r="M1632" s="46">
        <f>L1632</f>
        <v>915.57</v>
      </c>
      <c r="N1632" s="658"/>
      <c r="O1632" s="659"/>
      <c r="P1632" s="660"/>
      <c r="Q1632" s="681"/>
      <c r="R1632" s="682"/>
      <c r="S1632" s="683"/>
      <c r="T1632" s="500">
        <f>H1624*M1632*N1624*O1624*P1624</f>
        <v>0</v>
      </c>
      <c r="U1632" s="47">
        <f>T1632</f>
        <v>0</v>
      </c>
      <c r="V1632" s="48"/>
      <c r="W1632" s="41"/>
      <c r="X1632" s="41"/>
      <c r="Y1632" s="41"/>
      <c r="Z1632" s="29"/>
      <c r="AA1632" s="29"/>
      <c r="AB1632" s="44"/>
      <c r="AC1632" s="29"/>
      <c r="AD1632" s="44">
        <f>T1632</f>
        <v>0</v>
      </c>
    </row>
    <row r="1633" spans="1:30" s="505" customFormat="1" ht="150" hidden="1" customHeight="1" thickBot="1">
      <c r="A1633" s="492"/>
      <c r="B1633" s="642">
        <v>2</v>
      </c>
      <c r="C1633" s="511">
        <v>10</v>
      </c>
      <c r="D1633" s="512"/>
      <c r="E1633" s="493" t="s">
        <v>648</v>
      </c>
      <c r="F1633" s="487" t="s">
        <v>649</v>
      </c>
      <c r="G1633" s="645" t="s">
        <v>388</v>
      </c>
      <c r="H1633" s="688">
        <v>0</v>
      </c>
      <c r="I1633" s="494">
        <v>0</v>
      </c>
      <c r="J1633" s="494">
        <v>5.53</v>
      </c>
      <c r="K1633" s="494">
        <v>0</v>
      </c>
      <c r="L1633" s="494">
        <f>SUM(L1635:L1641)</f>
        <v>0.53</v>
      </c>
      <c r="M1633" s="33">
        <f>SUM(I1633:L1633)</f>
        <v>6.0600000000000005</v>
      </c>
      <c r="N1633" s="501">
        <v>1</v>
      </c>
      <c r="O1633" s="502">
        <v>1</v>
      </c>
      <c r="P1633" s="37">
        <v>1</v>
      </c>
      <c r="Q1633" s="34">
        <f>H1633*I1633*N1633*O1633*P1633</f>
        <v>0</v>
      </c>
      <c r="R1633" s="35">
        <f>H1633*J1633*N1633*O1633*P1633</f>
        <v>0</v>
      </c>
      <c r="S1633" s="36">
        <f>H1633*K1633*N1633*O1633*P1633</f>
        <v>0</v>
      </c>
      <c r="T1633" s="36">
        <f>H1633*L1633*N1633*O1633*P1633</f>
        <v>0</v>
      </c>
      <c r="U1633" s="37">
        <f>SUM(Q1633:T1633)</f>
        <v>0</v>
      </c>
      <c r="V1633" s="38">
        <f>(Q1633+R1633+S1633+T1637+T1638+T1639+T1641)*'Прогнозная стоимость РСС ИП '!$M$11+T1636*'Прогнозная стоимость РСС ИП '!$M$10</f>
        <v>0</v>
      </c>
      <c r="W1633" s="503">
        <f>T1633</f>
        <v>0</v>
      </c>
      <c r="X1633" s="503">
        <f>U1633</f>
        <v>0</v>
      </c>
      <c r="Y1633" s="503">
        <f>V1633</f>
        <v>0</v>
      </c>
      <c r="Z1633" s="504"/>
      <c r="AA1633" s="504"/>
      <c r="AB1633" s="504"/>
      <c r="AC1633" s="504"/>
      <c r="AD1633" s="504"/>
    </row>
    <row r="1634" spans="1:30" s="505" customFormat="1" ht="41.25" hidden="1" customHeight="1">
      <c r="A1634" s="492"/>
      <c r="B1634" s="643"/>
      <c r="C1634" s="513"/>
      <c r="D1634" s="514"/>
      <c r="E1634" s="495"/>
      <c r="F1634" s="496"/>
      <c r="G1634" s="646"/>
      <c r="H1634" s="688"/>
      <c r="I1634" s="649"/>
      <c r="J1634" s="650"/>
      <c r="K1634" s="650"/>
      <c r="L1634" s="650"/>
      <c r="M1634" s="651"/>
      <c r="N1634" s="652"/>
      <c r="O1634" s="653"/>
      <c r="P1634" s="654"/>
      <c r="Q1634" s="661"/>
      <c r="R1634" s="662"/>
      <c r="S1634" s="662"/>
      <c r="T1634" s="662"/>
      <c r="U1634" s="663"/>
      <c r="V1634" s="40"/>
      <c r="W1634" s="504"/>
      <c r="X1634" s="504"/>
      <c r="Y1634" s="504"/>
      <c r="Z1634" s="504"/>
      <c r="AA1634" s="504"/>
      <c r="AB1634" s="504"/>
      <c r="AC1634" s="504"/>
      <c r="AD1634" s="504"/>
    </row>
    <row r="1635" spans="1:30" s="505" customFormat="1" ht="41.25" hidden="1" customHeight="1">
      <c r="A1635" s="492"/>
      <c r="B1635" s="643"/>
      <c r="C1635" s="513"/>
      <c r="D1635" s="514"/>
      <c r="E1635" s="664" t="s">
        <v>29</v>
      </c>
      <c r="F1635" s="665"/>
      <c r="G1635" s="665"/>
      <c r="H1635" s="665"/>
      <c r="I1635" s="665"/>
      <c r="J1635" s="665"/>
      <c r="K1635" s="665"/>
      <c r="L1635" s="665"/>
      <c r="M1635" s="666"/>
      <c r="N1635" s="655"/>
      <c r="O1635" s="656"/>
      <c r="P1635" s="657"/>
      <c r="Q1635" s="667"/>
      <c r="R1635" s="668"/>
      <c r="S1635" s="668"/>
      <c r="T1635" s="668"/>
      <c r="U1635" s="669"/>
      <c r="V1635" s="42"/>
      <c r="W1635" s="504"/>
      <c r="X1635" s="504"/>
      <c r="Y1635" s="504"/>
      <c r="Z1635" s="504"/>
      <c r="AA1635" s="504"/>
      <c r="AB1635" s="504"/>
      <c r="AC1635" s="504"/>
      <c r="AD1635" s="504"/>
    </row>
    <row r="1636" spans="1:30" s="505" customFormat="1" ht="41.25" hidden="1" customHeight="1">
      <c r="A1636" s="492"/>
      <c r="B1636" s="643"/>
      <c r="C1636" s="513">
        <v>1010</v>
      </c>
      <c r="D1636" s="514"/>
      <c r="E1636" s="670" t="s">
        <v>30</v>
      </c>
      <c r="F1636" s="670"/>
      <c r="G1636" s="670"/>
      <c r="H1636" s="670"/>
      <c r="I1636" s="670"/>
      <c r="J1636" s="670"/>
      <c r="K1636" s="670"/>
      <c r="L1636" s="498">
        <v>0.01</v>
      </c>
      <c r="M1636" s="459">
        <f>L1636</f>
        <v>0.01</v>
      </c>
      <c r="N1636" s="655"/>
      <c r="O1636" s="656"/>
      <c r="P1636" s="657"/>
      <c r="Q1636" s="671"/>
      <c r="R1636" s="672"/>
      <c r="S1636" s="673"/>
      <c r="T1636" s="457">
        <f>H1633*M1636*N1633*O1633*P1633</f>
        <v>0</v>
      </c>
      <c r="U1636" s="458">
        <f>T1636</f>
        <v>0</v>
      </c>
      <c r="V1636" s="42"/>
      <c r="W1636" s="503"/>
      <c r="X1636" s="504"/>
      <c r="Y1636" s="504"/>
      <c r="Z1636" s="503">
        <f>T1636</f>
        <v>0</v>
      </c>
      <c r="AA1636" s="504"/>
      <c r="AB1636" s="504"/>
      <c r="AC1636" s="504"/>
      <c r="AD1636" s="504"/>
    </row>
    <row r="1637" spans="1:30" s="505" customFormat="1" ht="41.25" hidden="1" customHeight="1">
      <c r="A1637" s="492"/>
      <c r="B1637" s="643"/>
      <c r="C1637" s="513"/>
      <c r="D1637" s="514"/>
      <c r="E1637" s="670" t="s">
        <v>31</v>
      </c>
      <c r="F1637" s="670"/>
      <c r="G1637" s="670"/>
      <c r="H1637" s="670"/>
      <c r="I1637" s="670"/>
      <c r="J1637" s="670"/>
      <c r="K1637" s="670"/>
      <c r="L1637" s="498">
        <f>ROUND((I1633+J1633+K1633)*2.14%,2)</f>
        <v>0.12</v>
      </c>
      <c r="M1637" s="459">
        <f>L1637</f>
        <v>0.12</v>
      </c>
      <c r="N1637" s="655"/>
      <c r="O1637" s="656"/>
      <c r="P1637" s="657"/>
      <c r="Q1637" s="671"/>
      <c r="R1637" s="672"/>
      <c r="S1637" s="673"/>
      <c r="T1637" s="457">
        <f>H1633*M1637*N1633*O1633*P1633</f>
        <v>0</v>
      </c>
      <c r="U1637" s="458">
        <f>T1637</f>
        <v>0</v>
      </c>
      <c r="V1637" s="42"/>
      <c r="W1637" s="504"/>
      <c r="X1637" s="503"/>
      <c r="Y1637" s="504"/>
      <c r="Z1637" s="504"/>
      <c r="AA1637" s="503">
        <f>T1637</f>
        <v>0</v>
      </c>
      <c r="AB1637" s="504"/>
      <c r="AC1637" s="504"/>
      <c r="AD1637" s="504"/>
    </row>
    <row r="1638" spans="1:30" s="505" customFormat="1" ht="41.25" hidden="1" customHeight="1">
      <c r="A1638" s="492"/>
      <c r="B1638" s="643"/>
      <c r="C1638" s="515"/>
      <c r="D1638" s="514"/>
      <c r="E1638" s="670" t="s">
        <v>376</v>
      </c>
      <c r="F1638" s="670"/>
      <c r="G1638" s="670"/>
      <c r="H1638" s="670"/>
      <c r="I1638" s="670"/>
      <c r="J1638" s="670"/>
      <c r="K1638" s="670"/>
      <c r="L1638" s="498">
        <f>ROUND((I1633+J1633+K1633+L1636+L1637+L1641)*3%,2)</f>
        <v>0.18</v>
      </c>
      <c r="M1638" s="459">
        <f>L1638</f>
        <v>0.18</v>
      </c>
      <c r="N1638" s="655"/>
      <c r="O1638" s="656"/>
      <c r="P1638" s="657"/>
      <c r="Q1638" s="671"/>
      <c r="R1638" s="672"/>
      <c r="S1638" s="673"/>
      <c r="T1638" s="457">
        <f>H1633*M1638*N1633*O1633*P1633</f>
        <v>0</v>
      </c>
      <c r="U1638" s="458">
        <f>T1638</f>
        <v>0</v>
      </c>
      <c r="V1638" s="42"/>
      <c r="W1638" s="504"/>
      <c r="X1638" s="504"/>
      <c r="Y1638" s="503"/>
      <c r="Z1638" s="504"/>
      <c r="AA1638" s="504"/>
      <c r="AB1638" s="503">
        <f>T1638</f>
        <v>0</v>
      </c>
      <c r="AC1638" s="504"/>
      <c r="AD1638" s="504"/>
    </row>
    <row r="1639" spans="1:30" s="505" customFormat="1" ht="54.75" hidden="1" customHeight="1">
      <c r="A1639" s="492"/>
      <c r="B1639" s="643"/>
      <c r="C1639" s="515"/>
      <c r="D1639" s="514"/>
      <c r="E1639" s="670" t="s">
        <v>377</v>
      </c>
      <c r="F1639" s="670"/>
      <c r="G1639" s="670"/>
      <c r="H1639" s="670"/>
      <c r="I1639" s="670"/>
      <c r="J1639" s="670"/>
      <c r="K1639" s="670"/>
      <c r="L1639" s="498">
        <f>0.35-K1633-L1636-L1637-L1641</f>
        <v>0</v>
      </c>
      <c r="M1639" s="459">
        <f>L1639</f>
        <v>0</v>
      </c>
      <c r="N1639" s="655"/>
      <c r="O1639" s="656"/>
      <c r="P1639" s="657"/>
      <c r="Q1639" s="671"/>
      <c r="R1639" s="672"/>
      <c r="S1639" s="673"/>
      <c r="T1639" s="457">
        <f>H1633*M1639*N1633*O1633*P1633</f>
        <v>0</v>
      </c>
      <c r="U1639" s="458">
        <f>T1639</f>
        <v>0</v>
      </c>
      <c r="V1639" s="42"/>
      <c r="W1639" s="504"/>
      <c r="X1639" s="504"/>
      <c r="Y1639" s="504"/>
      <c r="Z1639" s="506"/>
      <c r="AA1639" s="504"/>
      <c r="AB1639" s="504"/>
      <c r="AC1639" s="506">
        <f>T1639</f>
        <v>0</v>
      </c>
      <c r="AD1639" s="504"/>
    </row>
    <row r="1640" spans="1:30" s="505" customFormat="1" ht="45" hidden="1" customHeight="1">
      <c r="A1640" s="492"/>
      <c r="B1640" s="643"/>
      <c r="C1640" s="515"/>
      <c r="D1640" s="514"/>
      <c r="E1640" s="674"/>
      <c r="F1640" s="675"/>
      <c r="G1640" s="675"/>
      <c r="H1640" s="675"/>
      <c r="I1640" s="675"/>
      <c r="J1640" s="675"/>
      <c r="K1640" s="675"/>
      <c r="L1640" s="675"/>
      <c r="M1640" s="676"/>
      <c r="N1640" s="655"/>
      <c r="O1640" s="656"/>
      <c r="P1640" s="657"/>
      <c r="Q1640" s="677"/>
      <c r="R1640" s="678"/>
      <c r="S1640" s="678"/>
      <c r="T1640" s="678"/>
      <c r="U1640" s="679"/>
      <c r="V1640" s="45"/>
      <c r="W1640" s="504"/>
      <c r="X1640" s="504"/>
      <c r="Y1640" s="504"/>
      <c r="Z1640" s="504"/>
      <c r="AA1640" s="506"/>
      <c r="AB1640" s="504"/>
      <c r="AC1640" s="504"/>
      <c r="AD1640" s="504"/>
    </row>
    <row r="1641" spans="1:30" s="505" customFormat="1" ht="45" hidden="1" customHeight="1" thickBot="1">
      <c r="A1641" s="492"/>
      <c r="B1641" s="644"/>
      <c r="C1641" s="516"/>
      <c r="D1641" s="517"/>
      <c r="E1641" s="680" t="s">
        <v>369</v>
      </c>
      <c r="F1641" s="680" t="s">
        <v>306</v>
      </c>
      <c r="G1641" s="680"/>
      <c r="H1641" s="680"/>
      <c r="I1641" s="680"/>
      <c r="J1641" s="680"/>
      <c r="K1641" s="680"/>
      <c r="L1641" s="499">
        <f>ROUND((I1633+J1633+K1633+L1636)*3.93%,2)</f>
        <v>0.22</v>
      </c>
      <c r="M1641" s="46">
        <f>L1641</f>
        <v>0.22</v>
      </c>
      <c r="N1641" s="658"/>
      <c r="O1641" s="659"/>
      <c r="P1641" s="660"/>
      <c r="Q1641" s="681"/>
      <c r="R1641" s="682"/>
      <c r="S1641" s="683"/>
      <c r="T1641" s="500">
        <f>H1633*M1641*N1633*O1633*P1633</f>
        <v>0</v>
      </c>
      <c r="U1641" s="47">
        <f>T1641</f>
        <v>0</v>
      </c>
      <c r="V1641" s="48"/>
      <c r="W1641" s="504"/>
      <c r="X1641" s="504"/>
      <c r="Y1641" s="504"/>
      <c r="Z1641" s="504"/>
      <c r="AA1641" s="504"/>
      <c r="AB1641" s="506"/>
      <c r="AC1641" s="504"/>
      <c r="AD1641" s="506">
        <f>T1641</f>
        <v>0</v>
      </c>
    </row>
    <row r="1642" spans="1:30" s="505" customFormat="1" ht="150" hidden="1" customHeight="1" thickBot="1">
      <c r="A1642" s="492"/>
      <c r="B1642" s="642">
        <v>2</v>
      </c>
      <c r="C1642" s="511">
        <v>10</v>
      </c>
      <c r="D1642" s="512"/>
      <c r="E1642" s="493" t="s">
        <v>650</v>
      </c>
      <c r="F1642" s="487" t="s">
        <v>651</v>
      </c>
      <c r="G1642" s="645" t="s">
        <v>388</v>
      </c>
      <c r="H1642" s="688">
        <v>0</v>
      </c>
      <c r="I1642" s="494">
        <v>0</v>
      </c>
      <c r="J1642" s="494">
        <v>11.86</v>
      </c>
      <c r="K1642" s="494">
        <v>0</v>
      </c>
      <c r="L1642" s="494">
        <f>SUM(L1644:L1650)</f>
        <v>1.1200000000000001</v>
      </c>
      <c r="M1642" s="33">
        <f>SUM(I1642:L1642)</f>
        <v>12.98</v>
      </c>
      <c r="N1642" s="501">
        <v>1</v>
      </c>
      <c r="O1642" s="502">
        <v>1</v>
      </c>
      <c r="P1642" s="37">
        <v>1</v>
      </c>
      <c r="Q1642" s="34">
        <f>H1642*I1642*N1642*O1642*P1642</f>
        <v>0</v>
      </c>
      <c r="R1642" s="35">
        <f>H1642*J1642*N1642*O1642*P1642</f>
        <v>0</v>
      </c>
      <c r="S1642" s="36">
        <f>H1642*K1642*N1642*O1642*P1642</f>
        <v>0</v>
      </c>
      <c r="T1642" s="36">
        <f>H1642*L1642*N1642*O1642*P1642</f>
        <v>0</v>
      </c>
      <c r="U1642" s="37">
        <f>SUM(Q1642:T1642)</f>
        <v>0</v>
      </c>
      <c r="V1642" s="38">
        <f>(Q1642+R1642+S1642+T1646+T1647+T1648+T1650)*'Прогнозная стоимость РСС ИП '!$M$11+T1645*'Прогнозная стоимость РСС ИП '!$M$10</f>
        <v>0</v>
      </c>
      <c r="W1642" s="503">
        <f>T1642</f>
        <v>0</v>
      </c>
      <c r="X1642" s="503">
        <f>U1642</f>
        <v>0</v>
      </c>
      <c r="Y1642" s="503">
        <f>V1642</f>
        <v>0</v>
      </c>
      <c r="Z1642" s="504"/>
      <c r="AA1642" s="504"/>
      <c r="AB1642" s="504"/>
      <c r="AC1642" s="504"/>
      <c r="AD1642" s="504"/>
    </row>
    <row r="1643" spans="1:30" s="505" customFormat="1" ht="41.25" hidden="1" customHeight="1">
      <c r="A1643" s="492"/>
      <c r="B1643" s="643"/>
      <c r="C1643" s="513"/>
      <c r="D1643" s="514"/>
      <c r="E1643" s="495"/>
      <c r="F1643" s="496"/>
      <c r="G1643" s="646"/>
      <c r="H1643" s="688"/>
      <c r="I1643" s="649"/>
      <c r="J1643" s="650"/>
      <c r="K1643" s="650"/>
      <c r="L1643" s="650"/>
      <c r="M1643" s="651"/>
      <c r="N1643" s="652"/>
      <c r="O1643" s="653"/>
      <c r="P1643" s="654"/>
      <c r="Q1643" s="661"/>
      <c r="R1643" s="662"/>
      <c r="S1643" s="662"/>
      <c r="T1643" s="662"/>
      <c r="U1643" s="663"/>
      <c r="V1643" s="40"/>
      <c r="W1643" s="504"/>
      <c r="X1643" s="504"/>
      <c r="Y1643" s="504"/>
      <c r="Z1643" s="504"/>
      <c r="AA1643" s="504"/>
      <c r="AB1643" s="504"/>
      <c r="AC1643" s="504"/>
      <c r="AD1643" s="504"/>
    </row>
    <row r="1644" spans="1:30" s="505" customFormat="1" ht="41.25" hidden="1" customHeight="1">
      <c r="A1644" s="492"/>
      <c r="B1644" s="643"/>
      <c r="C1644" s="513"/>
      <c r="D1644" s="514"/>
      <c r="E1644" s="664" t="s">
        <v>29</v>
      </c>
      <c r="F1644" s="665"/>
      <c r="G1644" s="665"/>
      <c r="H1644" s="665"/>
      <c r="I1644" s="665"/>
      <c r="J1644" s="665"/>
      <c r="K1644" s="665"/>
      <c r="L1644" s="665"/>
      <c r="M1644" s="666"/>
      <c r="N1644" s="655"/>
      <c r="O1644" s="656"/>
      <c r="P1644" s="657"/>
      <c r="Q1644" s="667"/>
      <c r="R1644" s="668"/>
      <c r="S1644" s="668"/>
      <c r="T1644" s="668"/>
      <c r="U1644" s="669"/>
      <c r="V1644" s="42"/>
      <c r="W1644" s="504"/>
      <c r="X1644" s="504"/>
      <c r="Y1644" s="504"/>
      <c r="Z1644" s="504"/>
      <c r="AA1644" s="504"/>
      <c r="AB1644" s="504"/>
      <c r="AC1644" s="504"/>
      <c r="AD1644" s="504"/>
    </row>
    <row r="1645" spans="1:30" s="505" customFormat="1" ht="41.25" hidden="1" customHeight="1">
      <c r="A1645" s="492"/>
      <c r="B1645" s="643"/>
      <c r="C1645" s="513">
        <v>1010</v>
      </c>
      <c r="D1645" s="514"/>
      <c r="E1645" s="670" t="s">
        <v>30</v>
      </c>
      <c r="F1645" s="670"/>
      <c r="G1645" s="670"/>
      <c r="H1645" s="670"/>
      <c r="I1645" s="670"/>
      <c r="J1645" s="670"/>
      <c r="K1645" s="670"/>
      <c r="L1645" s="498">
        <v>0.02</v>
      </c>
      <c r="M1645" s="459">
        <f>L1645</f>
        <v>0.02</v>
      </c>
      <c r="N1645" s="655"/>
      <c r="O1645" s="656"/>
      <c r="P1645" s="657"/>
      <c r="Q1645" s="671"/>
      <c r="R1645" s="672"/>
      <c r="S1645" s="673"/>
      <c r="T1645" s="457">
        <f>H1642*M1645*N1642*O1642*P1642</f>
        <v>0</v>
      </c>
      <c r="U1645" s="458">
        <f>T1645</f>
        <v>0</v>
      </c>
      <c r="V1645" s="42"/>
      <c r="W1645" s="503"/>
      <c r="X1645" s="504"/>
      <c r="Y1645" s="504"/>
      <c r="Z1645" s="503">
        <f>T1645</f>
        <v>0</v>
      </c>
      <c r="AA1645" s="504"/>
      <c r="AB1645" s="504"/>
      <c r="AC1645" s="504"/>
      <c r="AD1645" s="504"/>
    </row>
    <row r="1646" spans="1:30" s="505" customFormat="1" ht="41.25" hidden="1" customHeight="1">
      <c r="A1646" s="492"/>
      <c r="B1646" s="643"/>
      <c r="C1646" s="513"/>
      <c r="D1646" s="514"/>
      <c r="E1646" s="670" t="s">
        <v>31</v>
      </c>
      <c r="F1646" s="670"/>
      <c r="G1646" s="670"/>
      <c r="H1646" s="670"/>
      <c r="I1646" s="670"/>
      <c r="J1646" s="670"/>
      <c r="K1646" s="670"/>
      <c r="L1646" s="498">
        <f>ROUND((I1642+J1642+K1642)*2.14%,2)</f>
        <v>0.25</v>
      </c>
      <c r="M1646" s="459">
        <f>L1646</f>
        <v>0.25</v>
      </c>
      <c r="N1646" s="655"/>
      <c r="O1646" s="656"/>
      <c r="P1646" s="657"/>
      <c r="Q1646" s="671"/>
      <c r="R1646" s="672"/>
      <c r="S1646" s="673"/>
      <c r="T1646" s="457">
        <f>H1642*M1646*N1642*O1642*P1642</f>
        <v>0</v>
      </c>
      <c r="U1646" s="458">
        <f>T1646</f>
        <v>0</v>
      </c>
      <c r="V1646" s="42"/>
      <c r="W1646" s="504"/>
      <c r="X1646" s="503"/>
      <c r="Y1646" s="504"/>
      <c r="Z1646" s="504"/>
      <c r="AA1646" s="503">
        <f>T1646</f>
        <v>0</v>
      </c>
      <c r="AB1646" s="504"/>
      <c r="AC1646" s="504"/>
      <c r="AD1646" s="504"/>
    </row>
    <row r="1647" spans="1:30" s="505" customFormat="1" ht="41.25" hidden="1" customHeight="1">
      <c r="A1647" s="492"/>
      <c r="B1647" s="643"/>
      <c r="C1647" s="515"/>
      <c r="D1647" s="514"/>
      <c r="E1647" s="670" t="s">
        <v>376</v>
      </c>
      <c r="F1647" s="670"/>
      <c r="G1647" s="670"/>
      <c r="H1647" s="670"/>
      <c r="I1647" s="670"/>
      <c r="J1647" s="670"/>
      <c r="K1647" s="670"/>
      <c r="L1647" s="498">
        <f>ROUND((I1642+J1642+K1642+L1645+L1646+L1650)*3%,2)</f>
        <v>0.38</v>
      </c>
      <c r="M1647" s="459">
        <f>L1647</f>
        <v>0.38</v>
      </c>
      <c r="N1647" s="655"/>
      <c r="O1647" s="656"/>
      <c r="P1647" s="657"/>
      <c r="Q1647" s="671"/>
      <c r="R1647" s="672"/>
      <c r="S1647" s="673"/>
      <c r="T1647" s="457">
        <f>H1642*M1647*N1642*O1642*P1642</f>
        <v>0</v>
      </c>
      <c r="U1647" s="458">
        <f>T1647</f>
        <v>0</v>
      </c>
      <c r="V1647" s="42"/>
      <c r="W1647" s="504"/>
      <c r="X1647" s="504"/>
      <c r="Y1647" s="503"/>
      <c r="Z1647" s="504"/>
      <c r="AA1647" s="504"/>
      <c r="AB1647" s="503">
        <f>T1647</f>
        <v>0</v>
      </c>
      <c r="AC1647" s="504"/>
      <c r="AD1647" s="504"/>
    </row>
    <row r="1648" spans="1:30" s="505" customFormat="1" ht="54.75" hidden="1" customHeight="1">
      <c r="A1648" s="492"/>
      <c r="B1648" s="643"/>
      <c r="C1648" s="515"/>
      <c r="D1648" s="514"/>
      <c r="E1648" s="670" t="s">
        <v>377</v>
      </c>
      <c r="F1648" s="670"/>
      <c r="G1648" s="670"/>
      <c r="H1648" s="670"/>
      <c r="I1648" s="670"/>
      <c r="J1648" s="670"/>
      <c r="K1648" s="670"/>
      <c r="L1648" s="498">
        <f>0.74-K1642-L1645-L1646-L1650</f>
        <v>0</v>
      </c>
      <c r="M1648" s="459">
        <f>L1648</f>
        <v>0</v>
      </c>
      <c r="N1648" s="655"/>
      <c r="O1648" s="656"/>
      <c r="P1648" s="657"/>
      <c r="Q1648" s="671"/>
      <c r="R1648" s="672"/>
      <c r="S1648" s="673"/>
      <c r="T1648" s="457">
        <f>H1642*M1648*N1642*O1642*P1642</f>
        <v>0</v>
      </c>
      <c r="U1648" s="458">
        <f>T1648</f>
        <v>0</v>
      </c>
      <c r="V1648" s="42"/>
      <c r="W1648" s="504"/>
      <c r="X1648" s="504"/>
      <c r="Y1648" s="504"/>
      <c r="Z1648" s="506"/>
      <c r="AA1648" s="504"/>
      <c r="AB1648" s="504"/>
      <c r="AC1648" s="506">
        <f>T1648</f>
        <v>0</v>
      </c>
      <c r="AD1648" s="504"/>
    </row>
    <row r="1649" spans="1:30" s="505" customFormat="1" ht="45" hidden="1" customHeight="1">
      <c r="A1649" s="492"/>
      <c r="B1649" s="643"/>
      <c r="C1649" s="515"/>
      <c r="D1649" s="514"/>
      <c r="E1649" s="674"/>
      <c r="F1649" s="675"/>
      <c r="G1649" s="675"/>
      <c r="H1649" s="675"/>
      <c r="I1649" s="675"/>
      <c r="J1649" s="675"/>
      <c r="K1649" s="675"/>
      <c r="L1649" s="675"/>
      <c r="M1649" s="676"/>
      <c r="N1649" s="655"/>
      <c r="O1649" s="656"/>
      <c r="P1649" s="657"/>
      <c r="Q1649" s="677"/>
      <c r="R1649" s="678"/>
      <c r="S1649" s="678"/>
      <c r="T1649" s="678"/>
      <c r="U1649" s="679"/>
      <c r="V1649" s="45"/>
      <c r="W1649" s="504"/>
      <c r="X1649" s="504"/>
      <c r="Y1649" s="504"/>
      <c r="Z1649" s="504"/>
      <c r="AA1649" s="506"/>
      <c r="AB1649" s="504"/>
      <c r="AC1649" s="504"/>
      <c r="AD1649" s="504"/>
    </row>
    <row r="1650" spans="1:30" s="505" customFormat="1" ht="45" hidden="1" customHeight="1" thickBot="1">
      <c r="A1650" s="492"/>
      <c r="B1650" s="644"/>
      <c r="C1650" s="516"/>
      <c r="D1650" s="517"/>
      <c r="E1650" s="680" t="s">
        <v>369</v>
      </c>
      <c r="F1650" s="680" t="s">
        <v>306</v>
      </c>
      <c r="G1650" s="680"/>
      <c r="H1650" s="680"/>
      <c r="I1650" s="680"/>
      <c r="J1650" s="680"/>
      <c r="K1650" s="680"/>
      <c r="L1650" s="499">
        <f>ROUND((I1642+J1642+K1642+L1645)*3.93%,2)</f>
        <v>0.47</v>
      </c>
      <c r="M1650" s="46">
        <f>L1650</f>
        <v>0.47</v>
      </c>
      <c r="N1650" s="658"/>
      <c r="O1650" s="659"/>
      <c r="P1650" s="660"/>
      <c r="Q1650" s="681"/>
      <c r="R1650" s="682"/>
      <c r="S1650" s="683"/>
      <c r="T1650" s="500">
        <f>H1642*M1650*N1642*O1642*P1642</f>
        <v>0</v>
      </c>
      <c r="U1650" s="47">
        <f>T1650</f>
        <v>0</v>
      </c>
      <c r="V1650" s="48"/>
      <c r="W1650" s="504"/>
      <c r="X1650" s="504"/>
      <c r="Y1650" s="504"/>
      <c r="Z1650" s="504"/>
      <c r="AA1650" s="504"/>
      <c r="AB1650" s="506"/>
      <c r="AC1650" s="504"/>
      <c r="AD1650" s="506">
        <f>T1650</f>
        <v>0</v>
      </c>
    </row>
    <row r="1651" spans="1:30" s="505" customFormat="1" ht="150" hidden="1" customHeight="1" thickBot="1">
      <c r="A1651" s="492"/>
      <c r="B1651" s="642">
        <v>2</v>
      </c>
      <c r="C1651" s="511">
        <v>10</v>
      </c>
      <c r="D1651" s="512"/>
      <c r="E1651" s="493" t="s">
        <v>652</v>
      </c>
      <c r="F1651" s="487" t="s">
        <v>653</v>
      </c>
      <c r="G1651" s="645" t="s">
        <v>388</v>
      </c>
      <c r="H1651" s="688">
        <v>0</v>
      </c>
      <c r="I1651" s="494">
        <v>0</v>
      </c>
      <c r="J1651" s="494">
        <v>16.829999999999998</v>
      </c>
      <c r="K1651" s="494">
        <v>0</v>
      </c>
      <c r="L1651" s="494">
        <f>SUM(L1653:L1659)</f>
        <v>1.59</v>
      </c>
      <c r="M1651" s="33">
        <f>SUM(I1651:L1651)</f>
        <v>18.419999999999998</v>
      </c>
      <c r="N1651" s="501">
        <v>1</v>
      </c>
      <c r="O1651" s="502">
        <v>1</v>
      </c>
      <c r="P1651" s="37">
        <v>1</v>
      </c>
      <c r="Q1651" s="34">
        <f>H1651*I1651*N1651*O1651*P1651</f>
        <v>0</v>
      </c>
      <c r="R1651" s="35">
        <f>H1651*J1651*N1651*O1651*P1651</f>
        <v>0</v>
      </c>
      <c r="S1651" s="36">
        <f>H1651*K1651*N1651*O1651*P1651</f>
        <v>0</v>
      </c>
      <c r="T1651" s="36">
        <f>H1651*L1651*N1651*O1651*P1651</f>
        <v>0</v>
      </c>
      <c r="U1651" s="37">
        <f>SUM(Q1651:T1651)</f>
        <v>0</v>
      </c>
      <c r="V1651" s="38">
        <f>(Q1651+R1651+S1651+T1655+T1656+T1657+T1659)*'Прогнозная стоимость РСС ИП '!$M$11+T1654*'Прогнозная стоимость РСС ИП '!$M$10</f>
        <v>0</v>
      </c>
      <c r="W1651" s="503">
        <f>T1651</f>
        <v>0</v>
      </c>
      <c r="X1651" s="503">
        <f>U1651</f>
        <v>0</v>
      </c>
      <c r="Y1651" s="503">
        <f>V1651</f>
        <v>0</v>
      </c>
      <c r="Z1651" s="504"/>
      <c r="AA1651" s="504"/>
      <c r="AB1651" s="504"/>
      <c r="AC1651" s="504"/>
      <c r="AD1651" s="504"/>
    </row>
    <row r="1652" spans="1:30" s="505" customFormat="1" ht="41.25" hidden="1" customHeight="1">
      <c r="A1652" s="492"/>
      <c r="B1652" s="643"/>
      <c r="C1652" s="513"/>
      <c r="D1652" s="514"/>
      <c r="E1652" s="495"/>
      <c r="F1652" s="496"/>
      <c r="G1652" s="646"/>
      <c r="H1652" s="688"/>
      <c r="I1652" s="649"/>
      <c r="J1652" s="650"/>
      <c r="K1652" s="650"/>
      <c r="L1652" s="650"/>
      <c r="M1652" s="651"/>
      <c r="N1652" s="652"/>
      <c r="O1652" s="653"/>
      <c r="P1652" s="654"/>
      <c r="Q1652" s="661"/>
      <c r="R1652" s="662"/>
      <c r="S1652" s="662"/>
      <c r="T1652" s="662"/>
      <c r="U1652" s="663"/>
      <c r="V1652" s="40"/>
      <c r="W1652" s="504"/>
      <c r="X1652" s="504"/>
      <c r="Y1652" s="504"/>
      <c r="Z1652" s="504"/>
      <c r="AA1652" s="504"/>
      <c r="AB1652" s="504"/>
      <c r="AC1652" s="504"/>
      <c r="AD1652" s="504"/>
    </row>
    <row r="1653" spans="1:30" s="505" customFormat="1" ht="41.25" hidden="1" customHeight="1">
      <c r="A1653" s="492"/>
      <c r="B1653" s="643"/>
      <c r="C1653" s="513"/>
      <c r="D1653" s="514"/>
      <c r="E1653" s="664" t="s">
        <v>29</v>
      </c>
      <c r="F1653" s="665"/>
      <c r="G1653" s="665"/>
      <c r="H1653" s="665"/>
      <c r="I1653" s="665"/>
      <c r="J1653" s="665"/>
      <c r="K1653" s="665"/>
      <c r="L1653" s="665"/>
      <c r="M1653" s="666"/>
      <c r="N1653" s="655"/>
      <c r="O1653" s="656"/>
      <c r="P1653" s="657"/>
      <c r="Q1653" s="667"/>
      <c r="R1653" s="668"/>
      <c r="S1653" s="668"/>
      <c r="T1653" s="668"/>
      <c r="U1653" s="669"/>
      <c r="V1653" s="42"/>
      <c r="W1653" s="504"/>
      <c r="X1653" s="504"/>
      <c r="Y1653" s="504"/>
      <c r="Z1653" s="504"/>
      <c r="AA1653" s="504"/>
      <c r="AB1653" s="504"/>
      <c r="AC1653" s="504"/>
      <c r="AD1653" s="504"/>
    </row>
    <row r="1654" spans="1:30" s="505" customFormat="1" ht="41.25" hidden="1" customHeight="1">
      <c r="A1654" s="492"/>
      <c r="B1654" s="643"/>
      <c r="C1654" s="513">
        <v>1010</v>
      </c>
      <c r="D1654" s="514"/>
      <c r="E1654" s="670" t="s">
        <v>30</v>
      </c>
      <c r="F1654" s="670"/>
      <c r="G1654" s="670"/>
      <c r="H1654" s="670"/>
      <c r="I1654" s="670"/>
      <c r="J1654" s="670"/>
      <c r="K1654" s="670"/>
      <c r="L1654" s="498">
        <v>0.03</v>
      </c>
      <c r="M1654" s="459">
        <f>L1654</f>
        <v>0.03</v>
      </c>
      <c r="N1654" s="655"/>
      <c r="O1654" s="656"/>
      <c r="P1654" s="657"/>
      <c r="Q1654" s="671"/>
      <c r="R1654" s="672"/>
      <c r="S1654" s="673"/>
      <c r="T1654" s="457">
        <f>H1651*M1654*N1651*O1651*P1651</f>
        <v>0</v>
      </c>
      <c r="U1654" s="458">
        <f>T1654</f>
        <v>0</v>
      </c>
      <c r="V1654" s="42"/>
      <c r="W1654" s="503"/>
      <c r="X1654" s="504"/>
      <c r="Y1654" s="504"/>
      <c r="Z1654" s="503">
        <f>T1654</f>
        <v>0</v>
      </c>
      <c r="AA1654" s="504"/>
      <c r="AB1654" s="504"/>
      <c r="AC1654" s="504"/>
      <c r="AD1654" s="504"/>
    </row>
    <row r="1655" spans="1:30" s="505" customFormat="1" ht="41.25" hidden="1" customHeight="1">
      <c r="A1655" s="492"/>
      <c r="B1655" s="643"/>
      <c r="C1655" s="513"/>
      <c r="D1655" s="514"/>
      <c r="E1655" s="670" t="s">
        <v>31</v>
      </c>
      <c r="F1655" s="670"/>
      <c r="G1655" s="670"/>
      <c r="H1655" s="670"/>
      <c r="I1655" s="670"/>
      <c r="J1655" s="670"/>
      <c r="K1655" s="670"/>
      <c r="L1655" s="498">
        <f>ROUND((I1651+J1651+K1651)*2.14%,2)</f>
        <v>0.36</v>
      </c>
      <c r="M1655" s="459">
        <f>L1655</f>
        <v>0.36</v>
      </c>
      <c r="N1655" s="655"/>
      <c r="O1655" s="656"/>
      <c r="P1655" s="657"/>
      <c r="Q1655" s="671"/>
      <c r="R1655" s="672"/>
      <c r="S1655" s="673"/>
      <c r="T1655" s="457">
        <f>H1651*M1655*N1651*O1651*P1651</f>
        <v>0</v>
      </c>
      <c r="U1655" s="458">
        <f>T1655</f>
        <v>0</v>
      </c>
      <c r="V1655" s="42"/>
      <c r="W1655" s="504"/>
      <c r="X1655" s="503"/>
      <c r="Y1655" s="504"/>
      <c r="Z1655" s="504"/>
      <c r="AA1655" s="503">
        <f>T1655</f>
        <v>0</v>
      </c>
      <c r="AB1655" s="504"/>
      <c r="AC1655" s="504"/>
      <c r="AD1655" s="504"/>
    </row>
    <row r="1656" spans="1:30" s="505" customFormat="1" ht="41.25" hidden="1" customHeight="1">
      <c r="A1656" s="492"/>
      <c r="B1656" s="643"/>
      <c r="C1656" s="515"/>
      <c r="D1656" s="514"/>
      <c r="E1656" s="670" t="s">
        <v>376</v>
      </c>
      <c r="F1656" s="670"/>
      <c r="G1656" s="670"/>
      <c r="H1656" s="670"/>
      <c r="I1656" s="670"/>
      <c r="J1656" s="670"/>
      <c r="K1656" s="670"/>
      <c r="L1656" s="498">
        <f>ROUND((I1651+J1651+K1651+L1654+L1655+L1659)*3%,2)</f>
        <v>0.54</v>
      </c>
      <c r="M1656" s="459">
        <f>L1656</f>
        <v>0.54</v>
      </c>
      <c r="N1656" s="655"/>
      <c r="O1656" s="656"/>
      <c r="P1656" s="657"/>
      <c r="Q1656" s="671"/>
      <c r="R1656" s="672"/>
      <c r="S1656" s="673"/>
      <c r="T1656" s="457">
        <f>H1651*M1656*N1651*O1651*P1651</f>
        <v>0</v>
      </c>
      <c r="U1656" s="458">
        <f>T1656</f>
        <v>0</v>
      </c>
      <c r="V1656" s="42"/>
      <c r="W1656" s="504"/>
      <c r="X1656" s="504"/>
      <c r="Y1656" s="503"/>
      <c r="Z1656" s="504"/>
      <c r="AA1656" s="504"/>
      <c r="AB1656" s="503">
        <f>T1656</f>
        <v>0</v>
      </c>
      <c r="AC1656" s="504"/>
      <c r="AD1656" s="504"/>
    </row>
    <row r="1657" spans="1:30" s="505" customFormat="1" ht="54.75" hidden="1" customHeight="1">
      <c r="A1657" s="492"/>
      <c r="B1657" s="643"/>
      <c r="C1657" s="515"/>
      <c r="D1657" s="514"/>
      <c r="E1657" s="670" t="s">
        <v>377</v>
      </c>
      <c r="F1657" s="670"/>
      <c r="G1657" s="670"/>
      <c r="H1657" s="670"/>
      <c r="I1657" s="670"/>
      <c r="J1657" s="670"/>
      <c r="K1657" s="670"/>
      <c r="L1657" s="498">
        <f>1.05-K1651-L1654-L1655-L1659</f>
        <v>0</v>
      </c>
      <c r="M1657" s="459">
        <f>L1657</f>
        <v>0</v>
      </c>
      <c r="N1657" s="655"/>
      <c r="O1657" s="656"/>
      <c r="P1657" s="657"/>
      <c r="Q1657" s="671"/>
      <c r="R1657" s="672"/>
      <c r="S1657" s="673"/>
      <c r="T1657" s="457">
        <f>H1651*M1657*N1651*O1651*P1651</f>
        <v>0</v>
      </c>
      <c r="U1657" s="458">
        <f>T1657</f>
        <v>0</v>
      </c>
      <c r="V1657" s="42"/>
      <c r="W1657" s="504"/>
      <c r="X1657" s="504"/>
      <c r="Y1657" s="504"/>
      <c r="Z1657" s="506"/>
      <c r="AA1657" s="504"/>
      <c r="AB1657" s="504"/>
      <c r="AC1657" s="506">
        <f>T1657</f>
        <v>0</v>
      </c>
      <c r="AD1657" s="504"/>
    </row>
    <row r="1658" spans="1:30" s="505" customFormat="1" ht="45" hidden="1" customHeight="1">
      <c r="A1658" s="492"/>
      <c r="B1658" s="643"/>
      <c r="C1658" s="515"/>
      <c r="D1658" s="514"/>
      <c r="E1658" s="674"/>
      <c r="F1658" s="675"/>
      <c r="G1658" s="675"/>
      <c r="H1658" s="675"/>
      <c r="I1658" s="675"/>
      <c r="J1658" s="675"/>
      <c r="K1658" s="675"/>
      <c r="L1658" s="675"/>
      <c r="M1658" s="676"/>
      <c r="N1658" s="655"/>
      <c r="O1658" s="656"/>
      <c r="P1658" s="657"/>
      <c r="Q1658" s="677"/>
      <c r="R1658" s="678"/>
      <c r="S1658" s="678"/>
      <c r="T1658" s="678"/>
      <c r="U1658" s="679"/>
      <c r="V1658" s="45"/>
      <c r="W1658" s="504"/>
      <c r="X1658" s="504"/>
      <c r="Y1658" s="504"/>
      <c r="Z1658" s="504"/>
      <c r="AA1658" s="506"/>
      <c r="AB1658" s="504"/>
      <c r="AC1658" s="504"/>
      <c r="AD1658" s="504"/>
    </row>
    <row r="1659" spans="1:30" s="505" customFormat="1" ht="45" hidden="1" customHeight="1" thickBot="1">
      <c r="A1659" s="492"/>
      <c r="B1659" s="644"/>
      <c r="C1659" s="516"/>
      <c r="D1659" s="517"/>
      <c r="E1659" s="680" t="s">
        <v>369</v>
      </c>
      <c r="F1659" s="680" t="s">
        <v>306</v>
      </c>
      <c r="G1659" s="680"/>
      <c r="H1659" s="680"/>
      <c r="I1659" s="680"/>
      <c r="J1659" s="680"/>
      <c r="K1659" s="680"/>
      <c r="L1659" s="499">
        <f>ROUND((I1651+J1651+K1651+L1654)*3.93%,2)</f>
        <v>0.66</v>
      </c>
      <c r="M1659" s="46">
        <f>L1659</f>
        <v>0.66</v>
      </c>
      <c r="N1659" s="658"/>
      <c r="O1659" s="659"/>
      <c r="P1659" s="660"/>
      <c r="Q1659" s="681"/>
      <c r="R1659" s="682"/>
      <c r="S1659" s="683"/>
      <c r="T1659" s="500">
        <f>H1651*M1659*N1651*O1651*P1651</f>
        <v>0</v>
      </c>
      <c r="U1659" s="47">
        <f>T1659</f>
        <v>0</v>
      </c>
      <c r="V1659" s="48"/>
      <c r="W1659" s="504"/>
      <c r="X1659" s="504"/>
      <c r="Y1659" s="504"/>
      <c r="Z1659" s="504"/>
      <c r="AA1659" s="504"/>
      <c r="AB1659" s="506"/>
      <c r="AC1659" s="504"/>
      <c r="AD1659" s="506">
        <f>T1659</f>
        <v>0</v>
      </c>
    </row>
    <row r="1660" spans="1:30" s="505" customFormat="1" ht="150" hidden="1" customHeight="1" thickBot="1">
      <c r="A1660" s="492"/>
      <c r="B1660" s="642">
        <v>2</v>
      </c>
      <c r="C1660" s="511">
        <v>10</v>
      </c>
      <c r="D1660" s="512"/>
      <c r="E1660" s="493" t="s">
        <v>654</v>
      </c>
      <c r="F1660" s="487" t="s">
        <v>655</v>
      </c>
      <c r="G1660" s="645" t="s">
        <v>388</v>
      </c>
      <c r="H1660" s="688">
        <v>0</v>
      </c>
      <c r="I1660" s="494">
        <v>0</v>
      </c>
      <c r="J1660" s="494">
        <v>8.33</v>
      </c>
      <c r="K1660" s="494">
        <v>0</v>
      </c>
      <c r="L1660" s="494">
        <f>SUM(L1662:L1668)</f>
        <v>0.8</v>
      </c>
      <c r="M1660" s="33">
        <f>SUM(I1660:L1660)</f>
        <v>9.1300000000000008</v>
      </c>
      <c r="N1660" s="501">
        <v>1</v>
      </c>
      <c r="O1660" s="502">
        <v>1</v>
      </c>
      <c r="P1660" s="37">
        <v>1</v>
      </c>
      <c r="Q1660" s="34">
        <f>H1660*I1660*N1660*O1660*P1660</f>
        <v>0</v>
      </c>
      <c r="R1660" s="35">
        <f>H1660*J1660*N1660*O1660*P1660</f>
        <v>0</v>
      </c>
      <c r="S1660" s="36">
        <f>H1660*K1660*N1660*O1660*P1660</f>
        <v>0</v>
      </c>
      <c r="T1660" s="36">
        <f>H1660*L1660*N1660*O1660*P1660</f>
        <v>0</v>
      </c>
      <c r="U1660" s="37">
        <f>SUM(Q1660:T1660)</f>
        <v>0</v>
      </c>
      <c r="V1660" s="38">
        <f>(Q1660+R1660+S1660+T1664+T1665+T1666+T1668)*'Прогнозная стоимость РСС ИП '!$M$11+T1663*'Прогнозная стоимость РСС ИП '!$M$10</f>
        <v>0</v>
      </c>
      <c r="W1660" s="503">
        <f>T1660</f>
        <v>0</v>
      </c>
      <c r="X1660" s="503">
        <f>U1660</f>
        <v>0</v>
      </c>
      <c r="Y1660" s="503">
        <f>V1660</f>
        <v>0</v>
      </c>
      <c r="Z1660" s="504"/>
      <c r="AA1660" s="504"/>
      <c r="AB1660" s="504"/>
      <c r="AC1660" s="504"/>
      <c r="AD1660" s="504"/>
    </row>
    <row r="1661" spans="1:30" s="505" customFormat="1" ht="41.25" hidden="1" customHeight="1">
      <c r="A1661" s="492"/>
      <c r="B1661" s="643"/>
      <c r="C1661" s="513"/>
      <c r="D1661" s="514"/>
      <c r="E1661" s="495"/>
      <c r="F1661" s="496"/>
      <c r="G1661" s="646"/>
      <c r="H1661" s="688"/>
      <c r="I1661" s="649"/>
      <c r="J1661" s="650"/>
      <c r="K1661" s="650"/>
      <c r="L1661" s="650"/>
      <c r="M1661" s="651"/>
      <c r="N1661" s="652"/>
      <c r="O1661" s="653"/>
      <c r="P1661" s="654"/>
      <c r="Q1661" s="661"/>
      <c r="R1661" s="662"/>
      <c r="S1661" s="662"/>
      <c r="T1661" s="662"/>
      <c r="U1661" s="663"/>
      <c r="V1661" s="40"/>
      <c r="W1661" s="504"/>
      <c r="X1661" s="504"/>
      <c r="Y1661" s="504"/>
      <c r="Z1661" s="504"/>
      <c r="AA1661" s="504"/>
      <c r="AB1661" s="504"/>
      <c r="AC1661" s="504"/>
      <c r="AD1661" s="504"/>
    </row>
    <row r="1662" spans="1:30" s="505" customFormat="1" ht="41.25" hidden="1" customHeight="1">
      <c r="A1662" s="492"/>
      <c r="B1662" s="643"/>
      <c r="C1662" s="513"/>
      <c r="D1662" s="514"/>
      <c r="E1662" s="664" t="s">
        <v>29</v>
      </c>
      <c r="F1662" s="665"/>
      <c r="G1662" s="665"/>
      <c r="H1662" s="665"/>
      <c r="I1662" s="665"/>
      <c r="J1662" s="665"/>
      <c r="K1662" s="665"/>
      <c r="L1662" s="665"/>
      <c r="M1662" s="666"/>
      <c r="N1662" s="655"/>
      <c r="O1662" s="656"/>
      <c r="P1662" s="657"/>
      <c r="Q1662" s="667"/>
      <c r="R1662" s="668"/>
      <c r="S1662" s="668"/>
      <c r="T1662" s="668"/>
      <c r="U1662" s="669"/>
      <c r="V1662" s="42"/>
      <c r="W1662" s="504"/>
      <c r="X1662" s="504"/>
      <c r="Y1662" s="504"/>
      <c r="Z1662" s="504"/>
      <c r="AA1662" s="504"/>
      <c r="AB1662" s="504"/>
      <c r="AC1662" s="504"/>
      <c r="AD1662" s="504"/>
    </row>
    <row r="1663" spans="1:30" s="505" customFormat="1" ht="41.25" hidden="1" customHeight="1">
      <c r="A1663" s="492"/>
      <c r="B1663" s="643"/>
      <c r="C1663" s="513">
        <v>1010</v>
      </c>
      <c r="D1663" s="514"/>
      <c r="E1663" s="670" t="s">
        <v>30</v>
      </c>
      <c r="F1663" s="670"/>
      <c r="G1663" s="670"/>
      <c r="H1663" s="670"/>
      <c r="I1663" s="670"/>
      <c r="J1663" s="670"/>
      <c r="K1663" s="670"/>
      <c r="L1663" s="498">
        <v>0.02</v>
      </c>
      <c r="M1663" s="459">
        <f>L1663</f>
        <v>0.02</v>
      </c>
      <c r="N1663" s="655"/>
      <c r="O1663" s="656"/>
      <c r="P1663" s="657"/>
      <c r="Q1663" s="671"/>
      <c r="R1663" s="672"/>
      <c r="S1663" s="673"/>
      <c r="T1663" s="457">
        <f>H1660*M1663*N1660*O1660*P1660</f>
        <v>0</v>
      </c>
      <c r="U1663" s="458">
        <f>T1663</f>
        <v>0</v>
      </c>
      <c r="V1663" s="42"/>
      <c r="W1663" s="503"/>
      <c r="X1663" s="504"/>
      <c r="Y1663" s="504"/>
      <c r="Z1663" s="503">
        <f>T1663</f>
        <v>0</v>
      </c>
      <c r="AA1663" s="504"/>
      <c r="AB1663" s="504"/>
      <c r="AC1663" s="504"/>
      <c r="AD1663" s="504"/>
    </row>
    <row r="1664" spans="1:30" s="505" customFormat="1" ht="41.25" hidden="1" customHeight="1">
      <c r="A1664" s="492"/>
      <c r="B1664" s="643"/>
      <c r="C1664" s="513"/>
      <c r="D1664" s="514"/>
      <c r="E1664" s="670" t="s">
        <v>31</v>
      </c>
      <c r="F1664" s="670"/>
      <c r="G1664" s="670"/>
      <c r="H1664" s="670"/>
      <c r="I1664" s="670"/>
      <c r="J1664" s="670"/>
      <c r="K1664" s="670"/>
      <c r="L1664" s="498">
        <f>ROUND((I1660+J1660+K1660)*2.14%,2)</f>
        <v>0.18</v>
      </c>
      <c r="M1664" s="459">
        <f>L1664</f>
        <v>0.18</v>
      </c>
      <c r="N1664" s="655"/>
      <c r="O1664" s="656"/>
      <c r="P1664" s="657"/>
      <c r="Q1664" s="671"/>
      <c r="R1664" s="672"/>
      <c r="S1664" s="673"/>
      <c r="T1664" s="457">
        <f>H1660*M1664*N1660*O1660*P1660</f>
        <v>0</v>
      </c>
      <c r="U1664" s="458">
        <f>T1664</f>
        <v>0</v>
      </c>
      <c r="V1664" s="42"/>
      <c r="W1664" s="504"/>
      <c r="X1664" s="503"/>
      <c r="Y1664" s="504"/>
      <c r="Z1664" s="504"/>
      <c r="AA1664" s="503">
        <f>T1664</f>
        <v>0</v>
      </c>
      <c r="AB1664" s="504"/>
      <c r="AC1664" s="504"/>
      <c r="AD1664" s="504"/>
    </row>
    <row r="1665" spans="1:30" s="505" customFormat="1" ht="41.25" hidden="1" customHeight="1">
      <c r="A1665" s="492"/>
      <c r="B1665" s="643"/>
      <c r="C1665" s="515"/>
      <c r="D1665" s="514"/>
      <c r="E1665" s="670" t="s">
        <v>376</v>
      </c>
      <c r="F1665" s="670"/>
      <c r="G1665" s="670"/>
      <c r="H1665" s="670"/>
      <c r="I1665" s="670"/>
      <c r="J1665" s="670"/>
      <c r="K1665" s="670"/>
      <c r="L1665" s="498">
        <f>ROUND((I1660+J1660+K1660+L1663+L1664+L1668)*3%,2)</f>
        <v>0.27</v>
      </c>
      <c r="M1665" s="459">
        <f>L1665</f>
        <v>0.27</v>
      </c>
      <c r="N1665" s="655"/>
      <c r="O1665" s="656"/>
      <c r="P1665" s="657"/>
      <c r="Q1665" s="671"/>
      <c r="R1665" s="672"/>
      <c r="S1665" s="673"/>
      <c r="T1665" s="457">
        <f>H1660*M1665*N1660*O1660*P1660</f>
        <v>0</v>
      </c>
      <c r="U1665" s="458">
        <f>T1665</f>
        <v>0</v>
      </c>
      <c r="V1665" s="42"/>
      <c r="W1665" s="504"/>
      <c r="X1665" s="504"/>
      <c r="Y1665" s="503"/>
      <c r="Z1665" s="504"/>
      <c r="AA1665" s="504"/>
      <c r="AB1665" s="503">
        <f>T1665</f>
        <v>0</v>
      </c>
      <c r="AC1665" s="504"/>
      <c r="AD1665" s="504"/>
    </row>
    <row r="1666" spans="1:30" s="505" customFormat="1" ht="54.75" hidden="1" customHeight="1">
      <c r="A1666" s="492"/>
      <c r="B1666" s="643"/>
      <c r="C1666" s="515"/>
      <c r="D1666" s="514"/>
      <c r="E1666" s="670" t="s">
        <v>377</v>
      </c>
      <c r="F1666" s="670"/>
      <c r="G1666" s="670"/>
      <c r="H1666" s="670"/>
      <c r="I1666" s="670"/>
      <c r="J1666" s="670"/>
      <c r="K1666" s="670"/>
      <c r="L1666" s="498">
        <f>0.53-K1660-L1663-L1664-L1668</f>
        <v>0</v>
      </c>
      <c r="M1666" s="459">
        <f>L1666</f>
        <v>0</v>
      </c>
      <c r="N1666" s="655"/>
      <c r="O1666" s="656"/>
      <c r="P1666" s="657"/>
      <c r="Q1666" s="671"/>
      <c r="R1666" s="672"/>
      <c r="S1666" s="673"/>
      <c r="T1666" s="457">
        <f>H1660*M1666*N1660*O1660*P1660</f>
        <v>0</v>
      </c>
      <c r="U1666" s="458">
        <f>T1666</f>
        <v>0</v>
      </c>
      <c r="V1666" s="42"/>
      <c r="W1666" s="504"/>
      <c r="X1666" s="504"/>
      <c r="Y1666" s="504"/>
      <c r="Z1666" s="506"/>
      <c r="AA1666" s="504"/>
      <c r="AB1666" s="504"/>
      <c r="AC1666" s="506">
        <f>T1666</f>
        <v>0</v>
      </c>
      <c r="AD1666" s="504"/>
    </row>
    <row r="1667" spans="1:30" s="505" customFormat="1" ht="45" hidden="1" customHeight="1">
      <c r="A1667" s="492"/>
      <c r="B1667" s="643"/>
      <c r="C1667" s="515"/>
      <c r="D1667" s="514"/>
      <c r="E1667" s="674"/>
      <c r="F1667" s="675"/>
      <c r="G1667" s="675"/>
      <c r="H1667" s="675"/>
      <c r="I1667" s="675"/>
      <c r="J1667" s="675"/>
      <c r="K1667" s="675"/>
      <c r="L1667" s="675"/>
      <c r="M1667" s="676"/>
      <c r="N1667" s="655"/>
      <c r="O1667" s="656"/>
      <c r="P1667" s="657"/>
      <c r="Q1667" s="677"/>
      <c r="R1667" s="678"/>
      <c r="S1667" s="678"/>
      <c r="T1667" s="678"/>
      <c r="U1667" s="679"/>
      <c r="V1667" s="45"/>
      <c r="W1667" s="504"/>
      <c r="X1667" s="504"/>
      <c r="Y1667" s="504"/>
      <c r="Z1667" s="504"/>
      <c r="AA1667" s="506"/>
      <c r="AB1667" s="504"/>
      <c r="AC1667" s="504"/>
      <c r="AD1667" s="504"/>
    </row>
    <row r="1668" spans="1:30" s="505" customFormat="1" ht="45" hidden="1" customHeight="1" thickBot="1">
      <c r="A1668" s="492"/>
      <c r="B1668" s="644"/>
      <c r="C1668" s="516"/>
      <c r="D1668" s="517"/>
      <c r="E1668" s="680" t="s">
        <v>369</v>
      </c>
      <c r="F1668" s="680" t="s">
        <v>306</v>
      </c>
      <c r="G1668" s="680"/>
      <c r="H1668" s="680"/>
      <c r="I1668" s="680"/>
      <c r="J1668" s="680"/>
      <c r="K1668" s="680"/>
      <c r="L1668" s="499">
        <f>ROUND((I1660+J1660+K1660+L1663)*3.93%,2)</f>
        <v>0.33</v>
      </c>
      <c r="M1668" s="46">
        <f>L1668</f>
        <v>0.33</v>
      </c>
      <c r="N1668" s="658"/>
      <c r="O1668" s="659"/>
      <c r="P1668" s="660"/>
      <c r="Q1668" s="681"/>
      <c r="R1668" s="682"/>
      <c r="S1668" s="683"/>
      <c r="T1668" s="500">
        <f>H1660*M1668*N1660*O1660*P1660</f>
        <v>0</v>
      </c>
      <c r="U1668" s="47">
        <f>T1668</f>
        <v>0</v>
      </c>
      <c r="V1668" s="48"/>
      <c r="W1668" s="504"/>
      <c r="X1668" s="504"/>
      <c r="Y1668" s="504"/>
      <c r="Z1668" s="504"/>
      <c r="AA1668" s="504"/>
      <c r="AB1668" s="506"/>
      <c r="AC1668" s="504"/>
      <c r="AD1668" s="506">
        <f>T1668</f>
        <v>0</v>
      </c>
    </row>
    <row r="1669" spans="1:30" s="505" customFormat="1" ht="150" hidden="1" customHeight="1" thickBot="1">
      <c r="A1669" s="492"/>
      <c r="B1669" s="642">
        <v>2</v>
      </c>
      <c r="C1669" s="511">
        <v>3</v>
      </c>
      <c r="D1669" s="512"/>
      <c r="E1669" s="493" t="s">
        <v>656</v>
      </c>
      <c r="F1669" s="487" t="s">
        <v>657</v>
      </c>
      <c r="G1669" s="645" t="s">
        <v>388</v>
      </c>
      <c r="H1669" s="688">
        <v>0</v>
      </c>
      <c r="I1669" s="494">
        <v>0</v>
      </c>
      <c r="J1669" s="494">
        <v>45.599999999999994</v>
      </c>
      <c r="K1669" s="494">
        <v>0</v>
      </c>
      <c r="L1669" s="494">
        <f>SUM(L1671:L1677)</f>
        <v>4.3311999999999999</v>
      </c>
      <c r="M1669" s="33">
        <f>SUM(I1669:L1669)</f>
        <v>49.931199999999997</v>
      </c>
      <c r="N1669" s="501">
        <v>1</v>
      </c>
      <c r="O1669" s="502">
        <v>1</v>
      </c>
      <c r="P1669" s="37">
        <v>1</v>
      </c>
      <c r="Q1669" s="34">
        <f>H1669*I1669*N1669*O1669*P1669</f>
        <v>0</v>
      </c>
      <c r="R1669" s="35">
        <f>H1669*J1669*N1669*O1669*P1669</f>
        <v>0</v>
      </c>
      <c r="S1669" s="36">
        <f>H1669*K1669*N1669*O1669*P1669</f>
        <v>0</v>
      </c>
      <c r="T1669" s="36">
        <f>H1669*L1669*N1669*O1669*P1669</f>
        <v>0</v>
      </c>
      <c r="U1669" s="37">
        <f>SUM(Q1669:T1669)</f>
        <v>0</v>
      </c>
      <c r="V1669" s="38">
        <f>(Q1669+R1669+S1669+T1673+T1674+T1675+T1677)*'Прогнозная стоимость РСС ИП '!$M$11+T1672*'Прогнозная стоимость РСС ИП '!$M$10</f>
        <v>0</v>
      </c>
      <c r="W1669" s="503">
        <f>T1669</f>
        <v>0</v>
      </c>
      <c r="X1669" s="503">
        <f>U1669</f>
        <v>0</v>
      </c>
      <c r="Y1669" s="503">
        <f>V1669</f>
        <v>0</v>
      </c>
      <c r="Z1669" s="504"/>
      <c r="AA1669" s="504"/>
      <c r="AB1669" s="504"/>
      <c r="AC1669" s="504"/>
      <c r="AD1669" s="504"/>
    </row>
    <row r="1670" spans="1:30" s="505" customFormat="1" ht="41.25" hidden="1" customHeight="1">
      <c r="A1670" s="492"/>
      <c r="B1670" s="643"/>
      <c r="C1670" s="513"/>
      <c r="D1670" s="514"/>
      <c r="E1670" s="495"/>
      <c r="F1670" s="496"/>
      <c r="G1670" s="646"/>
      <c r="H1670" s="688"/>
      <c r="I1670" s="649"/>
      <c r="J1670" s="650"/>
      <c r="K1670" s="650"/>
      <c r="L1670" s="650"/>
      <c r="M1670" s="651"/>
      <c r="N1670" s="652"/>
      <c r="O1670" s="653"/>
      <c r="P1670" s="654"/>
      <c r="Q1670" s="661"/>
      <c r="R1670" s="662"/>
      <c r="S1670" s="662"/>
      <c r="T1670" s="662"/>
      <c r="U1670" s="663"/>
      <c r="V1670" s="40"/>
      <c r="W1670" s="504"/>
      <c r="X1670" s="504"/>
      <c r="Y1670" s="504"/>
      <c r="Z1670" s="504"/>
      <c r="AA1670" s="504"/>
      <c r="AB1670" s="504"/>
      <c r="AC1670" s="504"/>
      <c r="AD1670" s="504"/>
    </row>
    <row r="1671" spans="1:30" s="505" customFormat="1" ht="41.25" hidden="1" customHeight="1">
      <c r="A1671" s="492"/>
      <c r="B1671" s="643"/>
      <c r="C1671" s="513"/>
      <c r="D1671" s="514"/>
      <c r="E1671" s="664" t="s">
        <v>29</v>
      </c>
      <c r="F1671" s="665"/>
      <c r="G1671" s="665"/>
      <c r="H1671" s="665"/>
      <c r="I1671" s="665"/>
      <c r="J1671" s="665"/>
      <c r="K1671" s="665"/>
      <c r="L1671" s="665"/>
      <c r="M1671" s="666"/>
      <c r="N1671" s="655"/>
      <c r="O1671" s="656"/>
      <c r="P1671" s="657"/>
      <c r="Q1671" s="667"/>
      <c r="R1671" s="668"/>
      <c r="S1671" s="668"/>
      <c r="T1671" s="668"/>
      <c r="U1671" s="669"/>
      <c r="V1671" s="42"/>
      <c r="W1671" s="504"/>
      <c r="X1671" s="504"/>
      <c r="Y1671" s="504"/>
      <c r="Z1671" s="504"/>
      <c r="AA1671" s="504"/>
      <c r="AB1671" s="504"/>
      <c r="AC1671" s="504"/>
      <c r="AD1671" s="504"/>
    </row>
    <row r="1672" spans="1:30" s="505" customFormat="1" ht="41.25" hidden="1" customHeight="1">
      <c r="A1672" s="492"/>
      <c r="B1672" s="643"/>
      <c r="C1672" s="513">
        <v>33</v>
      </c>
      <c r="D1672" s="514"/>
      <c r="E1672" s="670" t="s">
        <v>30</v>
      </c>
      <c r="F1672" s="670"/>
      <c r="G1672" s="670"/>
      <c r="H1672" s="670"/>
      <c r="I1672" s="670"/>
      <c r="J1672" s="670"/>
      <c r="K1672" s="670"/>
      <c r="L1672" s="498">
        <v>9.1199999999999989E-2</v>
      </c>
      <c r="M1672" s="459">
        <f>L1672</f>
        <v>9.1199999999999989E-2</v>
      </c>
      <c r="N1672" s="655"/>
      <c r="O1672" s="656"/>
      <c r="P1672" s="657"/>
      <c r="Q1672" s="671"/>
      <c r="R1672" s="672"/>
      <c r="S1672" s="673"/>
      <c r="T1672" s="457">
        <f>H1669*M1672*N1669*O1669*P1669</f>
        <v>0</v>
      </c>
      <c r="U1672" s="458">
        <f>T1672</f>
        <v>0</v>
      </c>
      <c r="V1672" s="42"/>
      <c r="W1672" s="503"/>
      <c r="X1672" s="504"/>
      <c r="Y1672" s="504"/>
      <c r="Z1672" s="503">
        <f>T1672</f>
        <v>0</v>
      </c>
      <c r="AA1672" s="504"/>
      <c r="AB1672" s="504"/>
      <c r="AC1672" s="504"/>
      <c r="AD1672" s="504"/>
    </row>
    <row r="1673" spans="1:30" s="505" customFormat="1" ht="41.25" hidden="1" customHeight="1">
      <c r="A1673" s="492"/>
      <c r="B1673" s="643"/>
      <c r="C1673" s="513"/>
      <c r="D1673" s="514"/>
      <c r="E1673" s="670" t="s">
        <v>31</v>
      </c>
      <c r="F1673" s="670"/>
      <c r="G1673" s="670"/>
      <c r="H1673" s="670"/>
      <c r="I1673" s="670"/>
      <c r="J1673" s="670"/>
      <c r="K1673" s="670"/>
      <c r="L1673" s="498">
        <f>ROUND((I1669+J1669+K1669)*2.14%,2)</f>
        <v>0.98</v>
      </c>
      <c r="M1673" s="459">
        <f>L1673</f>
        <v>0.98</v>
      </c>
      <c r="N1673" s="655"/>
      <c r="O1673" s="656"/>
      <c r="P1673" s="657"/>
      <c r="Q1673" s="671"/>
      <c r="R1673" s="672"/>
      <c r="S1673" s="673"/>
      <c r="T1673" s="457">
        <f>H1669*M1673*N1669*O1669*P1669</f>
        <v>0</v>
      </c>
      <c r="U1673" s="458">
        <f>T1673</f>
        <v>0</v>
      </c>
      <c r="V1673" s="42"/>
      <c r="W1673" s="504"/>
      <c r="X1673" s="503"/>
      <c r="Y1673" s="504"/>
      <c r="Z1673" s="504"/>
      <c r="AA1673" s="503">
        <f>T1673</f>
        <v>0</v>
      </c>
      <c r="AB1673" s="504"/>
      <c r="AC1673" s="504"/>
      <c r="AD1673" s="504"/>
    </row>
    <row r="1674" spans="1:30" s="505" customFormat="1" ht="41.25" hidden="1" customHeight="1">
      <c r="A1674" s="492"/>
      <c r="B1674" s="643"/>
      <c r="C1674" s="515"/>
      <c r="D1674" s="514"/>
      <c r="E1674" s="670" t="s">
        <v>376</v>
      </c>
      <c r="F1674" s="670"/>
      <c r="G1674" s="670"/>
      <c r="H1674" s="670"/>
      <c r="I1674" s="670"/>
      <c r="J1674" s="670"/>
      <c r="K1674" s="670"/>
      <c r="L1674" s="498">
        <f>ROUND((I1669+J1669+K1669+L1672+L1673+L1677)*3%,2)+0.01</f>
        <v>1.46</v>
      </c>
      <c r="M1674" s="459">
        <f>L1674</f>
        <v>1.46</v>
      </c>
      <c r="N1674" s="655"/>
      <c r="O1674" s="656"/>
      <c r="P1674" s="657"/>
      <c r="Q1674" s="671"/>
      <c r="R1674" s="672"/>
      <c r="S1674" s="673"/>
      <c r="T1674" s="457">
        <f>H1669*M1674*N1669*O1669*P1669</f>
        <v>0</v>
      </c>
      <c r="U1674" s="458">
        <f>T1674</f>
        <v>0</v>
      </c>
      <c r="V1674" s="42"/>
      <c r="W1674" s="504"/>
      <c r="X1674" s="504"/>
      <c r="Y1674" s="503"/>
      <c r="Z1674" s="504"/>
      <c r="AA1674" s="504"/>
      <c r="AB1674" s="503">
        <f>T1674</f>
        <v>0</v>
      </c>
      <c r="AC1674" s="504"/>
      <c r="AD1674" s="504"/>
    </row>
    <row r="1675" spans="1:30" s="505" customFormat="1" ht="54.75" hidden="1" customHeight="1">
      <c r="A1675" s="492"/>
      <c r="B1675" s="643"/>
      <c r="C1675" s="515"/>
      <c r="D1675" s="514"/>
      <c r="E1675" s="670" t="s">
        <v>377</v>
      </c>
      <c r="F1675" s="670"/>
      <c r="G1675" s="670"/>
      <c r="H1675" s="670"/>
      <c r="I1675" s="670"/>
      <c r="J1675" s="670"/>
      <c r="K1675" s="670"/>
      <c r="L1675" s="498">
        <f>2.8712-K1669-L1672-L1673-L1677</f>
        <v>0</v>
      </c>
      <c r="M1675" s="459">
        <f>L1675</f>
        <v>0</v>
      </c>
      <c r="N1675" s="655"/>
      <c r="O1675" s="656"/>
      <c r="P1675" s="657"/>
      <c r="Q1675" s="671"/>
      <c r="R1675" s="672"/>
      <c r="S1675" s="673"/>
      <c r="T1675" s="457">
        <f>H1669*M1675*N1669*O1669*P1669</f>
        <v>0</v>
      </c>
      <c r="U1675" s="458">
        <f>T1675</f>
        <v>0</v>
      </c>
      <c r="V1675" s="42"/>
      <c r="W1675" s="504"/>
      <c r="X1675" s="504"/>
      <c r="Y1675" s="504"/>
      <c r="Z1675" s="506"/>
      <c r="AA1675" s="504"/>
      <c r="AB1675" s="504"/>
      <c r="AC1675" s="506">
        <f>T1675</f>
        <v>0</v>
      </c>
      <c r="AD1675" s="504"/>
    </row>
    <row r="1676" spans="1:30" s="505" customFormat="1" ht="45" hidden="1" customHeight="1">
      <c r="A1676" s="492"/>
      <c r="B1676" s="643"/>
      <c r="C1676" s="515"/>
      <c r="D1676" s="514"/>
      <c r="E1676" s="674"/>
      <c r="F1676" s="675"/>
      <c r="G1676" s="675"/>
      <c r="H1676" s="675"/>
      <c r="I1676" s="675"/>
      <c r="J1676" s="675"/>
      <c r="K1676" s="675"/>
      <c r="L1676" s="675"/>
      <c r="M1676" s="676"/>
      <c r="N1676" s="655"/>
      <c r="O1676" s="656"/>
      <c r="P1676" s="657"/>
      <c r="Q1676" s="677"/>
      <c r="R1676" s="678"/>
      <c r="S1676" s="678"/>
      <c r="T1676" s="678"/>
      <c r="U1676" s="679"/>
      <c r="V1676" s="45"/>
      <c r="W1676" s="504"/>
      <c r="X1676" s="504"/>
      <c r="Y1676" s="504"/>
      <c r="Z1676" s="504"/>
      <c r="AA1676" s="506"/>
      <c r="AB1676" s="504"/>
      <c r="AC1676" s="504"/>
      <c r="AD1676" s="504"/>
    </row>
    <row r="1677" spans="1:30" s="505" customFormat="1" ht="45" hidden="1" customHeight="1" thickBot="1">
      <c r="A1677" s="492"/>
      <c r="B1677" s="644"/>
      <c r="C1677" s="516"/>
      <c r="D1677" s="517"/>
      <c r="E1677" s="680" t="s">
        <v>369</v>
      </c>
      <c r="F1677" s="680" t="s">
        <v>306</v>
      </c>
      <c r="G1677" s="680"/>
      <c r="H1677" s="680"/>
      <c r="I1677" s="680"/>
      <c r="J1677" s="680"/>
      <c r="K1677" s="680"/>
      <c r="L1677" s="499">
        <f>ROUND((I1669+J1669+K1669+L1672)*3.93%,2)</f>
        <v>1.8</v>
      </c>
      <c r="M1677" s="46">
        <f>L1677</f>
        <v>1.8</v>
      </c>
      <c r="N1677" s="658"/>
      <c r="O1677" s="659"/>
      <c r="P1677" s="660"/>
      <c r="Q1677" s="681"/>
      <c r="R1677" s="682"/>
      <c r="S1677" s="683"/>
      <c r="T1677" s="500">
        <f>H1669*M1677*N1669*O1669*P1669</f>
        <v>0</v>
      </c>
      <c r="U1677" s="47">
        <f>T1677</f>
        <v>0</v>
      </c>
      <c r="V1677" s="48"/>
      <c r="W1677" s="504"/>
      <c r="X1677" s="504"/>
      <c r="Y1677" s="504"/>
      <c r="Z1677" s="504"/>
      <c r="AA1677" s="504"/>
      <c r="AB1677" s="506"/>
      <c r="AC1677" s="504"/>
      <c r="AD1677" s="506">
        <f>T1677</f>
        <v>0</v>
      </c>
    </row>
    <row r="1678" spans="1:30" s="505" customFormat="1" ht="150" hidden="1" customHeight="1" thickBot="1">
      <c r="A1678" s="492"/>
      <c r="B1678" s="642">
        <v>2</v>
      </c>
      <c r="C1678" s="511">
        <v>3</v>
      </c>
      <c r="D1678" s="512"/>
      <c r="E1678" s="493" t="s">
        <v>658</v>
      </c>
      <c r="F1678" s="487" t="s">
        <v>659</v>
      </c>
      <c r="G1678" s="645" t="s">
        <v>388</v>
      </c>
      <c r="H1678" s="688">
        <v>0</v>
      </c>
      <c r="I1678" s="494">
        <v>0</v>
      </c>
      <c r="J1678" s="494">
        <v>63.68</v>
      </c>
      <c r="K1678" s="494">
        <v>0</v>
      </c>
      <c r="L1678" s="494">
        <f>SUM(L1680:L1686)</f>
        <v>6.0299999999999994</v>
      </c>
      <c r="M1678" s="33">
        <f>SUM(I1678:L1678)</f>
        <v>69.709999999999994</v>
      </c>
      <c r="N1678" s="501">
        <v>1</v>
      </c>
      <c r="O1678" s="502">
        <v>1</v>
      </c>
      <c r="P1678" s="37">
        <v>1</v>
      </c>
      <c r="Q1678" s="34">
        <f>H1678*I1678*N1678*O1678*P1678</f>
        <v>0</v>
      </c>
      <c r="R1678" s="35">
        <f>H1678*J1678*N1678*O1678*P1678</f>
        <v>0</v>
      </c>
      <c r="S1678" s="36">
        <f>H1678*K1678*N1678*O1678*P1678</f>
        <v>0</v>
      </c>
      <c r="T1678" s="36">
        <f>H1678*L1678*N1678*O1678*P1678</f>
        <v>0</v>
      </c>
      <c r="U1678" s="37">
        <f>SUM(Q1678:T1678)</f>
        <v>0</v>
      </c>
      <c r="V1678" s="38">
        <f>(Q1678+R1678+S1678+T1682+T1683+T1684+T1686)*'Прогнозная стоимость РСС ИП '!$M$11+T1681*'Прогнозная стоимость РСС ИП '!$M$10</f>
        <v>0</v>
      </c>
      <c r="W1678" s="503">
        <f>T1678</f>
        <v>0</v>
      </c>
      <c r="X1678" s="503">
        <f>U1678</f>
        <v>0</v>
      </c>
      <c r="Y1678" s="503">
        <f>V1678</f>
        <v>0</v>
      </c>
      <c r="Z1678" s="504"/>
      <c r="AA1678" s="504"/>
      <c r="AB1678" s="504"/>
      <c r="AC1678" s="504"/>
      <c r="AD1678" s="504"/>
    </row>
    <row r="1679" spans="1:30" s="505" customFormat="1" ht="41.25" hidden="1" customHeight="1">
      <c r="A1679" s="492"/>
      <c r="B1679" s="643"/>
      <c r="C1679" s="513"/>
      <c r="D1679" s="514"/>
      <c r="E1679" s="495"/>
      <c r="F1679" s="496"/>
      <c r="G1679" s="646"/>
      <c r="H1679" s="688"/>
      <c r="I1679" s="649"/>
      <c r="J1679" s="650"/>
      <c r="K1679" s="650"/>
      <c r="L1679" s="650"/>
      <c r="M1679" s="651"/>
      <c r="N1679" s="652"/>
      <c r="O1679" s="653"/>
      <c r="P1679" s="654"/>
      <c r="Q1679" s="661"/>
      <c r="R1679" s="662"/>
      <c r="S1679" s="662"/>
      <c r="T1679" s="662"/>
      <c r="U1679" s="663"/>
      <c r="V1679" s="40"/>
      <c r="W1679" s="504"/>
      <c r="X1679" s="504"/>
      <c r="Y1679" s="504"/>
      <c r="Z1679" s="504"/>
      <c r="AA1679" s="504"/>
      <c r="AB1679" s="504"/>
      <c r="AC1679" s="504"/>
      <c r="AD1679" s="504"/>
    </row>
    <row r="1680" spans="1:30" s="505" customFormat="1" ht="41.25" hidden="1" customHeight="1">
      <c r="A1680" s="492"/>
      <c r="B1680" s="643"/>
      <c r="C1680" s="513"/>
      <c r="D1680" s="514"/>
      <c r="E1680" s="664" t="s">
        <v>29</v>
      </c>
      <c r="F1680" s="665"/>
      <c r="G1680" s="665"/>
      <c r="H1680" s="665"/>
      <c r="I1680" s="665"/>
      <c r="J1680" s="665"/>
      <c r="K1680" s="665"/>
      <c r="L1680" s="665"/>
      <c r="M1680" s="666"/>
      <c r="N1680" s="655"/>
      <c r="O1680" s="656"/>
      <c r="P1680" s="657"/>
      <c r="Q1680" s="667"/>
      <c r="R1680" s="668"/>
      <c r="S1680" s="668"/>
      <c r="T1680" s="668"/>
      <c r="U1680" s="669"/>
      <c r="V1680" s="42"/>
      <c r="W1680" s="504"/>
      <c r="X1680" s="504"/>
      <c r="Y1680" s="504"/>
      <c r="Z1680" s="504"/>
      <c r="AA1680" s="504"/>
      <c r="AB1680" s="504"/>
      <c r="AC1680" s="504"/>
      <c r="AD1680" s="504"/>
    </row>
    <row r="1681" spans="1:30" s="505" customFormat="1" ht="41.25" hidden="1" customHeight="1">
      <c r="A1681" s="492"/>
      <c r="B1681" s="643"/>
      <c r="C1681" s="513">
        <v>33</v>
      </c>
      <c r="D1681" s="514"/>
      <c r="E1681" s="670" t="s">
        <v>30</v>
      </c>
      <c r="F1681" s="670"/>
      <c r="G1681" s="670"/>
      <c r="H1681" s="670"/>
      <c r="I1681" s="670"/>
      <c r="J1681" s="670"/>
      <c r="K1681" s="670"/>
      <c r="L1681" s="498">
        <v>0.13</v>
      </c>
      <c r="M1681" s="459">
        <f>L1681</f>
        <v>0.13</v>
      </c>
      <c r="N1681" s="655"/>
      <c r="O1681" s="656"/>
      <c r="P1681" s="657"/>
      <c r="Q1681" s="671"/>
      <c r="R1681" s="672"/>
      <c r="S1681" s="673"/>
      <c r="T1681" s="457">
        <f>H1678*M1681*N1678*O1678*P1678</f>
        <v>0</v>
      </c>
      <c r="U1681" s="458">
        <f>T1681</f>
        <v>0</v>
      </c>
      <c r="V1681" s="42"/>
      <c r="W1681" s="503"/>
      <c r="X1681" s="504"/>
      <c r="Y1681" s="504"/>
      <c r="Z1681" s="503">
        <f>T1681</f>
        <v>0</v>
      </c>
      <c r="AA1681" s="504"/>
      <c r="AB1681" s="504"/>
      <c r="AC1681" s="504"/>
      <c r="AD1681" s="504"/>
    </row>
    <row r="1682" spans="1:30" s="505" customFormat="1" ht="41.25" hidden="1" customHeight="1">
      <c r="A1682" s="492"/>
      <c r="B1682" s="643"/>
      <c r="C1682" s="513"/>
      <c r="D1682" s="514"/>
      <c r="E1682" s="670" t="s">
        <v>31</v>
      </c>
      <c r="F1682" s="670"/>
      <c r="G1682" s="670"/>
      <c r="H1682" s="670"/>
      <c r="I1682" s="670"/>
      <c r="J1682" s="670"/>
      <c r="K1682" s="670"/>
      <c r="L1682" s="498">
        <f>ROUND((I1678+J1678+K1678)*2.14%,2)</f>
        <v>1.36</v>
      </c>
      <c r="M1682" s="459">
        <f>L1682</f>
        <v>1.36</v>
      </c>
      <c r="N1682" s="655"/>
      <c r="O1682" s="656"/>
      <c r="P1682" s="657"/>
      <c r="Q1682" s="671"/>
      <c r="R1682" s="672"/>
      <c r="S1682" s="673"/>
      <c r="T1682" s="457">
        <f>H1678*M1682*N1678*O1678*P1678</f>
        <v>0</v>
      </c>
      <c r="U1682" s="458">
        <f>T1682</f>
        <v>0</v>
      </c>
      <c r="V1682" s="42"/>
      <c r="W1682" s="504"/>
      <c r="X1682" s="503"/>
      <c r="Y1682" s="504"/>
      <c r="Z1682" s="504"/>
      <c r="AA1682" s="503">
        <f>T1682</f>
        <v>0</v>
      </c>
      <c r="AB1682" s="504"/>
      <c r="AC1682" s="504"/>
      <c r="AD1682" s="504"/>
    </row>
    <row r="1683" spans="1:30" s="505" customFormat="1" ht="41.25" hidden="1" customHeight="1">
      <c r="A1683" s="492"/>
      <c r="B1683" s="643"/>
      <c r="C1683" s="515"/>
      <c r="D1683" s="514"/>
      <c r="E1683" s="670" t="s">
        <v>376</v>
      </c>
      <c r="F1683" s="670"/>
      <c r="G1683" s="670"/>
      <c r="H1683" s="670"/>
      <c r="I1683" s="670"/>
      <c r="J1683" s="670"/>
      <c r="K1683" s="670"/>
      <c r="L1683" s="498">
        <f>ROUND((I1678+J1678+K1678+L1681+L1682+L1686)*3%,2)</f>
        <v>2.0299999999999998</v>
      </c>
      <c r="M1683" s="459">
        <f>L1683</f>
        <v>2.0299999999999998</v>
      </c>
      <c r="N1683" s="655"/>
      <c r="O1683" s="656"/>
      <c r="P1683" s="657"/>
      <c r="Q1683" s="671"/>
      <c r="R1683" s="672"/>
      <c r="S1683" s="673"/>
      <c r="T1683" s="457">
        <f>H1678*M1683*N1678*O1678*P1678</f>
        <v>0</v>
      </c>
      <c r="U1683" s="458">
        <f>T1683</f>
        <v>0</v>
      </c>
      <c r="V1683" s="42"/>
      <c r="W1683" s="504"/>
      <c r="X1683" s="504"/>
      <c r="Y1683" s="503"/>
      <c r="Z1683" s="504"/>
      <c r="AA1683" s="504"/>
      <c r="AB1683" s="503">
        <f>T1683</f>
        <v>0</v>
      </c>
      <c r="AC1683" s="504"/>
      <c r="AD1683" s="504"/>
    </row>
    <row r="1684" spans="1:30" s="505" customFormat="1" ht="54.75" hidden="1" customHeight="1">
      <c r="A1684" s="492"/>
      <c r="B1684" s="643"/>
      <c r="C1684" s="515"/>
      <c r="D1684" s="514"/>
      <c r="E1684" s="670" t="s">
        <v>377</v>
      </c>
      <c r="F1684" s="670"/>
      <c r="G1684" s="670"/>
      <c r="H1684" s="670"/>
      <c r="I1684" s="670"/>
      <c r="J1684" s="670"/>
      <c r="K1684" s="670"/>
      <c r="L1684" s="498">
        <f>4-K1678-L1681-L1682-L1686</f>
        <v>0</v>
      </c>
      <c r="M1684" s="459">
        <f>L1684</f>
        <v>0</v>
      </c>
      <c r="N1684" s="655"/>
      <c r="O1684" s="656"/>
      <c r="P1684" s="657"/>
      <c r="Q1684" s="671"/>
      <c r="R1684" s="672"/>
      <c r="S1684" s="673"/>
      <c r="T1684" s="457">
        <f>H1678*M1684*N1678*O1678*P1678</f>
        <v>0</v>
      </c>
      <c r="U1684" s="458">
        <f>T1684</f>
        <v>0</v>
      </c>
      <c r="V1684" s="42"/>
      <c r="W1684" s="504"/>
      <c r="X1684" s="504"/>
      <c r="Y1684" s="504"/>
      <c r="Z1684" s="506"/>
      <c r="AA1684" s="504"/>
      <c r="AB1684" s="504"/>
      <c r="AC1684" s="506">
        <f>T1684</f>
        <v>0</v>
      </c>
      <c r="AD1684" s="504"/>
    </row>
    <row r="1685" spans="1:30" s="505" customFormat="1" ht="45" hidden="1" customHeight="1">
      <c r="A1685" s="492"/>
      <c r="B1685" s="643"/>
      <c r="C1685" s="515"/>
      <c r="D1685" s="514"/>
      <c r="E1685" s="674"/>
      <c r="F1685" s="675"/>
      <c r="G1685" s="675"/>
      <c r="H1685" s="675"/>
      <c r="I1685" s="675"/>
      <c r="J1685" s="675"/>
      <c r="K1685" s="675"/>
      <c r="L1685" s="675"/>
      <c r="M1685" s="676"/>
      <c r="N1685" s="655"/>
      <c r="O1685" s="656"/>
      <c r="P1685" s="657"/>
      <c r="Q1685" s="677"/>
      <c r="R1685" s="678"/>
      <c r="S1685" s="678"/>
      <c r="T1685" s="678"/>
      <c r="U1685" s="679"/>
      <c r="V1685" s="45"/>
      <c r="W1685" s="504"/>
      <c r="X1685" s="504"/>
      <c r="Y1685" s="504"/>
      <c r="Z1685" s="504"/>
      <c r="AA1685" s="506"/>
      <c r="AB1685" s="504"/>
      <c r="AC1685" s="504"/>
      <c r="AD1685" s="504"/>
    </row>
    <row r="1686" spans="1:30" s="505" customFormat="1" ht="45" hidden="1" customHeight="1" thickBot="1">
      <c r="A1686" s="492"/>
      <c r="B1686" s="644"/>
      <c r="C1686" s="516"/>
      <c r="D1686" s="517"/>
      <c r="E1686" s="680" t="s">
        <v>369</v>
      </c>
      <c r="F1686" s="680" t="s">
        <v>306</v>
      </c>
      <c r="G1686" s="680"/>
      <c r="H1686" s="680"/>
      <c r="I1686" s="680"/>
      <c r="J1686" s="680"/>
      <c r="K1686" s="680"/>
      <c r="L1686" s="499">
        <f>ROUND((I1678+J1678+K1678+L1681)*3.93%,2)</f>
        <v>2.5099999999999998</v>
      </c>
      <c r="M1686" s="46">
        <f>L1686</f>
        <v>2.5099999999999998</v>
      </c>
      <c r="N1686" s="658"/>
      <c r="O1686" s="659"/>
      <c r="P1686" s="660"/>
      <c r="Q1686" s="681"/>
      <c r="R1686" s="682"/>
      <c r="S1686" s="683"/>
      <c r="T1686" s="500">
        <f>H1678*M1686*N1678*O1678*P1678</f>
        <v>0</v>
      </c>
      <c r="U1686" s="47">
        <f>T1686</f>
        <v>0</v>
      </c>
      <c r="V1686" s="48"/>
      <c r="W1686" s="504"/>
      <c r="X1686" s="504"/>
      <c r="Y1686" s="504"/>
      <c r="Z1686" s="504"/>
      <c r="AA1686" s="504"/>
      <c r="AB1686" s="506"/>
      <c r="AC1686" s="504"/>
      <c r="AD1686" s="506">
        <f>T1686</f>
        <v>0</v>
      </c>
    </row>
    <row r="1687" spans="1:30" s="505" customFormat="1" ht="150" hidden="1" customHeight="1" thickBot="1">
      <c r="A1687" s="492"/>
      <c r="B1687" s="642">
        <v>2</v>
      </c>
      <c r="C1687" s="511">
        <v>3</v>
      </c>
      <c r="D1687" s="512"/>
      <c r="E1687" s="493" t="s">
        <v>660</v>
      </c>
      <c r="F1687" s="487" t="s">
        <v>661</v>
      </c>
      <c r="G1687" s="645" t="s">
        <v>388</v>
      </c>
      <c r="H1687" s="688">
        <v>0</v>
      </c>
      <c r="I1687" s="494">
        <v>0</v>
      </c>
      <c r="J1687" s="494">
        <v>83.26</v>
      </c>
      <c r="K1687" s="494">
        <v>0</v>
      </c>
      <c r="L1687" s="494">
        <f>SUM(L1689:L1695)</f>
        <v>7.8899999999999988</v>
      </c>
      <c r="M1687" s="33">
        <f>SUM(I1687:L1687)</f>
        <v>91.15</v>
      </c>
      <c r="N1687" s="501">
        <v>1</v>
      </c>
      <c r="O1687" s="502">
        <v>1</v>
      </c>
      <c r="P1687" s="37">
        <v>1</v>
      </c>
      <c r="Q1687" s="34">
        <f>H1687*I1687*N1687*O1687*P1687</f>
        <v>0</v>
      </c>
      <c r="R1687" s="35">
        <f>H1687*J1687*N1687*O1687*P1687</f>
        <v>0</v>
      </c>
      <c r="S1687" s="36">
        <f>H1687*K1687*N1687*O1687*P1687</f>
        <v>0</v>
      </c>
      <c r="T1687" s="36">
        <f>H1687*L1687*N1687*O1687*P1687</f>
        <v>0</v>
      </c>
      <c r="U1687" s="37">
        <f>SUM(Q1687:T1687)</f>
        <v>0</v>
      </c>
      <c r="V1687" s="38">
        <f>(Q1687+R1687+S1687+T1691+T1692+T1693+T1695)*'Прогнозная стоимость РСС ИП '!$M$11+T1690*'Прогнозная стоимость РСС ИП '!$M$10</f>
        <v>0</v>
      </c>
      <c r="W1687" s="503">
        <f>T1687</f>
        <v>0</v>
      </c>
      <c r="X1687" s="503">
        <f>U1687</f>
        <v>0</v>
      </c>
      <c r="Y1687" s="503">
        <f>V1687</f>
        <v>0</v>
      </c>
      <c r="Z1687" s="504"/>
      <c r="AA1687" s="504"/>
      <c r="AB1687" s="504"/>
      <c r="AC1687" s="504"/>
      <c r="AD1687" s="504"/>
    </row>
    <row r="1688" spans="1:30" s="505" customFormat="1" ht="41.25" hidden="1" customHeight="1">
      <c r="A1688" s="492"/>
      <c r="B1688" s="643"/>
      <c r="C1688" s="513"/>
      <c r="D1688" s="514"/>
      <c r="E1688" s="495"/>
      <c r="F1688" s="496"/>
      <c r="G1688" s="646"/>
      <c r="H1688" s="688"/>
      <c r="I1688" s="649"/>
      <c r="J1688" s="650"/>
      <c r="K1688" s="650"/>
      <c r="L1688" s="650"/>
      <c r="M1688" s="651"/>
      <c r="N1688" s="652"/>
      <c r="O1688" s="653"/>
      <c r="P1688" s="654"/>
      <c r="Q1688" s="661"/>
      <c r="R1688" s="662"/>
      <c r="S1688" s="662"/>
      <c r="T1688" s="662"/>
      <c r="U1688" s="663"/>
      <c r="V1688" s="40"/>
      <c r="W1688" s="504"/>
      <c r="X1688" s="504"/>
      <c r="Y1688" s="504"/>
      <c r="Z1688" s="504"/>
      <c r="AA1688" s="504"/>
      <c r="AB1688" s="504"/>
      <c r="AC1688" s="504"/>
      <c r="AD1688" s="504"/>
    </row>
    <row r="1689" spans="1:30" s="505" customFormat="1" ht="41.25" hidden="1" customHeight="1">
      <c r="A1689" s="492"/>
      <c r="B1689" s="643"/>
      <c r="C1689" s="513"/>
      <c r="D1689" s="514"/>
      <c r="E1689" s="664" t="s">
        <v>29</v>
      </c>
      <c r="F1689" s="665"/>
      <c r="G1689" s="665"/>
      <c r="H1689" s="665"/>
      <c r="I1689" s="665"/>
      <c r="J1689" s="665"/>
      <c r="K1689" s="665"/>
      <c r="L1689" s="665"/>
      <c r="M1689" s="666"/>
      <c r="N1689" s="655"/>
      <c r="O1689" s="656"/>
      <c r="P1689" s="657"/>
      <c r="Q1689" s="667"/>
      <c r="R1689" s="668"/>
      <c r="S1689" s="668"/>
      <c r="T1689" s="668"/>
      <c r="U1689" s="669"/>
      <c r="V1689" s="42"/>
      <c r="W1689" s="504"/>
      <c r="X1689" s="504"/>
      <c r="Y1689" s="504"/>
      <c r="Z1689" s="504"/>
      <c r="AA1689" s="504"/>
      <c r="AB1689" s="504"/>
      <c r="AC1689" s="504"/>
      <c r="AD1689" s="504"/>
    </row>
    <row r="1690" spans="1:30" s="505" customFormat="1" ht="41.25" hidden="1" customHeight="1">
      <c r="A1690" s="492"/>
      <c r="B1690" s="643"/>
      <c r="C1690" s="513">
        <v>33</v>
      </c>
      <c r="D1690" s="514"/>
      <c r="E1690" s="670" t="s">
        <v>30</v>
      </c>
      <c r="F1690" s="670"/>
      <c r="G1690" s="670"/>
      <c r="H1690" s="670"/>
      <c r="I1690" s="670"/>
      <c r="J1690" s="670"/>
      <c r="K1690" s="670"/>
      <c r="L1690" s="498">
        <v>0.17</v>
      </c>
      <c r="M1690" s="459">
        <f>L1690</f>
        <v>0.17</v>
      </c>
      <c r="N1690" s="655"/>
      <c r="O1690" s="656"/>
      <c r="P1690" s="657"/>
      <c r="Q1690" s="671"/>
      <c r="R1690" s="672"/>
      <c r="S1690" s="673"/>
      <c r="T1690" s="457">
        <f>H1687*M1690*N1687*O1687*P1687</f>
        <v>0</v>
      </c>
      <c r="U1690" s="458">
        <f>T1690</f>
        <v>0</v>
      </c>
      <c r="V1690" s="42"/>
      <c r="W1690" s="503"/>
      <c r="X1690" s="504"/>
      <c r="Y1690" s="504"/>
      <c r="Z1690" s="503">
        <f>T1690</f>
        <v>0</v>
      </c>
      <c r="AA1690" s="504"/>
      <c r="AB1690" s="504"/>
      <c r="AC1690" s="504"/>
      <c r="AD1690" s="504"/>
    </row>
    <row r="1691" spans="1:30" s="505" customFormat="1" ht="41.25" hidden="1" customHeight="1">
      <c r="A1691" s="492"/>
      <c r="B1691" s="643"/>
      <c r="C1691" s="513"/>
      <c r="D1691" s="514"/>
      <c r="E1691" s="670" t="s">
        <v>31</v>
      </c>
      <c r="F1691" s="670"/>
      <c r="G1691" s="670"/>
      <c r="H1691" s="670"/>
      <c r="I1691" s="670"/>
      <c r="J1691" s="670"/>
      <c r="K1691" s="670"/>
      <c r="L1691" s="498">
        <f>ROUND((I1687+J1687+K1687)*2.14%,2)</f>
        <v>1.78</v>
      </c>
      <c r="M1691" s="459">
        <f>L1691</f>
        <v>1.78</v>
      </c>
      <c r="N1691" s="655"/>
      <c r="O1691" s="656"/>
      <c r="P1691" s="657"/>
      <c r="Q1691" s="671"/>
      <c r="R1691" s="672"/>
      <c r="S1691" s="673"/>
      <c r="T1691" s="457">
        <f>H1687*M1691*N1687*O1687*P1687</f>
        <v>0</v>
      </c>
      <c r="U1691" s="458">
        <f>T1691</f>
        <v>0</v>
      </c>
      <c r="V1691" s="42"/>
      <c r="W1691" s="504"/>
      <c r="X1691" s="503"/>
      <c r="Y1691" s="504"/>
      <c r="Z1691" s="504"/>
      <c r="AA1691" s="503">
        <f>T1691</f>
        <v>0</v>
      </c>
      <c r="AB1691" s="504"/>
      <c r="AC1691" s="504"/>
      <c r="AD1691" s="504"/>
    </row>
    <row r="1692" spans="1:30" s="505" customFormat="1" ht="41.25" hidden="1" customHeight="1">
      <c r="A1692" s="492"/>
      <c r="B1692" s="643"/>
      <c r="C1692" s="515"/>
      <c r="D1692" s="514"/>
      <c r="E1692" s="670" t="s">
        <v>376</v>
      </c>
      <c r="F1692" s="670"/>
      <c r="G1692" s="670"/>
      <c r="H1692" s="670"/>
      <c r="I1692" s="670"/>
      <c r="J1692" s="670"/>
      <c r="K1692" s="670"/>
      <c r="L1692" s="498">
        <f>ROUND((I1687+J1687+K1687+L1690+L1691+L1695)*3%,2)+0.01</f>
        <v>2.6599999999999997</v>
      </c>
      <c r="M1692" s="459">
        <f>L1692</f>
        <v>2.6599999999999997</v>
      </c>
      <c r="N1692" s="655"/>
      <c r="O1692" s="656"/>
      <c r="P1692" s="657"/>
      <c r="Q1692" s="671"/>
      <c r="R1692" s="672"/>
      <c r="S1692" s="673"/>
      <c r="T1692" s="457">
        <f>H1687*M1692*N1687*O1687*P1687</f>
        <v>0</v>
      </c>
      <c r="U1692" s="458">
        <f>T1692</f>
        <v>0</v>
      </c>
      <c r="V1692" s="42"/>
      <c r="W1692" s="504"/>
      <c r="X1692" s="504"/>
      <c r="Y1692" s="503"/>
      <c r="Z1692" s="504"/>
      <c r="AA1692" s="504"/>
      <c r="AB1692" s="503">
        <f>T1692</f>
        <v>0</v>
      </c>
      <c r="AC1692" s="504"/>
      <c r="AD1692" s="504"/>
    </row>
    <row r="1693" spans="1:30" s="505" customFormat="1" ht="54.75" hidden="1" customHeight="1">
      <c r="A1693" s="492"/>
      <c r="B1693" s="643"/>
      <c r="C1693" s="515"/>
      <c r="D1693" s="514"/>
      <c r="E1693" s="670" t="s">
        <v>377</v>
      </c>
      <c r="F1693" s="670"/>
      <c r="G1693" s="670"/>
      <c r="H1693" s="670"/>
      <c r="I1693" s="670"/>
      <c r="J1693" s="670"/>
      <c r="K1693" s="670"/>
      <c r="L1693" s="498">
        <f>5.23-K1687-L1690-L1691-L1695</f>
        <v>0</v>
      </c>
      <c r="M1693" s="459">
        <f>L1693</f>
        <v>0</v>
      </c>
      <c r="N1693" s="655"/>
      <c r="O1693" s="656"/>
      <c r="P1693" s="657"/>
      <c r="Q1693" s="671"/>
      <c r="R1693" s="672"/>
      <c r="S1693" s="673"/>
      <c r="T1693" s="457">
        <f>H1687*M1693*N1687*O1687*P1687</f>
        <v>0</v>
      </c>
      <c r="U1693" s="458">
        <f>T1693</f>
        <v>0</v>
      </c>
      <c r="V1693" s="42"/>
      <c r="W1693" s="504"/>
      <c r="X1693" s="504"/>
      <c r="Y1693" s="504"/>
      <c r="Z1693" s="506"/>
      <c r="AA1693" s="504"/>
      <c r="AB1693" s="504"/>
      <c r="AC1693" s="506">
        <f>T1693</f>
        <v>0</v>
      </c>
      <c r="AD1693" s="504"/>
    </row>
    <row r="1694" spans="1:30" s="505" customFormat="1" ht="45" hidden="1" customHeight="1">
      <c r="A1694" s="492"/>
      <c r="B1694" s="643"/>
      <c r="C1694" s="515"/>
      <c r="D1694" s="514"/>
      <c r="E1694" s="674"/>
      <c r="F1694" s="675"/>
      <c r="G1694" s="675"/>
      <c r="H1694" s="675"/>
      <c r="I1694" s="675"/>
      <c r="J1694" s="675"/>
      <c r="K1694" s="675"/>
      <c r="L1694" s="675"/>
      <c r="M1694" s="676"/>
      <c r="N1694" s="655"/>
      <c r="O1694" s="656"/>
      <c r="P1694" s="657"/>
      <c r="Q1694" s="677"/>
      <c r="R1694" s="678"/>
      <c r="S1694" s="678"/>
      <c r="T1694" s="678"/>
      <c r="U1694" s="679"/>
      <c r="V1694" s="45"/>
      <c r="W1694" s="504"/>
      <c r="X1694" s="504"/>
      <c r="Y1694" s="504"/>
      <c r="Z1694" s="504"/>
      <c r="AA1694" s="506"/>
      <c r="AB1694" s="504"/>
      <c r="AC1694" s="504"/>
      <c r="AD1694" s="504"/>
    </row>
    <row r="1695" spans="1:30" s="505" customFormat="1" ht="45" hidden="1" customHeight="1" thickBot="1">
      <c r="A1695" s="492"/>
      <c r="B1695" s="644"/>
      <c r="C1695" s="516"/>
      <c r="D1695" s="517"/>
      <c r="E1695" s="680" t="s">
        <v>369</v>
      </c>
      <c r="F1695" s="680" t="s">
        <v>306</v>
      </c>
      <c r="G1695" s="680"/>
      <c r="H1695" s="680"/>
      <c r="I1695" s="680"/>
      <c r="J1695" s="680"/>
      <c r="K1695" s="680"/>
      <c r="L1695" s="499">
        <f>ROUND((I1687+J1687+K1687+L1690)*3.93%,2)</f>
        <v>3.28</v>
      </c>
      <c r="M1695" s="46">
        <f>L1695</f>
        <v>3.28</v>
      </c>
      <c r="N1695" s="658"/>
      <c r="O1695" s="659"/>
      <c r="P1695" s="660"/>
      <c r="Q1695" s="681"/>
      <c r="R1695" s="682"/>
      <c r="S1695" s="683"/>
      <c r="T1695" s="500">
        <f>H1687*M1695*N1687*O1687*P1687</f>
        <v>0</v>
      </c>
      <c r="U1695" s="47">
        <f>T1695</f>
        <v>0</v>
      </c>
      <c r="V1695" s="48"/>
      <c r="W1695" s="504"/>
      <c r="X1695" s="504"/>
      <c r="Y1695" s="504"/>
      <c r="Z1695" s="504"/>
      <c r="AA1695" s="504"/>
      <c r="AB1695" s="506"/>
      <c r="AC1695" s="504"/>
      <c r="AD1695" s="506">
        <f>T1695</f>
        <v>0</v>
      </c>
    </row>
    <row r="1696" spans="1:30" s="488" customFormat="1" ht="150" hidden="1" customHeight="1" thickBot="1">
      <c r="A1696" s="492"/>
      <c r="B1696" s="642">
        <v>2</v>
      </c>
      <c r="C1696" s="511">
        <v>10</v>
      </c>
      <c r="D1696" s="512"/>
      <c r="E1696" s="493" t="s">
        <v>662</v>
      </c>
      <c r="F1696" s="487" t="s">
        <v>755</v>
      </c>
      <c r="G1696" s="645" t="s">
        <v>388</v>
      </c>
      <c r="H1696" s="688">
        <v>0</v>
      </c>
      <c r="I1696" s="494">
        <v>3.46</v>
      </c>
      <c r="J1696" s="494">
        <v>3.19</v>
      </c>
      <c r="K1696" s="494">
        <v>1.88</v>
      </c>
      <c r="L1696" s="494">
        <f>SUM(L1698:L1704)</f>
        <v>1.2999999999999998</v>
      </c>
      <c r="M1696" s="33">
        <f>SUM(I1696:L1696)</f>
        <v>9.8300000000000018</v>
      </c>
      <c r="N1696" s="501">
        <v>1</v>
      </c>
      <c r="O1696" s="502">
        <v>1</v>
      </c>
      <c r="P1696" s="37">
        <v>1</v>
      </c>
      <c r="Q1696" s="34">
        <f>H1696*I1696*N1696*O1696*P1696</f>
        <v>0</v>
      </c>
      <c r="R1696" s="35">
        <f>H1696*J1696*N1696*O1696*P1696</f>
        <v>0</v>
      </c>
      <c r="S1696" s="36">
        <f>H1696*K1696*N1696*O1696*P1696</f>
        <v>0</v>
      </c>
      <c r="T1696" s="36">
        <f>H1696*L1696*N1696*O1696*P1696</f>
        <v>0</v>
      </c>
      <c r="U1696" s="37">
        <f>SUM(Q1696:T1696)</f>
        <v>0</v>
      </c>
      <c r="V1696" s="38">
        <f>(Q1696+R1696+S1696+T1700+T1701+T1702+T1704)*'Прогнозная стоимость РСС ИП '!$M$11+T1699*'Прогнозная стоимость РСС ИП '!$M$10</f>
        <v>0</v>
      </c>
      <c r="W1696" s="39">
        <f>T1696</f>
        <v>0</v>
      </c>
      <c r="X1696" s="39">
        <f>U1696</f>
        <v>0</v>
      </c>
      <c r="Y1696" s="39">
        <f>V1696</f>
        <v>0</v>
      </c>
      <c r="Z1696" s="29"/>
      <c r="AA1696" s="29"/>
      <c r="AB1696" s="29"/>
      <c r="AC1696" s="29"/>
      <c r="AD1696" s="29"/>
    </row>
    <row r="1697" spans="1:30" s="488" customFormat="1" ht="41.25" hidden="1" customHeight="1">
      <c r="A1697" s="492"/>
      <c r="B1697" s="643"/>
      <c r="C1697" s="513"/>
      <c r="D1697" s="514"/>
      <c r="E1697" s="495"/>
      <c r="F1697" s="496"/>
      <c r="G1697" s="646"/>
      <c r="H1697" s="688"/>
      <c r="I1697" s="649"/>
      <c r="J1697" s="650"/>
      <c r="K1697" s="650"/>
      <c r="L1697" s="650"/>
      <c r="M1697" s="651"/>
      <c r="N1697" s="652"/>
      <c r="O1697" s="653"/>
      <c r="P1697" s="654"/>
      <c r="Q1697" s="661"/>
      <c r="R1697" s="662"/>
      <c r="S1697" s="662"/>
      <c r="T1697" s="662"/>
      <c r="U1697" s="663"/>
      <c r="V1697" s="40"/>
      <c r="W1697" s="41"/>
      <c r="X1697" s="41"/>
      <c r="Y1697" s="41"/>
      <c r="Z1697" s="29"/>
      <c r="AA1697" s="29"/>
      <c r="AB1697" s="29"/>
      <c r="AC1697" s="29"/>
      <c r="AD1697" s="29"/>
    </row>
    <row r="1698" spans="1:30" s="488" customFormat="1" ht="41.25" hidden="1" customHeight="1">
      <c r="A1698" s="492"/>
      <c r="B1698" s="643"/>
      <c r="C1698" s="513"/>
      <c r="D1698" s="514"/>
      <c r="E1698" s="664" t="s">
        <v>29</v>
      </c>
      <c r="F1698" s="665"/>
      <c r="G1698" s="665"/>
      <c r="H1698" s="665"/>
      <c r="I1698" s="665"/>
      <c r="J1698" s="665"/>
      <c r="K1698" s="665"/>
      <c r="L1698" s="665"/>
      <c r="M1698" s="666"/>
      <c r="N1698" s="655"/>
      <c r="O1698" s="656"/>
      <c r="P1698" s="657"/>
      <c r="Q1698" s="667"/>
      <c r="R1698" s="689"/>
      <c r="S1698" s="689"/>
      <c r="T1698" s="689"/>
      <c r="U1698" s="690"/>
      <c r="V1698" s="42"/>
      <c r="W1698" s="41"/>
      <c r="X1698" s="41"/>
      <c r="Y1698" s="41"/>
      <c r="Z1698" s="29"/>
      <c r="AA1698" s="29"/>
      <c r="AB1698" s="29"/>
      <c r="AC1698" s="29"/>
      <c r="AD1698" s="29"/>
    </row>
    <row r="1699" spans="1:30" s="488" customFormat="1" ht="41.25" hidden="1" customHeight="1">
      <c r="A1699" s="492"/>
      <c r="B1699" s="643"/>
      <c r="C1699" s="513">
        <v>1010</v>
      </c>
      <c r="D1699" s="514"/>
      <c r="E1699" s="670" t="s">
        <v>30</v>
      </c>
      <c r="F1699" s="670"/>
      <c r="G1699" s="670"/>
      <c r="H1699" s="670"/>
      <c r="I1699" s="670"/>
      <c r="J1699" s="670"/>
      <c r="K1699" s="670"/>
      <c r="L1699" s="498">
        <v>0.48</v>
      </c>
      <c r="M1699" s="459">
        <f>L1699</f>
        <v>0.48</v>
      </c>
      <c r="N1699" s="655"/>
      <c r="O1699" s="656"/>
      <c r="P1699" s="657"/>
      <c r="Q1699" s="671"/>
      <c r="R1699" s="672"/>
      <c r="S1699" s="673"/>
      <c r="T1699" s="457">
        <f>H1696*M1699*N1696*O1696*P1696</f>
        <v>0</v>
      </c>
      <c r="U1699" s="458">
        <f>T1699</f>
        <v>0</v>
      </c>
      <c r="V1699" s="42"/>
      <c r="W1699" s="39"/>
      <c r="X1699" s="41"/>
      <c r="Y1699" s="41"/>
      <c r="Z1699" s="43">
        <f>T1699</f>
        <v>0</v>
      </c>
      <c r="AA1699" s="29"/>
      <c r="AB1699" s="29"/>
      <c r="AC1699" s="29"/>
      <c r="AD1699" s="29"/>
    </row>
    <row r="1700" spans="1:30" s="488" customFormat="1" ht="41.25" hidden="1" customHeight="1">
      <c r="A1700" s="492"/>
      <c r="B1700" s="643"/>
      <c r="C1700" s="513"/>
      <c r="D1700" s="514"/>
      <c r="E1700" s="670" t="s">
        <v>31</v>
      </c>
      <c r="F1700" s="670"/>
      <c r="G1700" s="670"/>
      <c r="H1700" s="670"/>
      <c r="I1700" s="670"/>
      <c r="J1700" s="670"/>
      <c r="K1700" s="670"/>
      <c r="L1700" s="498">
        <f>ROUND((I1696+J1696+K1696)*2.14%,2)</f>
        <v>0.18</v>
      </c>
      <c r="M1700" s="459">
        <f>L1700</f>
        <v>0.18</v>
      </c>
      <c r="N1700" s="655"/>
      <c r="O1700" s="656"/>
      <c r="P1700" s="657"/>
      <c r="Q1700" s="671"/>
      <c r="R1700" s="672"/>
      <c r="S1700" s="673"/>
      <c r="T1700" s="457">
        <f>H1696*M1700*N1696*O1696*P1696</f>
        <v>0</v>
      </c>
      <c r="U1700" s="458">
        <f>T1700</f>
        <v>0</v>
      </c>
      <c r="V1700" s="42"/>
      <c r="W1700" s="41"/>
      <c r="X1700" s="39"/>
      <c r="Y1700" s="41"/>
      <c r="Z1700" s="29"/>
      <c r="AA1700" s="43">
        <f>T1700</f>
        <v>0</v>
      </c>
      <c r="AB1700" s="29"/>
      <c r="AC1700" s="29"/>
      <c r="AD1700" s="29"/>
    </row>
    <row r="1701" spans="1:30" s="488" customFormat="1" ht="41.25" hidden="1" customHeight="1">
      <c r="A1701" s="492"/>
      <c r="B1701" s="643"/>
      <c r="C1701" s="515"/>
      <c r="D1701" s="514"/>
      <c r="E1701" s="670" t="s">
        <v>376</v>
      </c>
      <c r="F1701" s="670"/>
      <c r="G1701" s="670"/>
      <c r="H1701" s="670"/>
      <c r="I1701" s="670"/>
      <c r="J1701" s="670"/>
      <c r="K1701" s="670"/>
      <c r="L1701" s="498">
        <f>ROUND((I1696+J1696+K1696+L1699+L1700+L1704)*3%,2)</f>
        <v>0.28999999999999998</v>
      </c>
      <c r="M1701" s="459">
        <f>L1701</f>
        <v>0.28999999999999998</v>
      </c>
      <c r="N1701" s="655"/>
      <c r="O1701" s="656"/>
      <c r="P1701" s="657"/>
      <c r="Q1701" s="671"/>
      <c r="R1701" s="672"/>
      <c r="S1701" s="673"/>
      <c r="T1701" s="457">
        <f>H1696*M1701*N1696*O1696*P1696</f>
        <v>0</v>
      </c>
      <c r="U1701" s="458">
        <f>T1701</f>
        <v>0</v>
      </c>
      <c r="V1701" s="42"/>
      <c r="W1701" s="41"/>
      <c r="X1701" s="41"/>
      <c r="Y1701" s="39"/>
      <c r="Z1701" s="29"/>
      <c r="AA1701" s="29"/>
      <c r="AB1701" s="43">
        <f>T1701</f>
        <v>0</v>
      </c>
      <c r="AC1701" s="29"/>
      <c r="AD1701" s="29"/>
    </row>
    <row r="1702" spans="1:30" s="488" customFormat="1" ht="54.75" hidden="1" customHeight="1">
      <c r="A1702" s="492"/>
      <c r="B1702" s="643"/>
      <c r="C1702" s="515"/>
      <c r="D1702" s="514"/>
      <c r="E1702" s="670" t="s">
        <v>377</v>
      </c>
      <c r="F1702" s="670"/>
      <c r="G1702" s="670"/>
      <c r="H1702" s="670"/>
      <c r="I1702" s="670"/>
      <c r="J1702" s="670"/>
      <c r="K1702" s="670"/>
      <c r="L1702" s="498">
        <f>2.89-K1696-L1699-L1700-L1704</f>
        <v>0</v>
      </c>
      <c r="M1702" s="459">
        <f>L1702</f>
        <v>0</v>
      </c>
      <c r="N1702" s="655"/>
      <c r="O1702" s="656"/>
      <c r="P1702" s="657"/>
      <c r="Q1702" s="671"/>
      <c r="R1702" s="672"/>
      <c r="S1702" s="673"/>
      <c r="T1702" s="457">
        <f>H1696*M1702*N1696*O1696*P1696</f>
        <v>0</v>
      </c>
      <c r="U1702" s="458">
        <f>T1702</f>
        <v>0</v>
      </c>
      <c r="V1702" s="42"/>
      <c r="W1702" s="41"/>
      <c r="X1702" s="41"/>
      <c r="Y1702" s="41"/>
      <c r="Z1702" s="44"/>
      <c r="AA1702" s="29"/>
      <c r="AB1702" s="29"/>
      <c r="AC1702" s="44">
        <f>T1702</f>
        <v>0</v>
      </c>
      <c r="AD1702" s="29"/>
    </row>
    <row r="1703" spans="1:30" s="488" customFormat="1" ht="45" hidden="1" customHeight="1">
      <c r="A1703" s="492"/>
      <c r="B1703" s="643"/>
      <c r="C1703" s="515"/>
      <c r="D1703" s="514"/>
      <c r="E1703" s="674"/>
      <c r="F1703" s="675"/>
      <c r="G1703" s="675"/>
      <c r="H1703" s="675"/>
      <c r="I1703" s="675"/>
      <c r="J1703" s="675"/>
      <c r="K1703" s="675"/>
      <c r="L1703" s="675"/>
      <c r="M1703" s="676"/>
      <c r="N1703" s="655"/>
      <c r="O1703" s="656"/>
      <c r="P1703" s="657"/>
      <c r="Q1703" s="677"/>
      <c r="R1703" s="678"/>
      <c r="S1703" s="678"/>
      <c r="T1703" s="678"/>
      <c r="U1703" s="679"/>
      <c r="V1703" s="45"/>
      <c r="W1703" s="41"/>
      <c r="X1703" s="41"/>
      <c r="Y1703" s="41"/>
      <c r="Z1703" s="29"/>
      <c r="AA1703" s="44"/>
      <c r="AB1703" s="29"/>
      <c r="AC1703" s="29"/>
      <c r="AD1703" s="29"/>
    </row>
    <row r="1704" spans="1:30" s="488" customFormat="1" ht="45" hidden="1" customHeight="1" thickBot="1">
      <c r="A1704" s="492"/>
      <c r="B1704" s="644"/>
      <c r="C1704" s="516"/>
      <c r="D1704" s="517"/>
      <c r="E1704" s="680" t="s">
        <v>369</v>
      </c>
      <c r="F1704" s="680" t="s">
        <v>306</v>
      </c>
      <c r="G1704" s="680"/>
      <c r="H1704" s="680"/>
      <c r="I1704" s="680"/>
      <c r="J1704" s="680"/>
      <c r="K1704" s="680"/>
      <c r="L1704" s="499">
        <f>ROUND((I1696+J1696+K1696+L1699)*3.93%,2)</f>
        <v>0.35</v>
      </c>
      <c r="M1704" s="46">
        <f>L1704</f>
        <v>0.35</v>
      </c>
      <c r="N1704" s="658"/>
      <c r="O1704" s="659"/>
      <c r="P1704" s="660"/>
      <c r="Q1704" s="681"/>
      <c r="R1704" s="682"/>
      <c r="S1704" s="683"/>
      <c r="T1704" s="500">
        <f>H1696*M1704*N1696*O1696*P1696</f>
        <v>0</v>
      </c>
      <c r="U1704" s="47">
        <f>T1704</f>
        <v>0</v>
      </c>
      <c r="V1704" s="48"/>
      <c r="W1704" s="41"/>
      <c r="X1704" s="41"/>
      <c r="Y1704" s="41"/>
      <c r="Z1704" s="29"/>
      <c r="AA1704" s="29"/>
      <c r="AB1704" s="44"/>
      <c r="AC1704" s="29"/>
      <c r="AD1704" s="44">
        <f>T1704</f>
        <v>0</v>
      </c>
    </row>
    <row r="1705" spans="1:30" s="488" customFormat="1" ht="150" hidden="1" customHeight="1" thickBot="1">
      <c r="A1705" s="492"/>
      <c r="B1705" s="642">
        <v>2</v>
      </c>
      <c r="C1705" s="511">
        <v>10</v>
      </c>
      <c r="D1705" s="512"/>
      <c r="E1705" s="493" t="s">
        <v>663</v>
      </c>
      <c r="F1705" s="487" t="s">
        <v>756</v>
      </c>
      <c r="G1705" s="645" t="s">
        <v>388</v>
      </c>
      <c r="H1705" s="688">
        <v>0</v>
      </c>
      <c r="I1705" s="494">
        <v>7.13</v>
      </c>
      <c r="J1705" s="494">
        <v>4.0999999999999996</v>
      </c>
      <c r="K1705" s="494">
        <v>3.76</v>
      </c>
      <c r="L1705" s="494">
        <f>SUM(L1707:L1713)</f>
        <v>2.2814759155318303</v>
      </c>
      <c r="M1705" s="33">
        <f>SUM(I1705:L1705)</f>
        <v>17.27147591553183</v>
      </c>
      <c r="N1705" s="501">
        <v>1</v>
      </c>
      <c r="O1705" s="502">
        <v>1</v>
      </c>
      <c r="P1705" s="37">
        <v>1</v>
      </c>
      <c r="Q1705" s="34">
        <f>H1705*I1705*N1705*O1705*P1705</f>
        <v>0</v>
      </c>
      <c r="R1705" s="35">
        <f>H1705*J1705*N1705*O1705*P1705</f>
        <v>0</v>
      </c>
      <c r="S1705" s="36">
        <f>H1705*K1705*N1705*O1705*P1705</f>
        <v>0</v>
      </c>
      <c r="T1705" s="36">
        <f>H1705*L1705*N1705*O1705*P1705</f>
        <v>0</v>
      </c>
      <c r="U1705" s="37">
        <f>SUM(Q1705:T1705)</f>
        <v>0</v>
      </c>
      <c r="V1705" s="38">
        <f>(Q1705+R1705+S1705+T1709+T1710+T1711+T1713)*'Прогнозная стоимость РСС ИП '!$M$11+T1708*'Прогнозная стоимость РСС ИП '!$M$10</f>
        <v>0</v>
      </c>
      <c r="W1705" s="39">
        <f>T1705</f>
        <v>0</v>
      </c>
      <c r="X1705" s="39">
        <f>U1705</f>
        <v>0</v>
      </c>
      <c r="Y1705" s="39">
        <f>V1705</f>
        <v>0</v>
      </c>
      <c r="Z1705" s="29"/>
      <c r="AA1705" s="29"/>
      <c r="AB1705" s="29"/>
      <c r="AC1705" s="29"/>
      <c r="AD1705" s="29"/>
    </row>
    <row r="1706" spans="1:30" s="488" customFormat="1" ht="41.25" hidden="1" customHeight="1">
      <c r="A1706" s="492"/>
      <c r="B1706" s="643"/>
      <c r="C1706" s="513"/>
      <c r="D1706" s="514"/>
      <c r="E1706" s="495"/>
      <c r="F1706" s="496"/>
      <c r="G1706" s="646"/>
      <c r="H1706" s="688"/>
      <c r="I1706" s="649"/>
      <c r="J1706" s="650"/>
      <c r="K1706" s="650"/>
      <c r="L1706" s="650"/>
      <c r="M1706" s="651"/>
      <c r="N1706" s="652"/>
      <c r="O1706" s="653"/>
      <c r="P1706" s="654"/>
      <c r="Q1706" s="661"/>
      <c r="R1706" s="662"/>
      <c r="S1706" s="662"/>
      <c r="T1706" s="662"/>
      <c r="U1706" s="663"/>
      <c r="V1706" s="40"/>
      <c r="W1706" s="41"/>
      <c r="X1706" s="41"/>
      <c r="Y1706" s="41"/>
      <c r="Z1706" s="29"/>
      <c r="AA1706" s="29"/>
      <c r="AB1706" s="29"/>
      <c r="AC1706" s="29"/>
      <c r="AD1706" s="29"/>
    </row>
    <row r="1707" spans="1:30" s="488" customFormat="1" ht="41.25" hidden="1" customHeight="1">
      <c r="A1707" s="492"/>
      <c r="B1707" s="643"/>
      <c r="C1707" s="513"/>
      <c r="D1707" s="514"/>
      <c r="E1707" s="664" t="s">
        <v>29</v>
      </c>
      <c r="F1707" s="665"/>
      <c r="G1707" s="665"/>
      <c r="H1707" s="665"/>
      <c r="I1707" s="665"/>
      <c r="J1707" s="665"/>
      <c r="K1707" s="665"/>
      <c r="L1707" s="665"/>
      <c r="M1707" s="666"/>
      <c r="N1707" s="655"/>
      <c r="O1707" s="656"/>
      <c r="P1707" s="657"/>
      <c r="Q1707" s="667"/>
      <c r="R1707" s="689"/>
      <c r="S1707" s="689"/>
      <c r="T1707" s="689"/>
      <c r="U1707" s="690"/>
      <c r="V1707" s="42"/>
      <c r="W1707" s="41"/>
      <c r="X1707" s="41"/>
      <c r="Y1707" s="41"/>
      <c r="Z1707" s="29"/>
      <c r="AA1707" s="29"/>
      <c r="AB1707" s="29"/>
      <c r="AC1707" s="29"/>
      <c r="AD1707" s="29"/>
    </row>
    <row r="1708" spans="1:30" s="488" customFormat="1" ht="41.25" hidden="1" customHeight="1">
      <c r="A1708" s="492"/>
      <c r="B1708" s="643"/>
      <c r="C1708" s="513">
        <v>1010</v>
      </c>
      <c r="D1708" s="514"/>
      <c r="E1708" s="670" t="s">
        <v>30</v>
      </c>
      <c r="F1708" s="670"/>
      <c r="G1708" s="670"/>
      <c r="H1708" s="670"/>
      <c r="I1708" s="670"/>
      <c r="J1708" s="670"/>
      <c r="K1708" s="670"/>
      <c r="L1708" s="498">
        <v>0.84147591553183332</v>
      </c>
      <c r="M1708" s="459">
        <f>L1708</f>
        <v>0.84147591553183332</v>
      </c>
      <c r="N1708" s="655"/>
      <c r="O1708" s="656"/>
      <c r="P1708" s="657"/>
      <c r="Q1708" s="671"/>
      <c r="R1708" s="672"/>
      <c r="S1708" s="673"/>
      <c r="T1708" s="457">
        <f>H1705*M1708*N1705*O1705*P1705</f>
        <v>0</v>
      </c>
      <c r="U1708" s="458">
        <f>T1708</f>
        <v>0</v>
      </c>
      <c r="V1708" s="42"/>
      <c r="W1708" s="39"/>
      <c r="X1708" s="41"/>
      <c r="Y1708" s="41"/>
      <c r="Z1708" s="43">
        <f>T1708</f>
        <v>0</v>
      </c>
      <c r="AA1708" s="29"/>
      <c r="AB1708" s="29"/>
      <c r="AC1708" s="29"/>
      <c r="AD1708" s="29"/>
    </row>
    <row r="1709" spans="1:30" s="488" customFormat="1" ht="41.25" hidden="1" customHeight="1">
      <c r="A1709" s="492"/>
      <c r="B1709" s="643"/>
      <c r="C1709" s="513"/>
      <c r="D1709" s="514"/>
      <c r="E1709" s="670" t="s">
        <v>31</v>
      </c>
      <c r="F1709" s="670"/>
      <c r="G1709" s="670"/>
      <c r="H1709" s="670"/>
      <c r="I1709" s="670"/>
      <c r="J1709" s="670"/>
      <c r="K1709" s="670"/>
      <c r="L1709" s="498">
        <f>ROUND((I1705+J1705+K1705)*2.14%,2)</f>
        <v>0.32</v>
      </c>
      <c r="M1709" s="459">
        <f>L1709</f>
        <v>0.32</v>
      </c>
      <c r="N1709" s="655"/>
      <c r="O1709" s="656"/>
      <c r="P1709" s="657"/>
      <c r="Q1709" s="671"/>
      <c r="R1709" s="672"/>
      <c r="S1709" s="673"/>
      <c r="T1709" s="457">
        <f>H1705*M1709*N1705*O1705*P1705</f>
        <v>0</v>
      </c>
      <c r="U1709" s="458">
        <f>T1709</f>
        <v>0</v>
      </c>
      <c r="V1709" s="42"/>
      <c r="W1709" s="41"/>
      <c r="X1709" s="39"/>
      <c r="Y1709" s="41"/>
      <c r="Z1709" s="29"/>
      <c r="AA1709" s="43">
        <f>T1709</f>
        <v>0</v>
      </c>
      <c r="AB1709" s="29"/>
      <c r="AC1709" s="29"/>
      <c r="AD1709" s="29"/>
    </row>
    <row r="1710" spans="1:30" s="488" customFormat="1" ht="41.25" hidden="1" customHeight="1">
      <c r="A1710" s="492"/>
      <c r="B1710" s="643"/>
      <c r="C1710" s="515"/>
      <c r="D1710" s="514"/>
      <c r="E1710" s="670" t="s">
        <v>376</v>
      </c>
      <c r="F1710" s="670"/>
      <c r="G1710" s="670"/>
      <c r="H1710" s="670"/>
      <c r="I1710" s="670"/>
      <c r="J1710" s="670"/>
      <c r="K1710" s="670"/>
      <c r="L1710" s="498">
        <f>ROUND((I1705+J1705+K1705+L1708+L1709+L1713)*3%,2)</f>
        <v>0.5</v>
      </c>
      <c r="M1710" s="459">
        <f>L1710</f>
        <v>0.5</v>
      </c>
      <c r="N1710" s="655"/>
      <c r="O1710" s="656"/>
      <c r="P1710" s="657"/>
      <c r="Q1710" s="671"/>
      <c r="R1710" s="672"/>
      <c r="S1710" s="673"/>
      <c r="T1710" s="457">
        <f>H1705*M1710*N1705*O1705*P1705</f>
        <v>0</v>
      </c>
      <c r="U1710" s="458">
        <f>T1710</f>
        <v>0</v>
      </c>
      <c r="V1710" s="42"/>
      <c r="W1710" s="41"/>
      <c r="X1710" s="41"/>
      <c r="Y1710" s="39"/>
      <c r="Z1710" s="29"/>
      <c r="AA1710" s="29"/>
      <c r="AB1710" s="43">
        <f>T1710</f>
        <v>0</v>
      </c>
      <c r="AC1710" s="29"/>
      <c r="AD1710" s="29"/>
    </row>
    <row r="1711" spans="1:30" s="488" customFormat="1" ht="54.75" hidden="1" customHeight="1">
      <c r="A1711" s="492"/>
      <c r="B1711" s="643"/>
      <c r="C1711" s="515"/>
      <c r="D1711" s="514"/>
      <c r="E1711" s="670" t="s">
        <v>377</v>
      </c>
      <c r="F1711" s="670"/>
      <c r="G1711" s="670"/>
      <c r="H1711" s="670"/>
      <c r="I1711" s="670"/>
      <c r="J1711" s="670"/>
      <c r="K1711" s="670"/>
      <c r="L1711" s="498">
        <f>5.54147591553183-K1705-L1708-L1709-L1713</f>
        <v>-2.9976021664879227E-15</v>
      </c>
      <c r="M1711" s="459">
        <f>L1711</f>
        <v>-2.9976021664879227E-15</v>
      </c>
      <c r="N1711" s="655"/>
      <c r="O1711" s="656"/>
      <c r="P1711" s="657"/>
      <c r="Q1711" s="671"/>
      <c r="R1711" s="672"/>
      <c r="S1711" s="673"/>
      <c r="T1711" s="457">
        <f>H1705*M1711*N1705*O1705*P1705</f>
        <v>0</v>
      </c>
      <c r="U1711" s="458">
        <f>T1711</f>
        <v>0</v>
      </c>
      <c r="V1711" s="42"/>
      <c r="W1711" s="41"/>
      <c r="X1711" s="41"/>
      <c r="Y1711" s="41"/>
      <c r="Z1711" s="44"/>
      <c r="AA1711" s="29"/>
      <c r="AB1711" s="29"/>
      <c r="AC1711" s="44">
        <f>T1711</f>
        <v>0</v>
      </c>
      <c r="AD1711" s="29"/>
    </row>
    <row r="1712" spans="1:30" s="488" customFormat="1" ht="45" hidden="1" customHeight="1">
      <c r="A1712" s="492"/>
      <c r="B1712" s="643"/>
      <c r="C1712" s="515"/>
      <c r="D1712" s="514"/>
      <c r="E1712" s="674"/>
      <c r="F1712" s="675"/>
      <c r="G1712" s="675"/>
      <c r="H1712" s="675"/>
      <c r="I1712" s="675"/>
      <c r="J1712" s="675"/>
      <c r="K1712" s="675"/>
      <c r="L1712" s="675"/>
      <c r="M1712" s="676"/>
      <c r="N1712" s="655"/>
      <c r="O1712" s="656"/>
      <c r="P1712" s="657"/>
      <c r="Q1712" s="677"/>
      <c r="R1712" s="678"/>
      <c r="S1712" s="678"/>
      <c r="T1712" s="678"/>
      <c r="U1712" s="679"/>
      <c r="V1712" s="45"/>
      <c r="W1712" s="41"/>
      <c r="X1712" s="41"/>
      <c r="Y1712" s="41"/>
      <c r="Z1712" s="29"/>
      <c r="AA1712" s="44"/>
      <c r="AB1712" s="29"/>
      <c r="AC1712" s="29"/>
      <c r="AD1712" s="29"/>
    </row>
    <row r="1713" spans="1:30" s="488" customFormat="1" ht="45" hidden="1" customHeight="1" thickBot="1">
      <c r="A1713" s="492"/>
      <c r="B1713" s="644"/>
      <c r="C1713" s="516"/>
      <c r="D1713" s="517"/>
      <c r="E1713" s="680" t="s">
        <v>369</v>
      </c>
      <c r="F1713" s="680" t="s">
        <v>306</v>
      </c>
      <c r="G1713" s="680"/>
      <c r="H1713" s="680"/>
      <c r="I1713" s="680"/>
      <c r="J1713" s="680"/>
      <c r="K1713" s="680"/>
      <c r="L1713" s="499">
        <f>ROUND((I1705+J1705+K1705+L1708)*3.93%,2)</f>
        <v>0.62</v>
      </c>
      <c r="M1713" s="46">
        <f>L1713</f>
        <v>0.62</v>
      </c>
      <c r="N1713" s="658"/>
      <c r="O1713" s="659"/>
      <c r="P1713" s="660"/>
      <c r="Q1713" s="681"/>
      <c r="R1713" s="682"/>
      <c r="S1713" s="683"/>
      <c r="T1713" s="500">
        <f>H1705*M1713*N1705*O1705*P1705</f>
        <v>0</v>
      </c>
      <c r="U1713" s="47">
        <f>T1713</f>
        <v>0</v>
      </c>
      <c r="V1713" s="48"/>
      <c r="W1713" s="41"/>
      <c r="X1713" s="41"/>
      <c r="Y1713" s="41"/>
      <c r="Z1713" s="29"/>
      <c r="AA1713" s="29"/>
      <c r="AB1713" s="44"/>
      <c r="AC1713" s="29"/>
      <c r="AD1713" s="44">
        <f>T1713</f>
        <v>0</v>
      </c>
    </row>
    <row r="1714" spans="1:30" s="488" customFormat="1" ht="150" hidden="1" customHeight="1" thickBot="1">
      <c r="A1714" s="492"/>
      <c r="B1714" s="642">
        <v>2</v>
      </c>
      <c r="C1714" s="511">
        <v>10</v>
      </c>
      <c r="D1714" s="512"/>
      <c r="E1714" s="493" t="s">
        <v>664</v>
      </c>
      <c r="F1714" s="487" t="s">
        <v>757</v>
      </c>
      <c r="G1714" s="645" t="s">
        <v>388</v>
      </c>
      <c r="H1714" s="688">
        <v>0</v>
      </c>
      <c r="I1714" s="494">
        <v>12.71</v>
      </c>
      <c r="J1714" s="494">
        <v>5.19</v>
      </c>
      <c r="K1714" s="494">
        <v>3.76</v>
      </c>
      <c r="L1714" s="494">
        <f>SUM(L1716:L1722)</f>
        <v>3.3</v>
      </c>
      <c r="M1714" s="33">
        <f>SUM(I1714:L1714)</f>
        <v>24.960000000000004</v>
      </c>
      <c r="N1714" s="501">
        <v>1</v>
      </c>
      <c r="O1714" s="502">
        <v>1</v>
      </c>
      <c r="P1714" s="37">
        <v>1</v>
      </c>
      <c r="Q1714" s="34">
        <f>H1714*I1714*N1714*O1714*P1714</f>
        <v>0</v>
      </c>
      <c r="R1714" s="35">
        <f>H1714*J1714*N1714*O1714*P1714</f>
        <v>0</v>
      </c>
      <c r="S1714" s="36">
        <f>H1714*K1714*N1714*O1714*P1714</f>
        <v>0</v>
      </c>
      <c r="T1714" s="36">
        <f>H1714*L1714*N1714*O1714*P1714</f>
        <v>0</v>
      </c>
      <c r="U1714" s="37">
        <f>SUM(Q1714:T1714)</f>
        <v>0</v>
      </c>
      <c r="V1714" s="38">
        <f>(Q1714+R1714+S1714+T1718+T1719+T1720+T1722)*'Прогнозная стоимость РСС ИП '!$M$11+T1717*'Прогнозная стоимость РСС ИП '!$M$10</f>
        <v>0</v>
      </c>
      <c r="W1714" s="39">
        <f>T1714</f>
        <v>0</v>
      </c>
      <c r="X1714" s="39">
        <f>U1714</f>
        <v>0</v>
      </c>
      <c r="Y1714" s="39">
        <f>V1714</f>
        <v>0</v>
      </c>
      <c r="Z1714" s="29"/>
      <c r="AA1714" s="29"/>
      <c r="AB1714" s="29"/>
      <c r="AC1714" s="29"/>
      <c r="AD1714" s="29"/>
    </row>
    <row r="1715" spans="1:30" s="488" customFormat="1" ht="41.25" hidden="1" customHeight="1">
      <c r="A1715" s="492"/>
      <c r="B1715" s="643"/>
      <c r="C1715" s="513"/>
      <c r="D1715" s="514"/>
      <c r="E1715" s="495"/>
      <c r="F1715" s="496"/>
      <c r="G1715" s="646"/>
      <c r="H1715" s="688"/>
      <c r="I1715" s="649"/>
      <c r="J1715" s="650"/>
      <c r="K1715" s="650"/>
      <c r="L1715" s="650"/>
      <c r="M1715" s="651"/>
      <c r="N1715" s="652"/>
      <c r="O1715" s="653"/>
      <c r="P1715" s="654"/>
      <c r="Q1715" s="661"/>
      <c r="R1715" s="662"/>
      <c r="S1715" s="662"/>
      <c r="T1715" s="662"/>
      <c r="U1715" s="663"/>
      <c r="V1715" s="40"/>
      <c r="W1715" s="41"/>
      <c r="X1715" s="41"/>
      <c r="Y1715" s="41"/>
      <c r="Z1715" s="29"/>
      <c r="AA1715" s="29"/>
      <c r="AB1715" s="29"/>
      <c r="AC1715" s="29"/>
      <c r="AD1715" s="29"/>
    </row>
    <row r="1716" spans="1:30" s="488" customFormat="1" ht="41.25" hidden="1" customHeight="1">
      <c r="A1716" s="492"/>
      <c r="B1716" s="643"/>
      <c r="C1716" s="513"/>
      <c r="D1716" s="514"/>
      <c r="E1716" s="664" t="s">
        <v>29</v>
      </c>
      <c r="F1716" s="665"/>
      <c r="G1716" s="665"/>
      <c r="H1716" s="665"/>
      <c r="I1716" s="665"/>
      <c r="J1716" s="665"/>
      <c r="K1716" s="665"/>
      <c r="L1716" s="665"/>
      <c r="M1716" s="666"/>
      <c r="N1716" s="655"/>
      <c r="O1716" s="656"/>
      <c r="P1716" s="657"/>
      <c r="Q1716" s="667"/>
      <c r="R1716" s="689"/>
      <c r="S1716" s="689"/>
      <c r="T1716" s="689"/>
      <c r="U1716" s="690"/>
      <c r="V1716" s="42"/>
      <c r="W1716" s="41"/>
      <c r="X1716" s="41"/>
      <c r="Y1716" s="41"/>
      <c r="Z1716" s="29"/>
      <c r="AA1716" s="29"/>
      <c r="AB1716" s="29"/>
      <c r="AC1716" s="29"/>
      <c r="AD1716" s="29"/>
    </row>
    <row r="1717" spans="1:30" s="488" customFormat="1" ht="41.25" hidden="1" customHeight="1">
      <c r="A1717" s="492"/>
      <c r="B1717" s="643"/>
      <c r="C1717" s="513">
        <v>1010</v>
      </c>
      <c r="D1717" s="514"/>
      <c r="E1717" s="670" t="s">
        <v>30</v>
      </c>
      <c r="F1717" s="670"/>
      <c r="G1717" s="670"/>
      <c r="H1717" s="670"/>
      <c r="I1717" s="670"/>
      <c r="J1717" s="670"/>
      <c r="K1717" s="670"/>
      <c r="L1717" s="498">
        <v>1.21</v>
      </c>
      <c r="M1717" s="459">
        <f>L1717</f>
        <v>1.21</v>
      </c>
      <c r="N1717" s="655"/>
      <c r="O1717" s="656"/>
      <c r="P1717" s="657"/>
      <c r="Q1717" s="671"/>
      <c r="R1717" s="672"/>
      <c r="S1717" s="673"/>
      <c r="T1717" s="457">
        <f>H1714*M1717*N1714*O1714*P1714</f>
        <v>0</v>
      </c>
      <c r="U1717" s="458">
        <f>T1717</f>
        <v>0</v>
      </c>
      <c r="V1717" s="42"/>
      <c r="W1717" s="39"/>
      <c r="X1717" s="41"/>
      <c r="Y1717" s="41"/>
      <c r="Z1717" s="43">
        <f>T1717</f>
        <v>0</v>
      </c>
      <c r="AA1717" s="29"/>
      <c r="AB1717" s="29"/>
      <c r="AC1717" s="29"/>
      <c r="AD1717" s="29"/>
    </row>
    <row r="1718" spans="1:30" s="488" customFormat="1" ht="41.25" hidden="1" customHeight="1">
      <c r="A1718" s="492"/>
      <c r="B1718" s="643"/>
      <c r="C1718" s="513"/>
      <c r="D1718" s="514"/>
      <c r="E1718" s="670" t="s">
        <v>31</v>
      </c>
      <c r="F1718" s="670"/>
      <c r="G1718" s="670"/>
      <c r="H1718" s="670"/>
      <c r="I1718" s="670"/>
      <c r="J1718" s="670"/>
      <c r="K1718" s="670"/>
      <c r="L1718" s="498">
        <f>ROUND((I1714+J1714+K1714)*2.14%,2)</f>
        <v>0.46</v>
      </c>
      <c r="M1718" s="459">
        <f>L1718</f>
        <v>0.46</v>
      </c>
      <c r="N1718" s="655"/>
      <c r="O1718" s="656"/>
      <c r="P1718" s="657"/>
      <c r="Q1718" s="671"/>
      <c r="R1718" s="672"/>
      <c r="S1718" s="673"/>
      <c r="T1718" s="457">
        <f>H1714*M1718*N1714*O1714*P1714</f>
        <v>0</v>
      </c>
      <c r="U1718" s="458">
        <f>T1718</f>
        <v>0</v>
      </c>
      <c r="V1718" s="42"/>
      <c r="W1718" s="41"/>
      <c r="X1718" s="39"/>
      <c r="Y1718" s="41"/>
      <c r="Z1718" s="29"/>
      <c r="AA1718" s="43">
        <f>T1718</f>
        <v>0</v>
      </c>
      <c r="AB1718" s="29"/>
      <c r="AC1718" s="29"/>
      <c r="AD1718" s="29"/>
    </row>
    <row r="1719" spans="1:30" s="488" customFormat="1" ht="41.25" hidden="1" customHeight="1">
      <c r="A1719" s="492"/>
      <c r="B1719" s="643"/>
      <c r="C1719" s="515"/>
      <c r="D1719" s="514"/>
      <c r="E1719" s="670" t="s">
        <v>376</v>
      </c>
      <c r="F1719" s="670"/>
      <c r="G1719" s="670"/>
      <c r="H1719" s="670"/>
      <c r="I1719" s="670"/>
      <c r="J1719" s="670"/>
      <c r="K1719" s="670"/>
      <c r="L1719" s="498">
        <f>ROUND((I1714+J1714+K1714+L1717+L1718+L1722)*3%,2)</f>
        <v>0.73</v>
      </c>
      <c r="M1719" s="459">
        <f>L1719</f>
        <v>0.73</v>
      </c>
      <c r="N1719" s="655"/>
      <c r="O1719" s="656"/>
      <c r="P1719" s="657"/>
      <c r="Q1719" s="671"/>
      <c r="R1719" s="672"/>
      <c r="S1719" s="673"/>
      <c r="T1719" s="457">
        <f>H1714*M1719*N1714*O1714*P1714</f>
        <v>0</v>
      </c>
      <c r="U1719" s="458">
        <f>T1719</f>
        <v>0</v>
      </c>
      <c r="V1719" s="42"/>
      <c r="W1719" s="41"/>
      <c r="X1719" s="41"/>
      <c r="Y1719" s="39"/>
      <c r="Z1719" s="29"/>
      <c r="AA1719" s="29"/>
      <c r="AB1719" s="43">
        <f>T1719</f>
        <v>0</v>
      </c>
      <c r="AC1719" s="29"/>
      <c r="AD1719" s="29"/>
    </row>
    <row r="1720" spans="1:30" s="488" customFormat="1" ht="54.75" hidden="1" customHeight="1">
      <c r="A1720" s="492"/>
      <c r="B1720" s="643"/>
      <c r="C1720" s="515"/>
      <c r="D1720" s="514"/>
      <c r="E1720" s="670" t="s">
        <v>377</v>
      </c>
      <c r="F1720" s="670"/>
      <c r="G1720" s="670"/>
      <c r="H1720" s="670"/>
      <c r="I1720" s="670"/>
      <c r="J1720" s="670"/>
      <c r="K1720" s="670"/>
      <c r="L1720" s="498">
        <f>6.33-K1714-L1717-L1718-L1722</f>
        <v>0</v>
      </c>
      <c r="M1720" s="459">
        <f>L1720</f>
        <v>0</v>
      </c>
      <c r="N1720" s="655"/>
      <c r="O1720" s="656"/>
      <c r="P1720" s="657"/>
      <c r="Q1720" s="671"/>
      <c r="R1720" s="672"/>
      <c r="S1720" s="673"/>
      <c r="T1720" s="457">
        <f>H1714*M1720*N1714*O1714*P1714</f>
        <v>0</v>
      </c>
      <c r="U1720" s="458">
        <f>T1720</f>
        <v>0</v>
      </c>
      <c r="V1720" s="42"/>
      <c r="W1720" s="41"/>
      <c r="X1720" s="41"/>
      <c r="Y1720" s="41"/>
      <c r="Z1720" s="44"/>
      <c r="AA1720" s="29"/>
      <c r="AB1720" s="29"/>
      <c r="AC1720" s="44">
        <f>T1720</f>
        <v>0</v>
      </c>
      <c r="AD1720" s="29"/>
    </row>
    <row r="1721" spans="1:30" s="488" customFormat="1" ht="45" hidden="1" customHeight="1">
      <c r="A1721" s="492"/>
      <c r="B1721" s="643"/>
      <c r="C1721" s="515"/>
      <c r="D1721" s="514"/>
      <c r="E1721" s="674"/>
      <c r="F1721" s="675"/>
      <c r="G1721" s="675"/>
      <c r="H1721" s="675"/>
      <c r="I1721" s="675"/>
      <c r="J1721" s="675"/>
      <c r="K1721" s="675"/>
      <c r="L1721" s="675"/>
      <c r="M1721" s="676"/>
      <c r="N1721" s="655"/>
      <c r="O1721" s="656"/>
      <c r="P1721" s="657"/>
      <c r="Q1721" s="677"/>
      <c r="R1721" s="678"/>
      <c r="S1721" s="678"/>
      <c r="T1721" s="678"/>
      <c r="U1721" s="679"/>
      <c r="V1721" s="45"/>
      <c r="W1721" s="41"/>
      <c r="X1721" s="41"/>
      <c r="Y1721" s="41"/>
      <c r="Z1721" s="29"/>
      <c r="AA1721" s="44"/>
      <c r="AB1721" s="29"/>
      <c r="AC1721" s="29"/>
      <c r="AD1721" s="29"/>
    </row>
    <row r="1722" spans="1:30" s="488" customFormat="1" ht="45" hidden="1" customHeight="1" thickBot="1">
      <c r="A1722" s="492"/>
      <c r="B1722" s="644"/>
      <c r="C1722" s="516"/>
      <c r="D1722" s="517"/>
      <c r="E1722" s="680" t="s">
        <v>369</v>
      </c>
      <c r="F1722" s="680" t="s">
        <v>306</v>
      </c>
      <c r="G1722" s="680"/>
      <c r="H1722" s="680"/>
      <c r="I1722" s="680"/>
      <c r="J1722" s="680"/>
      <c r="K1722" s="680"/>
      <c r="L1722" s="499">
        <f>ROUND((I1714+J1714+K1714+L1717)*3.93%,2)</f>
        <v>0.9</v>
      </c>
      <c r="M1722" s="46">
        <f>L1722</f>
        <v>0.9</v>
      </c>
      <c r="N1722" s="658"/>
      <c r="O1722" s="659"/>
      <c r="P1722" s="660"/>
      <c r="Q1722" s="681"/>
      <c r="R1722" s="682"/>
      <c r="S1722" s="683"/>
      <c r="T1722" s="500">
        <f>H1714*M1722*N1714*O1714*P1714</f>
        <v>0</v>
      </c>
      <c r="U1722" s="47">
        <f>T1722</f>
        <v>0</v>
      </c>
      <c r="V1722" s="48"/>
      <c r="W1722" s="41"/>
      <c r="X1722" s="41"/>
      <c r="Y1722" s="41"/>
      <c r="Z1722" s="29"/>
      <c r="AA1722" s="29"/>
      <c r="AB1722" s="44"/>
      <c r="AC1722" s="29"/>
      <c r="AD1722" s="44">
        <f>T1722</f>
        <v>0</v>
      </c>
    </row>
    <row r="1723" spans="1:30" s="488" customFormat="1" ht="150" hidden="1" customHeight="1" thickBot="1">
      <c r="A1723" s="492"/>
      <c r="B1723" s="642">
        <v>2</v>
      </c>
      <c r="C1723" s="511">
        <v>10</v>
      </c>
      <c r="D1723" s="512"/>
      <c r="E1723" s="493" t="s">
        <v>665</v>
      </c>
      <c r="F1723" s="490" t="s">
        <v>758</v>
      </c>
      <c r="G1723" s="645" t="s">
        <v>388</v>
      </c>
      <c r="H1723" s="688">
        <v>0</v>
      </c>
      <c r="I1723" s="494">
        <v>14.73</v>
      </c>
      <c r="J1723" s="494">
        <v>6.93</v>
      </c>
      <c r="K1723" s="494">
        <v>3.76</v>
      </c>
      <c r="L1723" s="494">
        <f>SUM(L1725:L1731)</f>
        <v>3.88</v>
      </c>
      <c r="M1723" s="33">
        <f>SUM(I1723:L1723)</f>
        <v>29.3</v>
      </c>
      <c r="N1723" s="501">
        <v>1</v>
      </c>
      <c r="O1723" s="502">
        <v>1</v>
      </c>
      <c r="P1723" s="37">
        <v>1</v>
      </c>
      <c r="Q1723" s="34">
        <f>H1723*I1723*N1723*O1723*P1723</f>
        <v>0</v>
      </c>
      <c r="R1723" s="35">
        <f>H1723*J1723*N1723*O1723*P1723</f>
        <v>0</v>
      </c>
      <c r="S1723" s="36">
        <f>H1723*K1723*N1723*O1723*P1723</f>
        <v>0</v>
      </c>
      <c r="T1723" s="36">
        <f>H1723*L1723*N1723*O1723*P1723</f>
        <v>0</v>
      </c>
      <c r="U1723" s="37">
        <f>SUM(Q1723:T1723)</f>
        <v>0</v>
      </c>
      <c r="V1723" s="38">
        <f>(Q1723+R1723+S1723+T1727+T1728+T1729+T1731)*'Прогнозная стоимость РСС ИП '!$M$11+T1726*'Прогнозная стоимость РСС ИП '!$M$10</f>
        <v>0</v>
      </c>
      <c r="W1723" s="39">
        <f>T1723</f>
        <v>0</v>
      </c>
      <c r="X1723" s="39">
        <f>U1723</f>
        <v>0</v>
      </c>
      <c r="Y1723" s="39">
        <f>V1723</f>
        <v>0</v>
      </c>
      <c r="Z1723" s="29"/>
      <c r="AA1723" s="29"/>
      <c r="AB1723" s="29"/>
      <c r="AC1723" s="29"/>
      <c r="AD1723" s="29"/>
    </row>
    <row r="1724" spans="1:30" s="488" customFormat="1" ht="41.25" hidden="1" customHeight="1">
      <c r="A1724" s="492"/>
      <c r="B1724" s="643"/>
      <c r="C1724" s="513"/>
      <c r="D1724" s="514"/>
      <c r="E1724" s="495"/>
      <c r="F1724" s="496"/>
      <c r="G1724" s="646"/>
      <c r="H1724" s="688"/>
      <c r="I1724" s="649"/>
      <c r="J1724" s="650"/>
      <c r="K1724" s="650"/>
      <c r="L1724" s="650"/>
      <c r="M1724" s="651"/>
      <c r="N1724" s="652"/>
      <c r="O1724" s="653"/>
      <c r="P1724" s="654"/>
      <c r="Q1724" s="661"/>
      <c r="R1724" s="662"/>
      <c r="S1724" s="662"/>
      <c r="T1724" s="662"/>
      <c r="U1724" s="663"/>
      <c r="V1724" s="40"/>
      <c r="W1724" s="41"/>
      <c r="X1724" s="41"/>
      <c r="Y1724" s="41"/>
      <c r="Z1724" s="29"/>
      <c r="AA1724" s="29"/>
      <c r="AB1724" s="29"/>
      <c r="AC1724" s="29"/>
      <c r="AD1724" s="29"/>
    </row>
    <row r="1725" spans="1:30" s="488" customFormat="1" ht="41.25" hidden="1" customHeight="1">
      <c r="A1725" s="492"/>
      <c r="B1725" s="643"/>
      <c r="C1725" s="513"/>
      <c r="D1725" s="514"/>
      <c r="E1725" s="664" t="s">
        <v>29</v>
      </c>
      <c r="F1725" s="665"/>
      <c r="G1725" s="665"/>
      <c r="H1725" s="665"/>
      <c r="I1725" s="665"/>
      <c r="J1725" s="665"/>
      <c r="K1725" s="665"/>
      <c r="L1725" s="665"/>
      <c r="M1725" s="666"/>
      <c r="N1725" s="655"/>
      <c r="O1725" s="656"/>
      <c r="P1725" s="657"/>
      <c r="Q1725" s="667"/>
      <c r="R1725" s="689"/>
      <c r="S1725" s="689"/>
      <c r="T1725" s="689"/>
      <c r="U1725" s="690"/>
      <c r="V1725" s="42"/>
      <c r="W1725" s="41"/>
      <c r="X1725" s="41"/>
      <c r="Y1725" s="41"/>
      <c r="Z1725" s="29"/>
      <c r="AA1725" s="29"/>
      <c r="AB1725" s="29"/>
      <c r="AC1725" s="29"/>
      <c r="AD1725" s="29"/>
    </row>
    <row r="1726" spans="1:30" s="488" customFormat="1" ht="41.25" hidden="1" customHeight="1">
      <c r="A1726" s="492"/>
      <c r="B1726" s="643"/>
      <c r="C1726" s="513">
        <v>1010</v>
      </c>
      <c r="D1726" s="514"/>
      <c r="E1726" s="670" t="s">
        <v>30</v>
      </c>
      <c r="F1726" s="670"/>
      <c r="G1726" s="670"/>
      <c r="H1726" s="670"/>
      <c r="I1726" s="670"/>
      <c r="J1726" s="670"/>
      <c r="K1726" s="670"/>
      <c r="L1726" s="498">
        <v>1.43</v>
      </c>
      <c r="M1726" s="459">
        <f>L1726</f>
        <v>1.43</v>
      </c>
      <c r="N1726" s="655"/>
      <c r="O1726" s="656"/>
      <c r="P1726" s="657"/>
      <c r="Q1726" s="671"/>
      <c r="R1726" s="672"/>
      <c r="S1726" s="673"/>
      <c r="T1726" s="457">
        <f>H1723*M1726*N1723*O1723*P1723</f>
        <v>0</v>
      </c>
      <c r="U1726" s="458">
        <f>T1726</f>
        <v>0</v>
      </c>
      <c r="V1726" s="42"/>
      <c r="W1726" s="39"/>
      <c r="X1726" s="41"/>
      <c r="Y1726" s="41"/>
      <c r="Z1726" s="43">
        <f>T1726</f>
        <v>0</v>
      </c>
      <c r="AA1726" s="29"/>
      <c r="AB1726" s="29"/>
      <c r="AC1726" s="29"/>
      <c r="AD1726" s="29"/>
    </row>
    <row r="1727" spans="1:30" s="488" customFormat="1" ht="41.25" hidden="1" customHeight="1">
      <c r="A1727" s="492"/>
      <c r="B1727" s="643"/>
      <c r="C1727" s="513"/>
      <c r="D1727" s="514"/>
      <c r="E1727" s="670" t="s">
        <v>31</v>
      </c>
      <c r="F1727" s="670"/>
      <c r="G1727" s="670"/>
      <c r="H1727" s="670"/>
      <c r="I1727" s="670"/>
      <c r="J1727" s="670"/>
      <c r="K1727" s="670"/>
      <c r="L1727" s="498">
        <f>ROUND((I1723+J1723+K1723)*2.14%,2)</f>
        <v>0.54</v>
      </c>
      <c r="M1727" s="459">
        <f>L1727</f>
        <v>0.54</v>
      </c>
      <c r="N1727" s="655"/>
      <c r="O1727" s="656"/>
      <c r="P1727" s="657"/>
      <c r="Q1727" s="671"/>
      <c r="R1727" s="672"/>
      <c r="S1727" s="673"/>
      <c r="T1727" s="457">
        <f>H1723*M1727*N1723*O1723*P1723</f>
        <v>0</v>
      </c>
      <c r="U1727" s="458">
        <f>T1727</f>
        <v>0</v>
      </c>
      <c r="V1727" s="42"/>
      <c r="W1727" s="41"/>
      <c r="X1727" s="39"/>
      <c r="Y1727" s="41"/>
      <c r="Z1727" s="29"/>
      <c r="AA1727" s="43">
        <f>T1727</f>
        <v>0</v>
      </c>
      <c r="AB1727" s="29"/>
      <c r="AC1727" s="29"/>
      <c r="AD1727" s="29"/>
    </row>
    <row r="1728" spans="1:30" s="488" customFormat="1" ht="41.25" hidden="1" customHeight="1">
      <c r="A1728" s="492"/>
      <c r="B1728" s="643"/>
      <c r="C1728" s="515"/>
      <c r="D1728" s="514"/>
      <c r="E1728" s="670" t="s">
        <v>376</v>
      </c>
      <c r="F1728" s="670"/>
      <c r="G1728" s="670"/>
      <c r="H1728" s="670"/>
      <c r="I1728" s="670"/>
      <c r="J1728" s="670"/>
      <c r="K1728" s="670"/>
      <c r="L1728" s="498">
        <f>ROUND((I1723+J1723+K1723+L1726+L1727+L1731)*3%,2)</f>
        <v>0.85</v>
      </c>
      <c r="M1728" s="459">
        <f>L1728</f>
        <v>0.85</v>
      </c>
      <c r="N1728" s="655"/>
      <c r="O1728" s="656"/>
      <c r="P1728" s="657"/>
      <c r="Q1728" s="671"/>
      <c r="R1728" s="672"/>
      <c r="S1728" s="673"/>
      <c r="T1728" s="457">
        <f>H1723*M1728*N1723*O1723*P1723</f>
        <v>0</v>
      </c>
      <c r="U1728" s="458">
        <f>T1728</f>
        <v>0</v>
      </c>
      <c r="V1728" s="42"/>
      <c r="W1728" s="41"/>
      <c r="X1728" s="41"/>
      <c r="Y1728" s="39"/>
      <c r="Z1728" s="29"/>
      <c r="AA1728" s="29"/>
      <c r="AB1728" s="43">
        <f>T1728</f>
        <v>0</v>
      </c>
      <c r="AC1728" s="29"/>
      <c r="AD1728" s="29"/>
    </row>
    <row r="1729" spans="1:30" s="488" customFormat="1" ht="54.75" hidden="1" customHeight="1">
      <c r="A1729" s="492"/>
      <c r="B1729" s="643"/>
      <c r="C1729" s="515"/>
      <c r="D1729" s="514"/>
      <c r="E1729" s="670" t="s">
        <v>377</v>
      </c>
      <c r="F1729" s="670"/>
      <c r="G1729" s="670"/>
      <c r="H1729" s="670"/>
      <c r="I1729" s="670"/>
      <c r="J1729" s="670"/>
      <c r="K1729" s="670"/>
      <c r="L1729" s="498">
        <f>6.79-K1723-L1726-L1727-L1731</f>
        <v>0</v>
      </c>
      <c r="M1729" s="459">
        <f>L1729</f>
        <v>0</v>
      </c>
      <c r="N1729" s="655"/>
      <c r="O1729" s="656"/>
      <c r="P1729" s="657"/>
      <c r="Q1729" s="671"/>
      <c r="R1729" s="672"/>
      <c r="S1729" s="673"/>
      <c r="T1729" s="457">
        <f>H1723*M1729*N1723*O1723*P1723</f>
        <v>0</v>
      </c>
      <c r="U1729" s="458">
        <f>T1729</f>
        <v>0</v>
      </c>
      <c r="V1729" s="42"/>
      <c r="W1729" s="41"/>
      <c r="X1729" s="41"/>
      <c r="Y1729" s="41"/>
      <c r="Z1729" s="44"/>
      <c r="AA1729" s="29"/>
      <c r="AB1729" s="29"/>
      <c r="AC1729" s="44">
        <f>T1729</f>
        <v>0</v>
      </c>
      <c r="AD1729" s="29"/>
    </row>
    <row r="1730" spans="1:30" s="488" customFormat="1" ht="45" hidden="1" customHeight="1">
      <c r="A1730" s="492"/>
      <c r="B1730" s="643"/>
      <c r="C1730" s="515"/>
      <c r="D1730" s="514"/>
      <c r="E1730" s="674"/>
      <c r="F1730" s="675"/>
      <c r="G1730" s="675"/>
      <c r="H1730" s="675"/>
      <c r="I1730" s="675"/>
      <c r="J1730" s="675"/>
      <c r="K1730" s="675"/>
      <c r="L1730" s="675"/>
      <c r="M1730" s="676"/>
      <c r="N1730" s="655"/>
      <c r="O1730" s="656"/>
      <c r="P1730" s="657"/>
      <c r="Q1730" s="677"/>
      <c r="R1730" s="678"/>
      <c r="S1730" s="678"/>
      <c r="T1730" s="678"/>
      <c r="U1730" s="679"/>
      <c r="V1730" s="45"/>
      <c r="W1730" s="41"/>
      <c r="X1730" s="41"/>
      <c r="Y1730" s="41"/>
      <c r="Z1730" s="29"/>
      <c r="AA1730" s="44"/>
      <c r="AB1730" s="29"/>
      <c r="AC1730" s="29"/>
      <c r="AD1730" s="29"/>
    </row>
    <row r="1731" spans="1:30" s="488" customFormat="1" ht="45" hidden="1" customHeight="1" thickBot="1">
      <c r="A1731" s="492"/>
      <c r="B1731" s="644"/>
      <c r="C1731" s="516"/>
      <c r="D1731" s="517"/>
      <c r="E1731" s="680" t="s">
        <v>369</v>
      </c>
      <c r="F1731" s="680" t="s">
        <v>306</v>
      </c>
      <c r="G1731" s="680"/>
      <c r="H1731" s="680"/>
      <c r="I1731" s="680"/>
      <c r="J1731" s="680"/>
      <c r="K1731" s="680"/>
      <c r="L1731" s="499">
        <f>ROUND((I1723+J1723+K1723+L1726)*3.93%,2)</f>
        <v>1.06</v>
      </c>
      <c r="M1731" s="46">
        <f>L1731</f>
        <v>1.06</v>
      </c>
      <c r="N1731" s="658"/>
      <c r="O1731" s="659"/>
      <c r="P1731" s="660"/>
      <c r="Q1731" s="681"/>
      <c r="R1731" s="682"/>
      <c r="S1731" s="683"/>
      <c r="T1731" s="500">
        <f>H1723*M1731*N1723*O1723*P1723</f>
        <v>0</v>
      </c>
      <c r="U1731" s="47">
        <f>T1731</f>
        <v>0</v>
      </c>
      <c r="V1731" s="48"/>
      <c r="W1731" s="41"/>
      <c r="X1731" s="41"/>
      <c r="Y1731" s="41"/>
      <c r="Z1731" s="29"/>
      <c r="AA1731" s="29"/>
      <c r="AB1731" s="44"/>
      <c r="AC1731" s="29"/>
      <c r="AD1731" s="44">
        <f>T1731</f>
        <v>0</v>
      </c>
    </row>
    <row r="1732" spans="1:30" s="488" customFormat="1" ht="150" hidden="1" customHeight="1" thickBot="1">
      <c r="A1732" s="492"/>
      <c r="B1732" s="642">
        <v>2</v>
      </c>
      <c r="C1732" s="511">
        <v>10</v>
      </c>
      <c r="D1732" s="512"/>
      <c r="E1732" s="493" t="s">
        <v>666</v>
      </c>
      <c r="F1732" s="490" t="s">
        <v>759</v>
      </c>
      <c r="G1732" s="645" t="s">
        <v>388</v>
      </c>
      <c r="H1732" s="688">
        <v>0</v>
      </c>
      <c r="I1732" s="494">
        <v>27.47</v>
      </c>
      <c r="J1732" s="494">
        <v>6.93</v>
      </c>
      <c r="K1732" s="494">
        <v>4.6900000000000004</v>
      </c>
      <c r="L1732" s="494">
        <f>SUM(L1734:L1740)</f>
        <v>5.97</v>
      </c>
      <c r="M1732" s="33">
        <f>SUM(I1732:L1732)</f>
        <v>45.059999999999995</v>
      </c>
      <c r="N1732" s="501">
        <v>1</v>
      </c>
      <c r="O1732" s="502">
        <v>1</v>
      </c>
      <c r="P1732" s="37">
        <v>1</v>
      </c>
      <c r="Q1732" s="34">
        <f>H1732*I1732*N1732*O1732*P1732</f>
        <v>0</v>
      </c>
      <c r="R1732" s="35">
        <f>H1732*J1732*N1732*O1732*P1732</f>
        <v>0</v>
      </c>
      <c r="S1732" s="36">
        <f>H1732*K1732*N1732*O1732*P1732</f>
        <v>0</v>
      </c>
      <c r="T1732" s="36">
        <f>H1732*L1732*N1732*O1732*P1732</f>
        <v>0</v>
      </c>
      <c r="U1732" s="37">
        <f>SUM(Q1732:T1732)</f>
        <v>0</v>
      </c>
      <c r="V1732" s="38">
        <f>(Q1732+R1732+S1732+T1736+T1737+T1738+T1740)*'Прогнозная стоимость РСС ИП '!$M$11+T1735*'Прогнозная стоимость РСС ИП '!$M$10</f>
        <v>0</v>
      </c>
      <c r="W1732" s="39">
        <f>T1732</f>
        <v>0</v>
      </c>
      <c r="X1732" s="39">
        <f>U1732</f>
        <v>0</v>
      </c>
      <c r="Y1732" s="39">
        <f>V1732</f>
        <v>0</v>
      </c>
      <c r="Z1732" s="29"/>
      <c r="AA1732" s="29"/>
      <c r="AB1732" s="29"/>
      <c r="AC1732" s="29"/>
      <c r="AD1732" s="29"/>
    </row>
    <row r="1733" spans="1:30" s="488" customFormat="1" ht="41.25" hidden="1" customHeight="1">
      <c r="A1733" s="492"/>
      <c r="B1733" s="643"/>
      <c r="C1733" s="513"/>
      <c r="D1733" s="514"/>
      <c r="E1733" s="495"/>
      <c r="F1733" s="496"/>
      <c r="G1733" s="646"/>
      <c r="H1733" s="688"/>
      <c r="I1733" s="649"/>
      <c r="J1733" s="650"/>
      <c r="K1733" s="650"/>
      <c r="L1733" s="650"/>
      <c r="M1733" s="651"/>
      <c r="N1733" s="652"/>
      <c r="O1733" s="653"/>
      <c r="P1733" s="654"/>
      <c r="Q1733" s="661"/>
      <c r="R1733" s="662"/>
      <c r="S1733" s="662"/>
      <c r="T1733" s="662"/>
      <c r="U1733" s="663"/>
      <c r="V1733" s="40"/>
      <c r="W1733" s="41"/>
      <c r="X1733" s="41"/>
      <c r="Y1733" s="41"/>
      <c r="Z1733" s="29"/>
      <c r="AA1733" s="29"/>
      <c r="AB1733" s="29"/>
      <c r="AC1733" s="29"/>
      <c r="AD1733" s="29"/>
    </row>
    <row r="1734" spans="1:30" s="488" customFormat="1" ht="41.25" hidden="1" customHeight="1">
      <c r="A1734" s="492"/>
      <c r="B1734" s="643"/>
      <c r="C1734" s="513"/>
      <c r="D1734" s="514"/>
      <c r="E1734" s="664" t="s">
        <v>29</v>
      </c>
      <c r="F1734" s="665"/>
      <c r="G1734" s="665"/>
      <c r="H1734" s="665"/>
      <c r="I1734" s="665"/>
      <c r="J1734" s="665"/>
      <c r="K1734" s="665"/>
      <c r="L1734" s="665"/>
      <c r="M1734" s="666"/>
      <c r="N1734" s="655"/>
      <c r="O1734" s="656"/>
      <c r="P1734" s="657"/>
      <c r="Q1734" s="667"/>
      <c r="R1734" s="689"/>
      <c r="S1734" s="689"/>
      <c r="T1734" s="689"/>
      <c r="U1734" s="690"/>
      <c r="V1734" s="42"/>
      <c r="W1734" s="41"/>
      <c r="X1734" s="41"/>
      <c r="Y1734" s="41"/>
      <c r="Z1734" s="29"/>
      <c r="AA1734" s="29"/>
      <c r="AB1734" s="29"/>
      <c r="AC1734" s="29"/>
      <c r="AD1734" s="29"/>
    </row>
    <row r="1735" spans="1:30" s="488" customFormat="1" ht="41.25" hidden="1" customHeight="1">
      <c r="A1735" s="492"/>
      <c r="B1735" s="643"/>
      <c r="C1735" s="513">
        <v>1010</v>
      </c>
      <c r="D1735" s="514"/>
      <c r="E1735" s="670" t="s">
        <v>30</v>
      </c>
      <c r="F1735" s="670"/>
      <c r="G1735" s="670"/>
      <c r="H1735" s="670"/>
      <c r="I1735" s="670"/>
      <c r="J1735" s="670"/>
      <c r="K1735" s="670"/>
      <c r="L1735" s="498">
        <v>2.2000000000000002</v>
      </c>
      <c r="M1735" s="459">
        <f>L1735</f>
        <v>2.2000000000000002</v>
      </c>
      <c r="N1735" s="655"/>
      <c r="O1735" s="656"/>
      <c r="P1735" s="657"/>
      <c r="Q1735" s="671"/>
      <c r="R1735" s="672"/>
      <c r="S1735" s="673"/>
      <c r="T1735" s="457">
        <f>H1732*M1735*N1732*O1732*P1732</f>
        <v>0</v>
      </c>
      <c r="U1735" s="458">
        <f>T1735</f>
        <v>0</v>
      </c>
      <c r="V1735" s="42"/>
      <c r="W1735" s="39"/>
      <c r="X1735" s="41"/>
      <c r="Y1735" s="41"/>
      <c r="Z1735" s="43">
        <f>T1735</f>
        <v>0</v>
      </c>
      <c r="AA1735" s="29"/>
      <c r="AB1735" s="29"/>
      <c r="AC1735" s="29"/>
      <c r="AD1735" s="29"/>
    </row>
    <row r="1736" spans="1:30" s="488" customFormat="1" ht="41.25" hidden="1" customHeight="1">
      <c r="A1736" s="492"/>
      <c r="B1736" s="643"/>
      <c r="C1736" s="513"/>
      <c r="D1736" s="514"/>
      <c r="E1736" s="670" t="s">
        <v>31</v>
      </c>
      <c r="F1736" s="670"/>
      <c r="G1736" s="670"/>
      <c r="H1736" s="670"/>
      <c r="I1736" s="670"/>
      <c r="J1736" s="670"/>
      <c r="K1736" s="670"/>
      <c r="L1736" s="498">
        <f>ROUND((I1732+J1732+K1732)*2.14%,2)</f>
        <v>0.84</v>
      </c>
      <c r="M1736" s="459">
        <f>L1736</f>
        <v>0.84</v>
      </c>
      <c r="N1736" s="655"/>
      <c r="O1736" s="656"/>
      <c r="P1736" s="657"/>
      <c r="Q1736" s="671"/>
      <c r="R1736" s="672"/>
      <c r="S1736" s="673"/>
      <c r="T1736" s="457">
        <f>H1732*M1736*N1732*O1732*P1732</f>
        <v>0</v>
      </c>
      <c r="U1736" s="458">
        <f>T1736</f>
        <v>0</v>
      </c>
      <c r="V1736" s="42"/>
      <c r="W1736" s="41"/>
      <c r="X1736" s="39"/>
      <c r="Y1736" s="41"/>
      <c r="Z1736" s="29"/>
      <c r="AA1736" s="43">
        <f>T1736</f>
        <v>0</v>
      </c>
      <c r="AB1736" s="29"/>
      <c r="AC1736" s="29"/>
      <c r="AD1736" s="29"/>
    </row>
    <row r="1737" spans="1:30" s="488" customFormat="1" ht="41.25" hidden="1" customHeight="1">
      <c r="A1737" s="492"/>
      <c r="B1737" s="643"/>
      <c r="C1737" s="515"/>
      <c r="D1737" s="514"/>
      <c r="E1737" s="670" t="s">
        <v>376</v>
      </c>
      <c r="F1737" s="670"/>
      <c r="G1737" s="670"/>
      <c r="H1737" s="670"/>
      <c r="I1737" s="670"/>
      <c r="J1737" s="670"/>
      <c r="K1737" s="670"/>
      <c r="L1737" s="498">
        <f>ROUND((I1732+J1732+K1732+L1735+L1736+L1740)*3%,2)</f>
        <v>1.31</v>
      </c>
      <c r="M1737" s="459">
        <f>L1737</f>
        <v>1.31</v>
      </c>
      <c r="N1737" s="655"/>
      <c r="O1737" s="656"/>
      <c r="P1737" s="657"/>
      <c r="Q1737" s="671"/>
      <c r="R1737" s="672"/>
      <c r="S1737" s="673"/>
      <c r="T1737" s="457">
        <f>H1732*M1737*N1732*O1732*P1732</f>
        <v>0</v>
      </c>
      <c r="U1737" s="458">
        <f>T1737</f>
        <v>0</v>
      </c>
      <c r="V1737" s="42"/>
      <c r="W1737" s="41"/>
      <c r="X1737" s="41"/>
      <c r="Y1737" s="39"/>
      <c r="Z1737" s="29"/>
      <c r="AA1737" s="29"/>
      <c r="AB1737" s="43">
        <f>T1737</f>
        <v>0</v>
      </c>
      <c r="AC1737" s="29"/>
      <c r="AD1737" s="29"/>
    </row>
    <row r="1738" spans="1:30" s="488" customFormat="1" ht="54.75" hidden="1" customHeight="1">
      <c r="A1738" s="492"/>
      <c r="B1738" s="643"/>
      <c r="C1738" s="515"/>
      <c r="D1738" s="514"/>
      <c r="E1738" s="670" t="s">
        <v>377</v>
      </c>
      <c r="F1738" s="670"/>
      <c r="G1738" s="670"/>
      <c r="H1738" s="670"/>
      <c r="I1738" s="670"/>
      <c r="J1738" s="670"/>
      <c r="K1738" s="670"/>
      <c r="L1738" s="498">
        <f>9.35-K1732-L1735-L1736-L1740</f>
        <v>0</v>
      </c>
      <c r="M1738" s="459">
        <f>L1738</f>
        <v>0</v>
      </c>
      <c r="N1738" s="655"/>
      <c r="O1738" s="656"/>
      <c r="P1738" s="657"/>
      <c r="Q1738" s="671"/>
      <c r="R1738" s="672"/>
      <c r="S1738" s="673"/>
      <c r="T1738" s="457">
        <f>H1732*M1738*N1732*O1732*P1732</f>
        <v>0</v>
      </c>
      <c r="U1738" s="458">
        <f>T1738</f>
        <v>0</v>
      </c>
      <c r="V1738" s="42"/>
      <c r="W1738" s="41"/>
      <c r="X1738" s="41"/>
      <c r="Y1738" s="41"/>
      <c r="Z1738" s="44"/>
      <c r="AA1738" s="29"/>
      <c r="AB1738" s="29"/>
      <c r="AC1738" s="44">
        <f>T1738</f>
        <v>0</v>
      </c>
      <c r="AD1738" s="29"/>
    </row>
    <row r="1739" spans="1:30" s="488" customFormat="1" ht="45" hidden="1" customHeight="1">
      <c r="A1739" s="492"/>
      <c r="B1739" s="643"/>
      <c r="C1739" s="515"/>
      <c r="D1739" s="514"/>
      <c r="E1739" s="674"/>
      <c r="F1739" s="675"/>
      <c r="G1739" s="675"/>
      <c r="H1739" s="675"/>
      <c r="I1739" s="675"/>
      <c r="J1739" s="675"/>
      <c r="K1739" s="675"/>
      <c r="L1739" s="675"/>
      <c r="M1739" s="676"/>
      <c r="N1739" s="655"/>
      <c r="O1739" s="656"/>
      <c r="P1739" s="657"/>
      <c r="Q1739" s="677"/>
      <c r="R1739" s="678"/>
      <c r="S1739" s="678"/>
      <c r="T1739" s="678"/>
      <c r="U1739" s="679"/>
      <c r="V1739" s="45"/>
      <c r="W1739" s="41"/>
      <c r="X1739" s="41"/>
      <c r="Y1739" s="41"/>
      <c r="Z1739" s="29"/>
      <c r="AA1739" s="44"/>
      <c r="AB1739" s="29"/>
      <c r="AC1739" s="29"/>
      <c r="AD1739" s="29"/>
    </row>
    <row r="1740" spans="1:30" s="488" customFormat="1" ht="45" hidden="1" customHeight="1" thickBot="1">
      <c r="A1740" s="492"/>
      <c r="B1740" s="644"/>
      <c r="C1740" s="516"/>
      <c r="D1740" s="517"/>
      <c r="E1740" s="680" t="s">
        <v>369</v>
      </c>
      <c r="F1740" s="680" t="s">
        <v>306</v>
      </c>
      <c r="G1740" s="680"/>
      <c r="H1740" s="680"/>
      <c r="I1740" s="680"/>
      <c r="J1740" s="680"/>
      <c r="K1740" s="680"/>
      <c r="L1740" s="499">
        <f>ROUND((I1732+J1732+K1732+L1735)*3.93%,2)</f>
        <v>1.62</v>
      </c>
      <c r="M1740" s="46">
        <f>L1740</f>
        <v>1.62</v>
      </c>
      <c r="N1740" s="658"/>
      <c r="O1740" s="659"/>
      <c r="P1740" s="660"/>
      <c r="Q1740" s="681"/>
      <c r="R1740" s="682"/>
      <c r="S1740" s="683"/>
      <c r="T1740" s="500">
        <f>H1732*M1740*N1732*O1732*P1732</f>
        <v>0</v>
      </c>
      <c r="U1740" s="47">
        <f>T1740</f>
        <v>0</v>
      </c>
      <c r="V1740" s="48"/>
      <c r="W1740" s="41"/>
      <c r="X1740" s="41"/>
      <c r="Y1740" s="41"/>
      <c r="Z1740" s="29"/>
      <c r="AA1740" s="29"/>
      <c r="AB1740" s="44"/>
      <c r="AC1740" s="29"/>
      <c r="AD1740" s="44">
        <f>T1740</f>
        <v>0</v>
      </c>
    </row>
    <row r="1741" spans="1:30" s="488" customFormat="1" ht="150" hidden="1" customHeight="1" thickBot="1">
      <c r="A1741" s="492"/>
      <c r="B1741" s="642">
        <v>2</v>
      </c>
      <c r="C1741" s="511">
        <v>10</v>
      </c>
      <c r="D1741" s="512"/>
      <c r="E1741" s="493" t="s">
        <v>667</v>
      </c>
      <c r="F1741" s="490" t="s">
        <v>760</v>
      </c>
      <c r="G1741" s="645" t="s">
        <v>388</v>
      </c>
      <c r="H1741" s="688">
        <v>0</v>
      </c>
      <c r="I1741" s="494">
        <v>49.3</v>
      </c>
      <c r="J1741" s="494">
        <v>6.93</v>
      </c>
      <c r="K1741" s="494">
        <v>4.6900000000000004</v>
      </c>
      <c r="L1741" s="494">
        <f>SUM(L1743:L1749)</f>
        <v>9.2999999999999989</v>
      </c>
      <c r="M1741" s="33">
        <f>SUM(I1741:L1741)</f>
        <v>70.22</v>
      </c>
      <c r="N1741" s="501">
        <v>1</v>
      </c>
      <c r="O1741" s="502">
        <v>1</v>
      </c>
      <c r="P1741" s="37">
        <v>1</v>
      </c>
      <c r="Q1741" s="34">
        <f>H1741*I1741*N1741*O1741*P1741</f>
        <v>0</v>
      </c>
      <c r="R1741" s="35">
        <f>H1741*J1741*N1741*O1741*P1741</f>
        <v>0</v>
      </c>
      <c r="S1741" s="36">
        <f>H1741*K1741*N1741*O1741*P1741</f>
        <v>0</v>
      </c>
      <c r="T1741" s="36">
        <f>H1741*L1741*N1741*O1741*P1741</f>
        <v>0</v>
      </c>
      <c r="U1741" s="37">
        <f>SUM(Q1741:T1741)</f>
        <v>0</v>
      </c>
      <c r="V1741" s="38">
        <f>(Q1741+R1741+S1741+T1745+T1746+T1747+T1749)*'Прогнозная стоимость РСС ИП '!$M$11+T1744*'Прогнозная стоимость РСС ИП '!$M$10</f>
        <v>0</v>
      </c>
      <c r="W1741" s="39">
        <f>T1741</f>
        <v>0</v>
      </c>
      <c r="X1741" s="39">
        <f>U1741</f>
        <v>0</v>
      </c>
      <c r="Y1741" s="39">
        <f>V1741</f>
        <v>0</v>
      </c>
      <c r="Z1741" s="29"/>
      <c r="AA1741" s="29"/>
      <c r="AB1741" s="29"/>
      <c r="AC1741" s="29"/>
      <c r="AD1741" s="29"/>
    </row>
    <row r="1742" spans="1:30" s="488" customFormat="1" ht="41.25" hidden="1" customHeight="1">
      <c r="A1742" s="492"/>
      <c r="B1742" s="643"/>
      <c r="C1742" s="513"/>
      <c r="D1742" s="514"/>
      <c r="E1742" s="495"/>
      <c r="F1742" s="496"/>
      <c r="G1742" s="646"/>
      <c r="H1742" s="688"/>
      <c r="I1742" s="649"/>
      <c r="J1742" s="650"/>
      <c r="K1742" s="650"/>
      <c r="L1742" s="650"/>
      <c r="M1742" s="651"/>
      <c r="N1742" s="652"/>
      <c r="O1742" s="653"/>
      <c r="P1742" s="654"/>
      <c r="Q1742" s="661"/>
      <c r="R1742" s="662"/>
      <c r="S1742" s="662"/>
      <c r="T1742" s="662"/>
      <c r="U1742" s="663"/>
      <c r="V1742" s="40"/>
      <c r="W1742" s="41"/>
      <c r="X1742" s="41"/>
      <c r="Y1742" s="41"/>
      <c r="Z1742" s="29"/>
      <c r="AA1742" s="29"/>
      <c r="AB1742" s="29"/>
      <c r="AC1742" s="29"/>
      <c r="AD1742" s="29"/>
    </row>
    <row r="1743" spans="1:30" s="488" customFormat="1" ht="41.25" hidden="1" customHeight="1">
      <c r="A1743" s="492"/>
      <c r="B1743" s="643"/>
      <c r="C1743" s="513"/>
      <c r="D1743" s="514"/>
      <c r="E1743" s="664" t="s">
        <v>29</v>
      </c>
      <c r="F1743" s="665"/>
      <c r="G1743" s="665"/>
      <c r="H1743" s="665"/>
      <c r="I1743" s="665"/>
      <c r="J1743" s="665"/>
      <c r="K1743" s="665"/>
      <c r="L1743" s="665"/>
      <c r="M1743" s="666"/>
      <c r="N1743" s="655"/>
      <c r="O1743" s="656"/>
      <c r="P1743" s="657"/>
      <c r="Q1743" s="667"/>
      <c r="R1743" s="689"/>
      <c r="S1743" s="689"/>
      <c r="T1743" s="689"/>
      <c r="U1743" s="690"/>
      <c r="V1743" s="42"/>
      <c r="W1743" s="41"/>
      <c r="X1743" s="41"/>
      <c r="Y1743" s="41"/>
      <c r="Z1743" s="29"/>
      <c r="AA1743" s="29"/>
      <c r="AB1743" s="29"/>
      <c r="AC1743" s="29"/>
      <c r="AD1743" s="29"/>
    </row>
    <row r="1744" spans="1:30" s="488" customFormat="1" ht="41.25" hidden="1" customHeight="1">
      <c r="A1744" s="492"/>
      <c r="B1744" s="643"/>
      <c r="C1744" s="513">
        <v>1010</v>
      </c>
      <c r="D1744" s="514"/>
      <c r="E1744" s="670" t="s">
        <v>30</v>
      </c>
      <c r="F1744" s="670"/>
      <c r="G1744" s="670"/>
      <c r="H1744" s="670"/>
      <c r="I1744" s="670"/>
      <c r="J1744" s="670"/>
      <c r="K1744" s="670"/>
      <c r="L1744" s="498">
        <v>3.42</v>
      </c>
      <c r="M1744" s="459">
        <f>L1744</f>
        <v>3.42</v>
      </c>
      <c r="N1744" s="655"/>
      <c r="O1744" s="656"/>
      <c r="P1744" s="657"/>
      <c r="Q1744" s="671"/>
      <c r="R1744" s="672"/>
      <c r="S1744" s="673"/>
      <c r="T1744" s="457">
        <f>H1741*M1744*N1741*O1741*P1741</f>
        <v>0</v>
      </c>
      <c r="U1744" s="458">
        <f>T1744</f>
        <v>0</v>
      </c>
      <c r="V1744" s="42"/>
      <c r="W1744" s="39"/>
      <c r="X1744" s="41"/>
      <c r="Y1744" s="41"/>
      <c r="Z1744" s="43">
        <f>T1744</f>
        <v>0</v>
      </c>
      <c r="AA1744" s="29"/>
      <c r="AB1744" s="29"/>
      <c r="AC1744" s="29"/>
      <c r="AD1744" s="29"/>
    </row>
    <row r="1745" spans="1:30" s="488" customFormat="1" ht="41.25" hidden="1" customHeight="1">
      <c r="A1745" s="492"/>
      <c r="B1745" s="643"/>
      <c r="C1745" s="513"/>
      <c r="D1745" s="514"/>
      <c r="E1745" s="670" t="s">
        <v>31</v>
      </c>
      <c r="F1745" s="670"/>
      <c r="G1745" s="670"/>
      <c r="H1745" s="670"/>
      <c r="I1745" s="670"/>
      <c r="J1745" s="670"/>
      <c r="K1745" s="670"/>
      <c r="L1745" s="498">
        <f>ROUND((I1741+J1741+K1741)*2.14%,2)</f>
        <v>1.3</v>
      </c>
      <c r="M1745" s="459">
        <f>L1745</f>
        <v>1.3</v>
      </c>
      <c r="N1745" s="655"/>
      <c r="O1745" s="656"/>
      <c r="P1745" s="657"/>
      <c r="Q1745" s="671"/>
      <c r="R1745" s="672"/>
      <c r="S1745" s="673"/>
      <c r="T1745" s="457">
        <f>H1741*M1745*N1741*O1741*P1741</f>
        <v>0</v>
      </c>
      <c r="U1745" s="458">
        <f>T1745</f>
        <v>0</v>
      </c>
      <c r="V1745" s="42"/>
      <c r="W1745" s="41"/>
      <c r="X1745" s="39"/>
      <c r="Y1745" s="41"/>
      <c r="Z1745" s="29"/>
      <c r="AA1745" s="43">
        <f>T1745</f>
        <v>0</v>
      </c>
      <c r="AB1745" s="29"/>
      <c r="AC1745" s="29"/>
      <c r="AD1745" s="29"/>
    </row>
    <row r="1746" spans="1:30" s="488" customFormat="1" ht="41.25" hidden="1" customHeight="1">
      <c r="A1746" s="492"/>
      <c r="B1746" s="643"/>
      <c r="C1746" s="515"/>
      <c r="D1746" s="514"/>
      <c r="E1746" s="670" t="s">
        <v>376</v>
      </c>
      <c r="F1746" s="670"/>
      <c r="G1746" s="670"/>
      <c r="H1746" s="670"/>
      <c r="I1746" s="670"/>
      <c r="J1746" s="670"/>
      <c r="K1746" s="670"/>
      <c r="L1746" s="498">
        <f>ROUND((I1741+J1741+K1741+L1744+L1745+L1749)*3%,2)</f>
        <v>2.0499999999999998</v>
      </c>
      <c r="M1746" s="459">
        <f>L1746</f>
        <v>2.0499999999999998</v>
      </c>
      <c r="N1746" s="655"/>
      <c r="O1746" s="656"/>
      <c r="P1746" s="657"/>
      <c r="Q1746" s="671"/>
      <c r="R1746" s="672"/>
      <c r="S1746" s="673"/>
      <c r="T1746" s="457">
        <f>H1741*M1746*N1741*O1741*P1741</f>
        <v>0</v>
      </c>
      <c r="U1746" s="458">
        <f>T1746</f>
        <v>0</v>
      </c>
      <c r="V1746" s="42"/>
      <c r="W1746" s="41"/>
      <c r="X1746" s="41"/>
      <c r="Y1746" s="39"/>
      <c r="Z1746" s="29"/>
      <c r="AA1746" s="29"/>
      <c r="AB1746" s="43">
        <f>T1746</f>
        <v>0</v>
      </c>
      <c r="AC1746" s="29"/>
      <c r="AD1746" s="29"/>
    </row>
    <row r="1747" spans="1:30" s="488" customFormat="1" ht="54.75" hidden="1" customHeight="1">
      <c r="A1747" s="492"/>
      <c r="B1747" s="643"/>
      <c r="C1747" s="515"/>
      <c r="D1747" s="514"/>
      <c r="E1747" s="670" t="s">
        <v>377</v>
      </c>
      <c r="F1747" s="670"/>
      <c r="G1747" s="670"/>
      <c r="H1747" s="670"/>
      <c r="I1747" s="670"/>
      <c r="J1747" s="670"/>
      <c r="K1747" s="670"/>
      <c r="L1747" s="498">
        <f>11.94-K1741-L1744-L1745-L1749</f>
        <v>0</v>
      </c>
      <c r="M1747" s="459">
        <f>L1747</f>
        <v>0</v>
      </c>
      <c r="N1747" s="655"/>
      <c r="O1747" s="656"/>
      <c r="P1747" s="657"/>
      <c r="Q1747" s="671"/>
      <c r="R1747" s="672"/>
      <c r="S1747" s="673"/>
      <c r="T1747" s="457">
        <f>H1741*M1747*N1741*O1741*P1741</f>
        <v>0</v>
      </c>
      <c r="U1747" s="458">
        <f>T1747</f>
        <v>0</v>
      </c>
      <c r="V1747" s="42"/>
      <c r="W1747" s="41"/>
      <c r="X1747" s="41"/>
      <c r="Y1747" s="41"/>
      <c r="Z1747" s="44"/>
      <c r="AA1747" s="29"/>
      <c r="AB1747" s="29"/>
      <c r="AC1747" s="44">
        <f>T1747</f>
        <v>0</v>
      </c>
      <c r="AD1747" s="29"/>
    </row>
    <row r="1748" spans="1:30" s="488" customFormat="1" ht="45" hidden="1" customHeight="1">
      <c r="A1748" s="492"/>
      <c r="B1748" s="643"/>
      <c r="C1748" s="515"/>
      <c r="D1748" s="514"/>
      <c r="E1748" s="674"/>
      <c r="F1748" s="675"/>
      <c r="G1748" s="675"/>
      <c r="H1748" s="675"/>
      <c r="I1748" s="675"/>
      <c r="J1748" s="675"/>
      <c r="K1748" s="675"/>
      <c r="L1748" s="675"/>
      <c r="M1748" s="676"/>
      <c r="N1748" s="655"/>
      <c r="O1748" s="656"/>
      <c r="P1748" s="657"/>
      <c r="Q1748" s="677"/>
      <c r="R1748" s="678"/>
      <c r="S1748" s="678"/>
      <c r="T1748" s="678"/>
      <c r="U1748" s="679"/>
      <c r="V1748" s="45"/>
      <c r="W1748" s="41"/>
      <c r="X1748" s="41"/>
      <c r="Y1748" s="41"/>
      <c r="Z1748" s="29"/>
      <c r="AA1748" s="44"/>
      <c r="AB1748" s="29"/>
      <c r="AC1748" s="29"/>
      <c r="AD1748" s="29"/>
    </row>
    <row r="1749" spans="1:30" s="488" customFormat="1" ht="45" hidden="1" customHeight="1" thickBot="1">
      <c r="A1749" s="492"/>
      <c r="B1749" s="644"/>
      <c r="C1749" s="516"/>
      <c r="D1749" s="517"/>
      <c r="E1749" s="680" t="s">
        <v>369</v>
      </c>
      <c r="F1749" s="680" t="s">
        <v>306</v>
      </c>
      <c r="G1749" s="680"/>
      <c r="H1749" s="680"/>
      <c r="I1749" s="680"/>
      <c r="J1749" s="680"/>
      <c r="K1749" s="680"/>
      <c r="L1749" s="499">
        <f>ROUND((I1741+J1741+K1741+L1744)*3.93%,2)</f>
        <v>2.5299999999999998</v>
      </c>
      <c r="M1749" s="46">
        <f>L1749</f>
        <v>2.5299999999999998</v>
      </c>
      <c r="N1749" s="658"/>
      <c r="O1749" s="659"/>
      <c r="P1749" s="660"/>
      <c r="Q1749" s="681"/>
      <c r="R1749" s="682"/>
      <c r="S1749" s="683"/>
      <c r="T1749" s="500">
        <f>H1741*M1749*N1741*O1741*P1741</f>
        <v>0</v>
      </c>
      <c r="U1749" s="47">
        <f>T1749</f>
        <v>0</v>
      </c>
      <c r="V1749" s="48"/>
      <c r="W1749" s="41"/>
      <c r="X1749" s="41"/>
      <c r="Y1749" s="41"/>
      <c r="Z1749" s="29"/>
      <c r="AA1749" s="29"/>
      <c r="AB1749" s="44"/>
      <c r="AC1749" s="29"/>
      <c r="AD1749" s="44">
        <f>T1749</f>
        <v>0</v>
      </c>
    </row>
    <row r="1750" spans="1:30" s="488" customFormat="1" ht="150" hidden="1" customHeight="1" thickBot="1">
      <c r="A1750" s="492"/>
      <c r="B1750" s="642">
        <v>2</v>
      </c>
      <c r="C1750" s="511">
        <v>10</v>
      </c>
      <c r="D1750" s="512"/>
      <c r="E1750" s="493" t="s">
        <v>668</v>
      </c>
      <c r="F1750" s="490" t="s">
        <v>761</v>
      </c>
      <c r="G1750" s="645" t="s">
        <v>388</v>
      </c>
      <c r="H1750" s="688">
        <v>0</v>
      </c>
      <c r="I1750" s="494">
        <v>77</v>
      </c>
      <c r="J1750" s="494">
        <v>6.93</v>
      </c>
      <c r="K1750" s="494">
        <v>4.6900000000000004</v>
      </c>
      <c r="L1750" s="494">
        <f>SUM(L1752:L1758)</f>
        <v>13.540000000000001</v>
      </c>
      <c r="M1750" s="33">
        <f>SUM(I1750:L1750)</f>
        <v>102.16000000000001</v>
      </c>
      <c r="N1750" s="501">
        <v>1</v>
      </c>
      <c r="O1750" s="502">
        <v>1</v>
      </c>
      <c r="P1750" s="37">
        <v>1</v>
      </c>
      <c r="Q1750" s="34">
        <f>H1750*I1750*N1750*O1750*P1750</f>
        <v>0</v>
      </c>
      <c r="R1750" s="35">
        <f>H1750*J1750*N1750*O1750*P1750</f>
        <v>0</v>
      </c>
      <c r="S1750" s="36">
        <f>H1750*K1750*N1750*O1750*P1750</f>
        <v>0</v>
      </c>
      <c r="T1750" s="36">
        <f>H1750*L1750*N1750*O1750*P1750</f>
        <v>0</v>
      </c>
      <c r="U1750" s="37">
        <f>SUM(Q1750:T1750)</f>
        <v>0</v>
      </c>
      <c r="V1750" s="38">
        <f>(Q1750+R1750+S1750+T1754+T1755+T1756+T1758)*'Прогнозная стоимость РСС ИП '!$M$11+T1753*'Прогнозная стоимость РСС ИП '!$M$10</f>
        <v>0</v>
      </c>
      <c r="W1750" s="39">
        <f>T1750</f>
        <v>0</v>
      </c>
      <c r="X1750" s="39">
        <f>U1750</f>
        <v>0</v>
      </c>
      <c r="Y1750" s="39">
        <f>V1750</f>
        <v>0</v>
      </c>
      <c r="Z1750" s="29"/>
      <c r="AA1750" s="29"/>
      <c r="AB1750" s="29"/>
      <c r="AC1750" s="29"/>
      <c r="AD1750" s="29"/>
    </row>
    <row r="1751" spans="1:30" s="488" customFormat="1" ht="41.25" hidden="1" customHeight="1">
      <c r="A1751" s="492"/>
      <c r="B1751" s="643"/>
      <c r="C1751" s="513"/>
      <c r="D1751" s="514"/>
      <c r="E1751" s="495"/>
      <c r="F1751" s="496"/>
      <c r="G1751" s="646"/>
      <c r="H1751" s="688"/>
      <c r="I1751" s="649"/>
      <c r="J1751" s="650"/>
      <c r="K1751" s="650"/>
      <c r="L1751" s="650"/>
      <c r="M1751" s="651"/>
      <c r="N1751" s="652"/>
      <c r="O1751" s="653"/>
      <c r="P1751" s="654"/>
      <c r="Q1751" s="661"/>
      <c r="R1751" s="662"/>
      <c r="S1751" s="662"/>
      <c r="T1751" s="662"/>
      <c r="U1751" s="663"/>
      <c r="V1751" s="40"/>
      <c r="W1751" s="41"/>
      <c r="X1751" s="41"/>
      <c r="Y1751" s="41"/>
      <c r="Z1751" s="29"/>
      <c r="AA1751" s="29"/>
      <c r="AB1751" s="29"/>
      <c r="AC1751" s="29"/>
      <c r="AD1751" s="29"/>
    </row>
    <row r="1752" spans="1:30" s="488" customFormat="1" ht="41.25" hidden="1" customHeight="1">
      <c r="A1752" s="492"/>
      <c r="B1752" s="643"/>
      <c r="C1752" s="513"/>
      <c r="D1752" s="514"/>
      <c r="E1752" s="664" t="s">
        <v>29</v>
      </c>
      <c r="F1752" s="665"/>
      <c r="G1752" s="665"/>
      <c r="H1752" s="665"/>
      <c r="I1752" s="665"/>
      <c r="J1752" s="665"/>
      <c r="K1752" s="665"/>
      <c r="L1752" s="665"/>
      <c r="M1752" s="666"/>
      <c r="N1752" s="655"/>
      <c r="O1752" s="656"/>
      <c r="P1752" s="657"/>
      <c r="Q1752" s="667"/>
      <c r="R1752" s="689"/>
      <c r="S1752" s="689"/>
      <c r="T1752" s="689"/>
      <c r="U1752" s="690"/>
      <c r="V1752" s="42"/>
      <c r="W1752" s="41"/>
      <c r="X1752" s="41"/>
      <c r="Y1752" s="41"/>
      <c r="Z1752" s="29"/>
      <c r="AA1752" s="29"/>
      <c r="AB1752" s="29"/>
      <c r="AC1752" s="29"/>
      <c r="AD1752" s="29"/>
    </row>
    <row r="1753" spans="1:30" s="488" customFormat="1" ht="41.25" hidden="1" customHeight="1">
      <c r="A1753" s="492"/>
      <c r="B1753" s="643"/>
      <c r="C1753" s="513">
        <v>1010</v>
      </c>
      <c r="D1753" s="514"/>
      <c r="E1753" s="670" t="s">
        <v>30</v>
      </c>
      <c r="F1753" s="670"/>
      <c r="G1753" s="670"/>
      <c r="H1753" s="670"/>
      <c r="I1753" s="670"/>
      <c r="J1753" s="670"/>
      <c r="K1753" s="670"/>
      <c r="L1753" s="498">
        <v>4.9800000000000004</v>
      </c>
      <c r="M1753" s="459">
        <f>L1753</f>
        <v>4.9800000000000004</v>
      </c>
      <c r="N1753" s="655"/>
      <c r="O1753" s="656"/>
      <c r="P1753" s="657"/>
      <c r="Q1753" s="671"/>
      <c r="R1753" s="672"/>
      <c r="S1753" s="673"/>
      <c r="T1753" s="457">
        <f>H1750*M1753*N1750*O1750*P1750</f>
        <v>0</v>
      </c>
      <c r="U1753" s="458">
        <f>T1753</f>
        <v>0</v>
      </c>
      <c r="V1753" s="42"/>
      <c r="W1753" s="39"/>
      <c r="X1753" s="41"/>
      <c r="Y1753" s="41"/>
      <c r="Z1753" s="43">
        <f>T1753</f>
        <v>0</v>
      </c>
      <c r="AA1753" s="29"/>
      <c r="AB1753" s="29"/>
      <c r="AC1753" s="29"/>
      <c r="AD1753" s="29"/>
    </row>
    <row r="1754" spans="1:30" s="488" customFormat="1" ht="41.25" hidden="1" customHeight="1">
      <c r="A1754" s="492"/>
      <c r="B1754" s="643"/>
      <c r="C1754" s="513"/>
      <c r="D1754" s="514"/>
      <c r="E1754" s="670" t="s">
        <v>31</v>
      </c>
      <c r="F1754" s="670"/>
      <c r="G1754" s="670"/>
      <c r="H1754" s="670"/>
      <c r="I1754" s="670"/>
      <c r="J1754" s="670"/>
      <c r="K1754" s="670"/>
      <c r="L1754" s="498">
        <f>ROUND((I1750+J1750+K1750)*2.14%,2)</f>
        <v>1.9</v>
      </c>
      <c r="M1754" s="459">
        <f>L1754</f>
        <v>1.9</v>
      </c>
      <c r="N1754" s="655"/>
      <c r="O1754" s="656"/>
      <c r="P1754" s="657"/>
      <c r="Q1754" s="671"/>
      <c r="R1754" s="672"/>
      <c r="S1754" s="673"/>
      <c r="T1754" s="457">
        <f>H1750*M1754*N1750*O1750*P1750</f>
        <v>0</v>
      </c>
      <c r="U1754" s="458">
        <f>T1754</f>
        <v>0</v>
      </c>
      <c r="V1754" s="42"/>
      <c r="W1754" s="41"/>
      <c r="X1754" s="39"/>
      <c r="Y1754" s="41"/>
      <c r="Z1754" s="29"/>
      <c r="AA1754" s="43">
        <f>T1754</f>
        <v>0</v>
      </c>
      <c r="AB1754" s="29"/>
      <c r="AC1754" s="29"/>
      <c r="AD1754" s="29"/>
    </row>
    <row r="1755" spans="1:30" s="488" customFormat="1" ht="41.25" hidden="1" customHeight="1">
      <c r="A1755" s="492"/>
      <c r="B1755" s="643"/>
      <c r="C1755" s="515"/>
      <c r="D1755" s="514"/>
      <c r="E1755" s="670" t="s">
        <v>376</v>
      </c>
      <c r="F1755" s="670"/>
      <c r="G1755" s="670"/>
      <c r="H1755" s="670"/>
      <c r="I1755" s="670"/>
      <c r="J1755" s="670"/>
      <c r="K1755" s="670"/>
      <c r="L1755" s="498">
        <f>ROUND((I1750+J1750+K1750+L1753+L1754+L1758)*3%,2)</f>
        <v>2.98</v>
      </c>
      <c r="M1755" s="459">
        <f>L1755</f>
        <v>2.98</v>
      </c>
      <c r="N1755" s="655"/>
      <c r="O1755" s="656"/>
      <c r="P1755" s="657"/>
      <c r="Q1755" s="671"/>
      <c r="R1755" s="672"/>
      <c r="S1755" s="673"/>
      <c r="T1755" s="457">
        <f>H1750*M1755*N1750*O1750*P1750</f>
        <v>0</v>
      </c>
      <c r="U1755" s="458">
        <f>T1755</f>
        <v>0</v>
      </c>
      <c r="V1755" s="42"/>
      <c r="W1755" s="41"/>
      <c r="X1755" s="41"/>
      <c r="Y1755" s="39"/>
      <c r="Z1755" s="29"/>
      <c r="AA1755" s="29"/>
      <c r="AB1755" s="43">
        <f>T1755</f>
        <v>0</v>
      </c>
      <c r="AC1755" s="29"/>
      <c r="AD1755" s="29"/>
    </row>
    <row r="1756" spans="1:30" s="488" customFormat="1" ht="54.75" hidden="1" customHeight="1">
      <c r="A1756" s="492"/>
      <c r="B1756" s="643"/>
      <c r="C1756" s="515"/>
      <c r="D1756" s="514"/>
      <c r="E1756" s="670" t="s">
        <v>377</v>
      </c>
      <c r="F1756" s="670"/>
      <c r="G1756" s="670"/>
      <c r="H1756" s="670"/>
      <c r="I1756" s="670"/>
      <c r="J1756" s="670"/>
      <c r="K1756" s="670"/>
      <c r="L1756" s="498">
        <f>15.25-K1750-L1753-L1754-L1758</f>
        <v>0</v>
      </c>
      <c r="M1756" s="459">
        <f>L1756</f>
        <v>0</v>
      </c>
      <c r="N1756" s="655"/>
      <c r="O1756" s="656"/>
      <c r="P1756" s="657"/>
      <c r="Q1756" s="671"/>
      <c r="R1756" s="672"/>
      <c r="S1756" s="673"/>
      <c r="T1756" s="457">
        <f>H1750*M1756*N1750*O1750*P1750</f>
        <v>0</v>
      </c>
      <c r="U1756" s="458">
        <f>T1756</f>
        <v>0</v>
      </c>
      <c r="V1756" s="42"/>
      <c r="W1756" s="41"/>
      <c r="X1756" s="41"/>
      <c r="Y1756" s="41"/>
      <c r="Z1756" s="44"/>
      <c r="AA1756" s="29"/>
      <c r="AB1756" s="29"/>
      <c r="AC1756" s="44">
        <f>T1756</f>
        <v>0</v>
      </c>
      <c r="AD1756" s="29"/>
    </row>
    <row r="1757" spans="1:30" s="488" customFormat="1" ht="45" hidden="1" customHeight="1">
      <c r="A1757" s="492"/>
      <c r="B1757" s="643"/>
      <c r="C1757" s="515"/>
      <c r="D1757" s="514"/>
      <c r="E1757" s="674"/>
      <c r="F1757" s="675"/>
      <c r="G1757" s="675"/>
      <c r="H1757" s="675"/>
      <c r="I1757" s="675"/>
      <c r="J1757" s="675"/>
      <c r="K1757" s="675"/>
      <c r="L1757" s="675"/>
      <c r="M1757" s="676"/>
      <c r="N1757" s="655"/>
      <c r="O1757" s="656"/>
      <c r="P1757" s="657"/>
      <c r="Q1757" s="677"/>
      <c r="R1757" s="678"/>
      <c r="S1757" s="678"/>
      <c r="T1757" s="678"/>
      <c r="U1757" s="679"/>
      <c r="V1757" s="45"/>
      <c r="W1757" s="41"/>
      <c r="X1757" s="41"/>
      <c r="Y1757" s="41"/>
      <c r="Z1757" s="29"/>
      <c r="AA1757" s="44"/>
      <c r="AB1757" s="29"/>
      <c r="AC1757" s="29"/>
      <c r="AD1757" s="29"/>
    </row>
    <row r="1758" spans="1:30" s="488" customFormat="1" ht="45" hidden="1" customHeight="1" thickBot="1">
      <c r="A1758" s="492"/>
      <c r="B1758" s="644"/>
      <c r="C1758" s="516"/>
      <c r="D1758" s="517"/>
      <c r="E1758" s="680" t="s">
        <v>369</v>
      </c>
      <c r="F1758" s="680" t="s">
        <v>306</v>
      </c>
      <c r="G1758" s="680"/>
      <c r="H1758" s="680"/>
      <c r="I1758" s="680"/>
      <c r="J1758" s="680"/>
      <c r="K1758" s="680"/>
      <c r="L1758" s="499">
        <f>ROUND((I1750+J1750+K1750+L1753)*3.93%,2)</f>
        <v>3.68</v>
      </c>
      <c r="M1758" s="46">
        <f>L1758</f>
        <v>3.68</v>
      </c>
      <c r="N1758" s="658"/>
      <c r="O1758" s="659"/>
      <c r="P1758" s="660"/>
      <c r="Q1758" s="681"/>
      <c r="R1758" s="682"/>
      <c r="S1758" s="683"/>
      <c r="T1758" s="500">
        <f>H1750*M1758*N1750*O1750*P1750</f>
        <v>0</v>
      </c>
      <c r="U1758" s="47">
        <f>T1758</f>
        <v>0</v>
      </c>
      <c r="V1758" s="48"/>
      <c r="W1758" s="41"/>
      <c r="X1758" s="41"/>
      <c r="Y1758" s="41"/>
      <c r="Z1758" s="29"/>
      <c r="AA1758" s="29"/>
      <c r="AB1758" s="44"/>
      <c r="AC1758" s="29"/>
      <c r="AD1758" s="44">
        <f>T1758</f>
        <v>0</v>
      </c>
    </row>
    <row r="1759" spans="1:30" s="488" customFormat="1" ht="150" hidden="1" customHeight="1" thickBot="1">
      <c r="A1759" s="492"/>
      <c r="B1759" s="642">
        <v>2</v>
      </c>
      <c r="C1759" s="511">
        <v>10</v>
      </c>
      <c r="D1759" s="512"/>
      <c r="E1759" s="493" t="s">
        <v>669</v>
      </c>
      <c r="F1759" s="490" t="s">
        <v>762</v>
      </c>
      <c r="G1759" s="645" t="s">
        <v>388</v>
      </c>
      <c r="H1759" s="688">
        <v>0</v>
      </c>
      <c r="I1759" s="494">
        <v>104.54</v>
      </c>
      <c r="J1759" s="494">
        <v>6.93</v>
      </c>
      <c r="K1759" s="494">
        <v>6.57</v>
      </c>
      <c r="L1759" s="494">
        <f>SUM(L1761:L1767)</f>
        <v>18.03</v>
      </c>
      <c r="M1759" s="33">
        <f>SUM(I1759:L1759)</f>
        <v>136.07</v>
      </c>
      <c r="N1759" s="501">
        <v>1</v>
      </c>
      <c r="O1759" s="502">
        <v>1</v>
      </c>
      <c r="P1759" s="37">
        <v>1</v>
      </c>
      <c r="Q1759" s="34">
        <f>H1759*I1759*N1759*O1759*P1759</f>
        <v>0</v>
      </c>
      <c r="R1759" s="35">
        <f>H1759*J1759*N1759*O1759*P1759</f>
        <v>0</v>
      </c>
      <c r="S1759" s="36">
        <f>H1759*K1759*N1759*O1759*P1759</f>
        <v>0</v>
      </c>
      <c r="T1759" s="36">
        <f>H1759*L1759*N1759*O1759*P1759</f>
        <v>0</v>
      </c>
      <c r="U1759" s="37">
        <f>SUM(Q1759:T1759)</f>
        <v>0</v>
      </c>
      <c r="V1759" s="38">
        <f>(Q1759+R1759+S1759+T1763+T1764+T1765+T1767)*'Прогнозная стоимость РСС ИП '!$M$11+T1762*'Прогнозная стоимость РСС ИП '!$M$10</f>
        <v>0</v>
      </c>
      <c r="W1759" s="39">
        <f>T1759</f>
        <v>0</v>
      </c>
      <c r="X1759" s="39">
        <f>U1759</f>
        <v>0</v>
      </c>
      <c r="Y1759" s="39">
        <f>V1759</f>
        <v>0</v>
      </c>
      <c r="Z1759" s="29"/>
      <c r="AA1759" s="29"/>
      <c r="AB1759" s="29"/>
      <c r="AC1759" s="29"/>
      <c r="AD1759" s="29"/>
    </row>
    <row r="1760" spans="1:30" s="488" customFormat="1" ht="41.25" hidden="1" customHeight="1">
      <c r="A1760" s="492"/>
      <c r="B1760" s="643"/>
      <c r="C1760" s="513"/>
      <c r="D1760" s="514"/>
      <c r="E1760" s="495"/>
      <c r="F1760" s="496"/>
      <c r="G1760" s="646"/>
      <c r="H1760" s="688"/>
      <c r="I1760" s="649"/>
      <c r="J1760" s="650"/>
      <c r="K1760" s="650"/>
      <c r="L1760" s="650"/>
      <c r="M1760" s="651"/>
      <c r="N1760" s="652"/>
      <c r="O1760" s="653"/>
      <c r="P1760" s="654"/>
      <c r="Q1760" s="661"/>
      <c r="R1760" s="662"/>
      <c r="S1760" s="662"/>
      <c r="T1760" s="662"/>
      <c r="U1760" s="663"/>
      <c r="V1760" s="40"/>
      <c r="W1760" s="41"/>
      <c r="X1760" s="41"/>
      <c r="Y1760" s="41"/>
      <c r="Z1760" s="29"/>
      <c r="AA1760" s="29"/>
      <c r="AB1760" s="29"/>
      <c r="AC1760" s="29"/>
      <c r="AD1760" s="29"/>
    </row>
    <row r="1761" spans="1:30" s="488" customFormat="1" ht="41.25" hidden="1" customHeight="1">
      <c r="A1761" s="492"/>
      <c r="B1761" s="643"/>
      <c r="C1761" s="513"/>
      <c r="D1761" s="514"/>
      <c r="E1761" s="664" t="s">
        <v>29</v>
      </c>
      <c r="F1761" s="665"/>
      <c r="G1761" s="665"/>
      <c r="H1761" s="665"/>
      <c r="I1761" s="665"/>
      <c r="J1761" s="665"/>
      <c r="K1761" s="665"/>
      <c r="L1761" s="665"/>
      <c r="M1761" s="666"/>
      <c r="N1761" s="655"/>
      <c r="O1761" s="656"/>
      <c r="P1761" s="657"/>
      <c r="Q1761" s="667"/>
      <c r="R1761" s="689"/>
      <c r="S1761" s="689"/>
      <c r="T1761" s="689"/>
      <c r="U1761" s="690"/>
      <c r="V1761" s="42"/>
      <c r="W1761" s="41"/>
      <c r="X1761" s="41"/>
      <c r="Y1761" s="41"/>
      <c r="Z1761" s="29"/>
      <c r="AA1761" s="29"/>
      <c r="AB1761" s="29"/>
      <c r="AC1761" s="29"/>
      <c r="AD1761" s="29"/>
    </row>
    <row r="1762" spans="1:30" s="488" customFormat="1" ht="41.25" hidden="1" customHeight="1">
      <c r="A1762" s="492"/>
      <c r="B1762" s="643"/>
      <c r="C1762" s="513">
        <v>1010</v>
      </c>
      <c r="D1762" s="514"/>
      <c r="E1762" s="670" t="s">
        <v>30</v>
      </c>
      <c r="F1762" s="670"/>
      <c r="G1762" s="670"/>
      <c r="H1762" s="670"/>
      <c r="I1762" s="670"/>
      <c r="J1762" s="670"/>
      <c r="K1762" s="670"/>
      <c r="L1762" s="498">
        <v>6.63</v>
      </c>
      <c r="M1762" s="459">
        <f>L1762</f>
        <v>6.63</v>
      </c>
      <c r="N1762" s="655"/>
      <c r="O1762" s="656"/>
      <c r="P1762" s="657"/>
      <c r="Q1762" s="671"/>
      <c r="R1762" s="672"/>
      <c r="S1762" s="673"/>
      <c r="T1762" s="457">
        <f>H1759*M1762*N1759*O1759*P1759</f>
        <v>0</v>
      </c>
      <c r="U1762" s="458">
        <f>T1762</f>
        <v>0</v>
      </c>
      <c r="V1762" s="42"/>
      <c r="W1762" s="39"/>
      <c r="X1762" s="41"/>
      <c r="Y1762" s="41"/>
      <c r="Z1762" s="43">
        <f>T1762</f>
        <v>0</v>
      </c>
      <c r="AA1762" s="29"/>
      <c r="AB1762" s="29"/>
      <c r="AC1762" s="29"/>
      <c r="AD1762" s="29"/>
    </row>
    <row r="1763" spans="1:30" s="488" customFormat="1" ht="41.25" hidden="1" customHeight="1">
      <c r="A1763" s="492"/>
      <c r="B1763" s="643"/>
      <c r="C1763" s="513"/>
      <c r="D1763" s="514"/>
      <c r="E1763" s="670" t="s">
        <v>31</v>
      </c>
      <c r="F1763" s="670"/>
      <c r="G1763" s="670"/>
      <c r="H1763" s="670"/>
      <c r="I1763" s="670"/>
      <c r="J1763" s="670"/>
      <c r="K1763" s="670"/>
      <c r="L1763" s="498">
        <f>ROUND((I1759+J1759+K1759)*2.14%,2)</f>
        <v>2.5299999999999998</v>
      </c>
      <c r="M1763" s="459">
        <f>L1763</f>
        <v>2.5299999999999998</v>
      </c>
      <c r="N1763" s="655"/>
      <c r="O1763" s="656"/>
      <c r="P1763" s="657"/>
      <c r="Q1763" s="671"/>
      <c r="R1763" s="672"/>
      <c r="S1763" s="673"/>
      <c r="T1763" s="457">
        <f>H1759*M1763*N1759*O1759*P1759</f>
        <v>0</v>
      </c>
      <c r="U1763" s="458">
        <f>T1763</f>
        <v>0</v>
      </c>
      <c r="V1763" s="42"/>
      <c r="W1763" s="41"/>
      <c r="X1763" s="39"/>
      <c r="Y1763" s="41"/>
      <c r="Z1763" s="29"/>
      <c r="AA1763" s="43">
        <f>T1763</f>
        <v>0</v>
      </c>
      <c r="AB1763" s="29"/>
      <c r="AC1763" s="29"/>
      <c r="AD1763" s="29"/>
    </row>
    <row r="1764" spans="1:30" s="488" customFormat="1" ht="41.25" hidden="1" customHeight="1">
      <c r="A1764" s="492"/>
      <c r="B1764" s="643"/>
      <c r="C1764" s="515"/>
      <c r="D1764" s="514"/>
      <c r="E1764" s="670" t="s">
        <v>376</v>
      </c>
      <c r="F1764" s="670"/>
      <c r="G1764" s="670"/>
      <c r="H1764" s="670"/>
      <c r="I1764" s="670"/>
      <c r="J1764" s="670"/>
      <c r="K1764" s="670"/>
      <c r="L1764" s="498">
        <f>ROUND((I1759+J1759+K1759+L1762+L1763+L1767)*3%,2)+0.01</f>
        <v>3.9699999999999998</v>
      </c>
      <c r="M1764" s="459">
        <f>L1764</f>
        <v>3.9699999999999998</v>
      </c>
      <c r="N1764" s="655"/>
      <c r="O1764" s="656"/>
      <c r="P1764" s="657"/>
      <c r="Q1764" s="671"/>
      <c r="R1764" s="672"/>
      <c r="S1764" s="673"/>
      <c r="T1764" s="457">
        <f>H1759*M1764*N1759*O1759*P1759</f>
        <v>0</v>
      </c>
      <c r="U1764" s="458">
        <f>T1764</f>
        <v>0</v>
      </c>
      <c r="V1764" s="42"/>
      <c r="W1764" s="41"/>
      <c r="X1764" s="41"/>
      <c r="Y1764" s="39"/>
      <c r="Z1764" s="29"/>
      <c r="AA1764" s="29"/>
      <c r="AB1764" s="43">
        <f>T1764</f>
        <v>0</v>
      </c>
      <c r="AC1764" s="29"/>
      <c r="AD1764" s="29"/>
    </row>
    <row r="1765" spans="1:30" s="488" customFormat="1" ht="54.75" hidden="1" customHeight="1">
      <c r="A1765" s="492"/>
      <c r="B1765" s="643"/>
      <c r="C1765" s="515"/>
      <c r="D1765" s="514"/>
      <c r="E1765" s="670" t="s">
        <v>377</v>
      </c>
      <c r="F1765" s="670"/>
      <c r="G1765" s="670"/>
      <c r="H1765" s="670"/>
      <c r="I1765" s="670"/>
      <c r="J1765" s="670"/>
      <c r="K1765" s="670"/>
      <c r="L1765" s="498">
        <f>20.63-K1759-L1762-L1763-L1767</f>
        <v>0</v>
      </c>
      <c r="M1765" s="459">
        <f>L1765</f>
        <v>0</v>
      </c>
      <c r="N1765" s="655"/>
      <c r="O1765" s="656"/>
      <c r="P1765" s="657"/>
      <c r="Q1765" s="671"/>
      <c r="R1765" s="672"/>
      <c r="S1765" s="673"/>
      <c r="T1765" s="457">
        <f>H1759*M1765*N1759*O1759*P1759</f>
        <v>0</v>
      </c>
      <c r="U1765" s="458">
        <f>T1765</f>
        <v>0</v>
      </c>
      <c r="V1765" s="42"/>
      <c r="W1765" s="41"/>
      <c r="X1765" s="41"/>
      <c r="Y1765" s="41"/>
      <c r="Z1765" s="44"/>
      <c r="AA1765" s="29"/>
      <c r="AB1765" s="29"/>
      <c r="AC1765" s="44">
        <f>T1765</f>
        <v>0</v>
      </c>
      <c r="AD1765" s="29"/>
    </row>
    <row r="1766" spans="1:30" s="488" customFormat="1" ht="45" hidden="1" customHeight="1">
      <c r="A1766" s="492"/>
      <c r="B1766" s="643"/>
      <c r="C1766" s="515"/>
      <c r="D1766" s="514"/>
      <c r="E1766" s="674"/>
      <c r="F1766" s="675"/>
      <c r="G1766" s="675"/>
      <c r="H1766" s="675"/>
      <c r="I1766" s="675"/>
      <c r="J1766" s="675"/>
      <c r="K1766" s="675"/>
      <c r="L1766" s="675"/>
      <c r="M1766" s="676"/>
      <c r="N1766" s="655"/>
      <c r="O1766" s="656"/>
      <c r="P1766" s="657"/>
      <c r="Q1766" s="677"/>
      <c r="R1766" s="678"/>
      <c r="S1766" s="678"/>
      <c r="T1766" s="678"/>
      <c r="U1766" s="679"/>
      <c r="V1766" s="45"/>
      <c r="W1766" s="41"/>
      <c r="X1766" s="41"/>
      <c r="Y1766" s="41"/>
      <c r="Z1766" s="29"/>
      <c r="AA1766" s="44"/>
      <c r="AB1766" s="29"/>
      <c r="AC1766" s="29"/>
      <c r="AD1766" s="29"/>
    </row>
    <row r="1767" spans="1:30" s="488" customFormat="1" ht="45" hidden="1" customHeight="1" thickBot="1">
      <c r="A1767" s="492"/>
      <c r="B1767" s="644"/>
      <c r="C1767" s="516"/>
      <c r="D1767" s="517"/>
      <c r="E1767" s="680" t="s">
        <v>369</v>
      </c>
      <c r="F1767" s="680" t="s">
        <v>306</v>
      </c>
      <c r="G1767" s="680"/>
      <c r="H1767" s="680"/>
      <c r="I1767" s="680"/>
      <c r="J1767" s="680"/>
      <c r="K1767" s="680"/>
      <c r="L1767" s="499">
        <f>ROUND((I1759+J1759+K1759+L1762)*3.93%,2)</f>
        <v>4.9000000000000004</v>
      </c>
      <c r="M1767" s="46">
        <f>L1767</f>
        <v>4.9000000000000004</v>
      </c>
      <c r="N1767" s="658"/>
      <c r="O1767" s="659"/>
      <c r="P1767" s="660"/>
      <c r="Q1767" s="681"/>
      <c r="R1767" s="682"/>
      <c r="S1767" s="683"/>
      <c r="T1767" s="500">
        <f>H1759*M1767*N1759*O1759*P1759</f>
        <v>0</v>
      </c>
      <c r="U1767" s="47">
        <f>T1767</f>
        <v>0</v>
      </c>
      <c r="V1767" s="48"/>
      <c r="W1767" s="41"/>
      <c r="X1767" s="41"/>
      <c r="Y1767" s="41"/>
      <c r="Z1767" s="29"/>
      <c r="AA1767" s="29"/>
      <c r="AB1767" s="44"/>
      <c r="AC1767" s="29"/>
      <c r="AD1767" s="44">
        <f>T1767</f>
        <v>0</v>
      </c>
    </row>
    <row r="1768" spans="1:30" s="488" customFormat="1" ht="150" hidden="1" customHeight="1" thickBot="1">
      <c r="A1768" s="492"/>
      <c r="B1768" s="642">
        <v>2</v>
      </c>
      <c r="C1768" s="511">
        <v>10</v>
      </c>
      <c r="D1768" s="512"/>
      <c r="E1768" s="493" t="s">
        <v>670</v>
      </c>
      <c r="F1768" s="490" t="s">
        <v>763</v>
      </c>
      <c r="G1768" s="645" t="s">
        <v>388</v>
      </c>
      <c r="H1768" s="688">
        <v>0</v>
      </c>
      <c r="I1768" s="494">
        <v>153.81</v>
      </c>
      <c r="J1768" s="494">
        <v>6.93</v>
      </c>
      <c r="K1768" s="494">
        <v>6.57</v>
      </c>
      <c r="L1768" s="494">
        <f>SUM(L1770:L1776)</f>
        <v>25.520000000000003</v>
      </c>
      <c r="M1768" s="33">
        <f>SUM(I1768:L1768)</f>
        <v>192.83</v>
      </c>
      <c r="N1768" s="501">
        <v>1</v>
      </c>
      <c r="O1768" s="502">
        <v>1</v>
      </c>
      <c r="P1768" s="37">
        <v>1</v>
      </c>
      <c r="Q1768" s="34">
        <f>H1768*I1768*N1768*O1768*P1768</f>
        <v>0</v>
      </c>
      <c r="R1768" s="35">
        <f>H1768*J1768*N1768*O1768*P1768</f>
        <v>0</v>
      </c>
      <c r="S1768" s="36">
        <f>H1768*K1768*N1768*O1768*P1768</f>
        <v>0</v>
      </c>
      <c r="T1768" s="36">
        <f>H1768*L1768*N1768*O1768*P1768</f>
        <v>0</v>
      </c>
      <c r="U1768" s="37">
        <f>SUM(Q1768:T1768)</f>
        <v>0</v>
      </c>
      <c r="V1768" s="38">
        <f>(Q1768+R1768+S1768+T1772+T1773+T1774+T1776)*'Прогнозная стоимость РСС ИП '!$M$11+T1771*'Прогнозная стоимость РСС ИП '!$M$10</f>
        <v>0</v>
      </c>
      <c r="W1768" s="39">
        <f>T1768</f>
        <v>0</v>
      </c>
      <c r="X1768" s="39">
        <f>U1768</f>
        <v>0</v>
      </c>
      <c r="Y1768" s="39">
        <f>V1768</f>
        <v>0</v>
      </c>
      <c r="Z1768" s="29"/>
      <c r="AA1768" s="29"/>
      <c r="AB1768" s="29"/>
      <c r="AC1768" s="29"/>
      <c r="AD1768" s="29"/>
    </row>
    <row r="1769" spans="1:30" s="488" customFormat="1" ht="41.25" hidden="1" customHeight="1">
      <c r="A1769" s="492"/>
      <c r="B1769" s="643"/>
      <c r="C1769" s="513"/>
      <c r="D1769" s="514"/>
      <c r="E1769" s="495"/>
      <c r="F1769" s="496"/>
      <c r="G1769" s="646"/>
      <c r="H1769" s="688"/>
      <c r="I1769" s="649"/>
      <c r="J1769" s="650"/>
      <c r="K1769" s="650"/>
      <c r="L1769" s="650"/>
      <c r="M1769" s="651"/>
      <c r="N1769" s="652"/>
      <c r="O1769" s="653"/>
      <c r="P1769" s="654"/>
      <c r="Q1769" s="661"/>
      <c r="R1769" s="662"/>
      <c r="S1769" s="662"/>
      <c r="T1769" s="662"/>
      <c r="U1769" s="663"/>
      <c r="V1769" s="40"/>
      <c r="W1769" s="41"/>
      <c r="X1769" s="41"/>
      <c r="Y1769" s="41"/>
      <c r="Z1769" s="29"/>
      <c r="AA1769" s="29"/>
      <c r="AB1769" s="29"/>
      <c r="AC1769" s="29"/>
      <c r="AD1769" s="29"/>
    </row>
    <row r="1770" spans="1:30" s="488" customFormat="1" ht="41.25" hidden="1" customHeight="1">
      <c r="A1770" s="492"/>
      <c r="B1770" s="643"/>
      <c r="C1770" s="513"/>
      <c r="D1770" s="514"/>
      <c r="E1770" s="664" t="s">
        <v>29</v>
      </c>
      <c r="F1770" s="665"/>
      <c r="G1770" s="665"/>
      <c r="H1770" s="665"/>
      <c r="I1770" s="665"/>
      <c r="J1770" s="665"/>
      <c r="K1770" s="665"/>
      <c r="L1770" s="665"/>
      <c r="M1770" s="666"/>
      <c r="N1770" s="655"/>
      <c r="O1770" s="656"/>
      <c r="P1770" s="657"/>
      <c r="Q1770" s="667"/>
      <c r="R1770" s="689"/>
      <c r="S1770" s="689"/>
      <c r="T1770" s="689"/>
      <c r="U1770" s="690"/>
      <c r="V1770" s="42"/>
      <c r="W1770" s="41"/>
      <c r="X1770" s="41"/>
      <c r="Y1770" s="41"/>
      <c r="Z1770" s="29"/>
      <c r="AA1770" s="29"/>
      <c r="AB1770" s="29"/>
      <c r="AC1770" s="29"/>
      <c r="AD1770" s="29"/>
    </row>
    <row r="1771" spans="1:30" s="488" customFormat="1" ht="41.25" hidden="1" customHeight="1">
      <c r="A1771" s="492"/>
      <c r="B1771" s="643"/>
      <c r="C1771" s="513">
        <v>1010</v>
      </c>
      <c r="D1771" s="514"/>
      <c r="E1771" s="670" t="s">
        <v>30</v>
      </c>
      <c r="F1771" s="670"/>
      <c r="G1771" s="670"/>
      <c r="H1771" s="670"/>
      <c r="I1771" s="670"/>
      <c r="J1771" s="670"/>
      <c r="K1771" s="670"/>
      <c r="L1771" s="498">
        <v>9.39</v>
      </c>
      <c r="M1771" s="459">
        <f>L1771</f>
        <v>9.39</v>
      </c>
      <c r="N1771" s="655"/>
      <c r="O1771" s="656"/>
      <c r="P1771" s="657"/>
      <c r="Q1771" s="671"/>
      <c r="R1771" s="672"/>
      <c r="S1771" s="673"/>
      <c r="T1771" s="457">
        <f>H1768*M1771*N1768*O1768*P1768</f>
        <v>0</v>
      </c>
      <c r="U1771" s="458">
        <f>T1771</f>
        <v>0</v>
      </c>
      <c r="V1771" s="42"/>
      <c r="W1771" s="39"/>
      <c r="X1771" s="41"/>
      <c r="Y1771" s="41"/>
      <c r="Z1771" s="43">
        <f>T1771</f>
        <v>0</v>
      </c>
      <c r="AA1771" s="29"/>
      <c r="AB1771" s="29"/>
      <c r="AC1771" s="29"/>
      <c r="AD1771" s="29"/>
    </row>
    <row r="1772" spans="1:30" s="488" customFormat="1" ht="41.25" hidden="1" customHeight="1">
      <c r="A1772" s="492"/>
      <c r="B1772" s="643"/>
      <c r="C1772" s="513"/>
      <c r="D1772" s="514"/>
      <c r="E1772" s="670" t="s">
        <v>31</v>
      </c>
      <c r="F1772" s="670"/>
      <c r="G1772" s="670"/>
      <c r="H1772" s="670"/>
      <c r="I1772" s="670"/>
      <c r="J1772" s="670"/>
      <c r="K1772" s="670"/>
      <c r="L1772" s="498">
        <f>ROUND((I1768+J1768+K1768)*2.14%,2)</f>
        <v>3.58</v>
      </c>
      <c r="M1772" s="459">
        <f>L1772</f>
        <v>3.58</v>
      </c>
      <c r="N1772" s="655"/>
      <c r="O1772" s="656"/>
      <c r="P1772" s="657"/>
      <c r="Q1772" s="671"/>
      <c r="R1772" s="672"/>
      <c r="S1772" s="673"/>
      <c r="T1772" s="457">
        <f>H1768*M1772*N1768*O1768*P1768</f>
        <v>0</v>
      </c>
      <c r="U1772" s="458">
        <f>T1772</f>
        <v>0</v>
      </c>
      <c r="V1772" s="42"/>
      <c r="W1772" s="41"/>
      <c r="X1772" s="39"/>
      <c r="Y1772" s="41"/>
      <c r="Z1772" s="29"/>
      <c r="AA1772" s="43">
        <f>T1772</f>
        <v>0</v>
      </c>
      <c r="AB1772" s="29"/>
      <c r="AC1772" s="29"/>
      <c r="AD1772" s="29"/>
    </row>
    <row r="1773" spans="1:30" s="488" customFormat="1" ht="41.25" hidden="1" customHeight="1">
      <c r="A1773" s="492"/>
      <c r="B1773" s="643"/>
      <c r="C1773" s="515"/>
      <c r="D1773" s="514"/>
      <c r="E1773" s="670" t="s">
        <v>376</v>
      </c>
      <c r="F1773" s="670"/>
      <c r="G1773" s="670"/>
      <c r="H1773" s="670"/>
      <c r="I1773" s="670"/>
      <c r="J1773" s="670"/>
      <c r="K1773" s="670"/>
      <c r="L1773" s="498">
        <f>ROUND((I1768+J1768+K1768+L1771+L1772+L1776)*3%,2)-0.01</f>
        <v>5.61</v>
      </c>
      <c r="M1773" s="459">
        <f>L1773</f>
        <v>5.61</v>
      </c>
      <c r="N1773" s="655"/>
      <c r="O1773" s="656"/>
      <c r="P1773" s="657"/>
      <c r="Q1773" s="671"/>
      <c r="R1773" s="672"/>
      <c r="S1773" s="673"/>
      <c r="T1773" s="457">
        <f>H1768*M1773*N1768*O1768*P1768</f>
        <v>0</v>
      </c>
      <c r="U1773" s="458">
        <f>T1773</f>
        <v>0</v>
      </c>
      <c r="V1773" s="42"/>
      <c r="W1773" s="41"/>
      <c r="X1773" s="41"/>
      <c r="Y1773" s="39"/>
      <c r="Z1773" s="29"/>
      <c r="AA1773" s="29"/>
      <c r="AB1773" s="43">
        <f>T1773</f>
        <v>0</v>
      </c>
      <c r="AC1773" s="29"/>
      <c r="AD1773" s="29"/>
    </row>
    <row r="1774" spans="1:30" s="488" customFormat="1" ht="54.75" hidden="1" customHeight="1">
      <c r="A1774" s="492"/>
      <c r="B1774" s="643"/>
      <c r="C1774" s="515"/>
      <c r="D1774" s="514"/>
      <c r="E1774" s="670" t="s">
        <v>377</v>
      </c>
      <c r="F1774" s="670"/>
      <c r="G1774" s="670"/>
      <c r="H1774" s="670"/>
      <c r="I1774" s="670"/>
      <c r="J1774" s="670"/>
      <c r="K1774" s="670"/>
      <c r="L1774" s="498">
        <f>26.48-K1768-L1771-L1772-L1776</f>
        <v>0</v>
      </c>
      <c r="M1774" s="459">
        <f>L1774</f>
        <v>0</v>
      </c>
      <c r="N1774" s="655"/>
      <c r="O1774" s="656"/>
      <c r="P1774" s="657"/>
      <c r="Q1774" s="671"/>
      <c r="R1774" s="672"/>
      <c r="S1774" s="673"/>
      <c r="T1774" s="457">
        <f>H1768*M1774*N1768*O1768*P1768</f>
        <v>0</v>
      </c>
      <c r="U1774" s="458">
        <f>T1774</f>
        <v>0</v>
      </c>
      <c r="V1774" s="42"/>
      <c r="W1774" s="41"/>
      <c r="X1774" s="41"/>
      <c r="Y1774" s="41"/>
      <c r="Z1774" s="44"/>
      <c r="AA1774" s="29"/>
      <c r="AB1774" s="29"/>
      <c r="AC1774" s="44">
        <f>T1774</f>
        <v>0</v>
      </c>
      <c r="AD1774" s="29"/>
    </row>
    <row r="1775" spans="1:30" s="488" customFormat="1" ht="45" hidden="1" customHeight="1">
      <c r="A1775" s="492"/>
      <c r="B1775" s="643"/>
      <c r="C1775" s="515"/>
      <c r="D1775" s="514"/>
      <c r="E1775" s="674"/>
      <c r="F1775" s="675"/>
      <c r="G1775" s="675"/>
      <c r="H1775" s="675"/>
      <c r="I1775" s="675"/>
      <c r="J1775" s="675"/>
      <c r="K1775" s="675"/>
      <c r="L1775" s="675"/>
      <c r="M1775" s="676"/>
      <c r="N1775" s="655"/>
      <c r="O1775" s="656"/>
      <c r="P1775" s="657"/>
      <c r="Q1775" s="677"/>
      <c r="R1775" s="678"/>
      <c r="S1775" s="678"/>
      <c r="T1775" s="678"/>
      <c r="U1775" s="679"/>
      <c r="V1775" s="45"/>
      <c r="W1775" s="41"/>
      <c r="X1775" s="41"/>
      <c r="Y1775" s="41"/>
      <c r="Z1775" s="29"/>
      <c r="AA1775" s="44"/>
      <c r="AB1775" s="29"/>
      <c r="AC1775" s="29"/>
      <c r="AD1775" s="29"/>
    </row>
    <row r="1776" spans="1:30" s="488" customFormat="1" ht="45" hidden="1" customHeight="1" thickBot="1">
      <c r="A1776" s="492"/>
      <c r="B1776" s="644"/>
      <c r="C1776" s="516"/>
      <c r="D1776" s="517"/>
      <c r="E1776" s="680" t="s">
        <v>369</v>
      </c>
      <c r="F1776" s="680" t="s">
        <v>306</v>
      </c>
      <c r="G1776" s="680"/>
      <c r="H1776" s="680"/>
      <c r="I1776" s="680"/>
      <c r="J1776" s="680"/>
      <c r="K1776" s="680"/>
      <c r="L1776" s="499">
        <f>ROUND((I1768+J1768+K1768+L1771)*3.93%,2)</f>
        <v>6.94</v>
      </c>
      <c r="M1776" s="46">
        <f>L1776</f>
        <v>6.94</v>
      </c>
      <c r="N1776" s="658"/>
      <c r="O1776" s="659"/>
      <c r="P1776" s="660"/>
      <c r="Q1776" s="681"/>
      <c r="R1776" s="682"/>
      <c r="S1776" s="683"/>
      <c r="T1776" s="500">
        <f>H1768*M1776*N1768*O1768*P1768</f>
        <v>0</v>
      </c>
      <c r="U1776" s="47">
        <f>T1776</f>
        <v>0</v>
      </c>
      <c r="V1776" s="48"/>
      <c r="W1776" s="41"/>
      <c r="X1776" s="41"/>
      <c r="Y1776" s="41"/>
      <c r="Z1776" s="29"/>
      <c r="AA1776" s="29"/>
      <c r="AB1776" s="44"/>
      <c r="AC1776" s="29"/>
      <c r="AD1776" s="44">
        <f>T1776</f>
        <v>0</v>
      </c>
    </row>
    <row r="1777" spans="1:30" s="488" customFormat="1" ht="150" hidden="1" customHeight="1" thickBot="1">
      <c r="A1777" s="492"/>
      <c r="B1777" s="642">
        <v>2</v>
      </c>
      <c r="C1777" s="511">
        <v>10</v>
      </c>
      <c r="D1777" s="512"/>
      <c r="E1777" s="493" t="s">
        <v>671</v>
      </c>
      <c r="F1777" s="490" t="s">
        <v>764</v>
      </c>
      <c r="G1777" s="645" t="s">
        <v>388</v>
      </c>
      <c r="H1777" s="688">
        <v>0</v>
      </c>
      <c r="I1777" s="494">
        <v>173.34</v>
      </c>
      <c r="J1777" s="494">
        <v>6.93</v>
      </c>
      <c r="K1777" s="494">
        <v>6.57</v>
      </c>
      <c r="L1777" s="494">
        <f>SUM(L1779:L1785)</f>
        <v>28.5</v>
      </c>
      <c r="M1777" s="33">
        <f>SUM(I1777:L1777)</f>
        <v>215.34</v>
      </c>
      <c r="N1777" s="501">
        <v>1</v>
      </c>
      <c r="O1777" s="502">
        <v>1</v>
      </c>
      <c r="P1777" s="37">
        <v>1</v>
      </c>
      <c r="Q1777" s="34">
        <f>H1777*I1777*N1777*O1777*P1777</f>
        <v>0</v>
      </c>
      <c r="R1777" s="35">
        <f>H1777*J1777*N1777*O1777*P1777</f>
        <v>0</v>
      </c>
      <c r="S1777" s="36">
        <f>H1777*K1777*N1777*O1777*P1777</f>
        <v>0</v>
      </c>
      <c r="T1777" s="36">
        <f>H1777*L1777*N1777*O1777*P1777</f>
        <v>0</v>
      </c>
      <c r="U1777" s="37">
        <f>SUM(Q1777:T1777)</f>
        <v>0</v>
      </c>
      <c r="V1777" s="38">
        <f>(Q1777+R1777+S1777+T1781+T1782+T1783+T1785)*'Прогнозная стоимость РСС ИП '!$M$11+T1780*'Прогнозная стоимость РСС ИП '!$M$10</f>
        <v>0</v>
      </c>
      <c r="W1777" s="39">
        <f>T1777</f>
        <v>0</v>
      </c>
      <c r="X1777" s="39">
        <f>U1777</f>
        <v>0</v>
      </c>
      <c r="Y1777" s="39">
        <f>V1777</f>
        <v>0</v>
      </c>
      <c r="Z1777" s="29"/>
      <c r="AA1777" s="29"/>
      <c r="AB1777" s="29"/>
      <c r="AC1777" s="29"/>
      <c r="AD1777" s="29"/>
    </row>
    <row r="1778" spans="1:30" s="488" customFormat="1" ht="41.25" hidden="1" customHeight="1">
      <c r="A1778" s="492"/>
      <c r="B1778" s="643"/>
      <c r="C1778" s="513"/>
      <c r="D1778" s="514"/>
      <c r="E1778" s="495"/>
      <c r="F1778" s="496"/>
      <c r="G1778" s="646"/>
      <c r="H1778" s="688"/>
      <c r="I1778" s="649"/>
      <c r="J1778" s="650"/>
      <c r="K1778" s="650"/>
      <c r="L1778" s="650"/>
      <c r="M1778" s="651"/>
      <c r="N1778" s="652"/>
      <c r="O1778" s="653"/>
      <c r="P1778" s="654"/>
      <c r="Q1778" s="661"/>
      <c r="R1778" s="662"/>
      <c r="S1778" s="662"/>
      <c r="T1778" s="662"/>
      <c r="U1778" s="663"/>
      <c r="V1778" s="40"/>
      <c r="W1778" s="41"/>
      <c r="X1778" s="41"/>
      <c r="Y1778" s="41"/>
      <c r="Z1778" s="29"/>
      <c r="AA1778" s="29"/>
      <c r="AB1778" s="29"/>
      <c r="AC1778" s="29"/>
      <c r="AD1778" s="29"/>
    </row>
    <row r="1779" spans="1:30" s="488" customFormat="1" ht="41.25" hidden="1" customHeight="1">
      <c r="A1779" s="492"/>
      <c r="B1779" s="643"/>
      <c r="C1779" s="513"/>
      <c r="D1779" s="514"/>
      <c r="E1779" s="664" t="s">
        <v>29</v>
      </c>
      <c r="F1779" s="665"/>
      <c r="G1779" s="665"/>
      <c r="H1779" s="665"/>
      <c r="I1779" s="665"/>
      <c r="J1779" s="665"/>
      <c r="K1779" s="665"/>
      <c r="L1779" s="665"/>
      <c r="M1779" s="666"/>
      <c r="N1779" s="655"/>
      <c r="O1779" s="656"/>
      <c r="P1779" s="657"/>
      <c r="Q1779" s="667"/>
      <c r="R1779" s="689"/>
      <c r="S1779" s="689"/>
      <c r="T1779" s="689"/>
      <c r="U1779" s="690"/>
      <c r="V1779" s="42"/>
      <c r="W1779" s="41"/>
      <c r="X1779" s="41"/>
      <c r="Y1779" s="41"/>
      <c r="Z1779" s="29"/>
      <c r="AA1779" s="29"/>
      <c r="AB1779" s="29"/>
      <c r="AC1779" s="29"/>
      <c r="AD1779" s="29"/>
    </row>
    <row r="1780" spans="1:30" s="488" customFormat="1" ht="41.25" hidden="1" customHeight="1">
      <c r="A1780" s="492"/>
      <c r="B1780" s="643"/>
      <c r="C1780" s="513">
        <v>1010</v>
      </c>
      <c r="D1780" s="514"/>
      <c r="E1780" s="670" t="s">
        <v>30</v>
      </c>
      <c r="F1780" s="670"/>
      <c r="G1780" s="670"/>
      <c r="H1780" s="670"/>
      <c r="I1780" s="670"/>
      <c r="J1780" s="670"/>
      <c r="K1780" s="670"/>
      <c r="L1780" s="498">
        <v>10.48</v>
      </c>
      <c r="M1780" s="459">
        <f>L1780</f>
        <v>10.48</v>
      </c>
      <c r="N1780" s="655"/>
      <c r="O1780" s="656"/>
      <c r="P1780" s="657"/>
      <c r="Q1780" s="671"/>
      <c r="R1780" s="672"/>
      <c r="S1780" s="673"/>
      <c r="T1780" s="457">
        <f>H1777*M1780*N1777*O1777*P1777</f>
        <v>0</v>
      </c>
      <c r="U1780" s="458">
        <f>T1780</f>
        <v>0</v>
      </c>
      <c r="V1780" s="42"/>
      <c r="W1780" s="39"/>
      <c r="X1780" s="41"/>
      <c r="Y1780" s="41"/>
      <c r="Z1780" s="43">
        <f>T1780</f>
        <v>0</v>
      </c>
      <c r="AA1780" s="29"/>
      <c r="AB1780" s="29"/>
      <c r="AC1780" s="29"/>
      <c r="AD1780" s="29"/>
    </row>
    <row r="1781" spans="1:30" s="488" customFormat="1" ht="41.25" hidden="1" customHeight="1">
      <c r="A1781" s="492"/>
      <c r="B1781" s="643"/>
      <c r="C1781" s="513"/>
      <c r="D1781" s="514"/>
      <c r="E1781" s="670" t="s">
        <v>31</v>
      </c>
      <c r="F1781" s="670"/>
      <c r="G1781" s="670"/>
      <c r="H1781" s="670"/>
      <c r="I1781" s="670"/>
      <c r="J1781" s="670"/>
      <c r="K1781" s="670"/>
      <c r="L1781" s="498">
        <f>ROUND((I1777+J1777+K1777)*2.14%,2)</f>
        <v>4</v>
      </c>
      <c r="M1781" s="459">
        <f>L1781</f>
        <v>4</v>
      </c>
      <c r="N1781" s="655"/>
      <c r="O1781" s="656"/>
      <c r="P1781" s="657"/>
      <c r="Q1781" s="671"/>
      <c r="R1781" s="672"/>
      <c r="S1781" s="673"/>
      <c r="T1781" s="457">
        <f>H1777*M1781*N1777*O1777*P1777</f>
        <v>0</v>
      </c>
      <c r="U1781" s="458">
        <f>T1781</f>
        <v>0</v>
      </c>
      <c r="V1781" s="42"/>
      <c r="W1781" s="41"/>
      <c r="X1781" s="39"/>
      <c r="Y1781" s="41"/>
      <c r="Z1781" s="29"/>
      <c r="AA1781" s="43">
        <f>T1781</f>
        <v>0</v>
      </c>
      <c r="AB1781" s="29"/>
      <c r="AC1781" s="29"/>
      <c r="AD1781" s="29"/>
    </row>
    <row r="1782" spans="1:30" s="488" customFormat="1" ht="41.25" hidden="1" customHeight="1">
      <c r="A1782" s="492"/>
      <c r="B1782" s="643"/>
      <c r="C1782" s="515"/>
      <c r="D1782" s="514"/>
      <c r="E1782" s="670" t="s">
        <v>376</v>
      </c>
      <c r="F1782" s="670"/>
      <c r="G1782" s="670"/>
      <c r="H1782" s="670"/>
      <c r="I1782" s="670"/>
      <c r="J1782" s="670"/>
      <c r="K1782" s="670"/>
      <c r="L1782" s="498">
        <f>ROUND((I1777+J1777+K1777+L1780+L1781+L1785)*3%,2)</f>
        <v>6.27</v>
      </c>
      <c r="M1782" s="459">
        <f>L1782</f>
        <v>6.27</v>
      </c>
      <c r="N1782" s="655"/>
      <c r="O1782" s="656"/>
      <c r="P1782" s="657"/>
      <c r="Q1782" s="671"/>
      <c r="R1782" s="672"/>
      <c r="S1782" s="673"/>
      <c r="T1782" s="457">
        <f>H1777*M1782*N1777*O1777*P1777</f>
        <v>0</v>
      </c>
      <c r="U1782" s="458">
        <f>T1782</f>
        <v>0</v>
      </c>
      <c r="V1782" s="42"/>
      <c r="W1782" s="41"/>
      <c r="X1782" s="41"/>
      <c r="Y1782" s="39"/>
      <c r="Z1782" s="29"/>
      <c r="AA1782" s="29"/>
      <c r="AB1782" s="43">
        <f>T1782</f>
        <v>0</v>
      </c>
      <c r="AC1782" s="29"/>
      <c r="AD1782" s="29"/>
    </row>
    <row r="1783" spans="1:30" s="488" customFormat="1" ht="54.75" hidden="1" customHeight="1">
      <c r="A1783" s="492"/>
      <c r="B1783" s="643"/>
      <c r="C1783" s="515"/>
      <c r="D1783" s="514"/>
      <c r="E1783" s="670" t="s">
        <v>377</v>
      </c>
      <c r="F1783" s="670"/>
      <c r="G1783" s="670"/>
      <c r="H1783" s="670"/>
      <c r="I1783" s="670"/>
      <c r="J1783" s="670"/>
      <c r="K1783" s="670"/>
      <c r="L1783" s="498">
        <f>28.8-K1777-L1780-L1781-L1785</f>
        <v>0</v>
      </c>
      <c r="M1783" s="459">
        <f>L1783</f>
        <v>0</v>
      </c>
      <c r="N1783" s="655"/>
      <c r="O1783" s="656"/>
      <c r="P1783" s="657"/>
      <c r="Q1783" s="671"/>
      <c r="R1783" s="672"/>
      <c r="S1783" s="673"/>
      <c r="T1783" s="457">
        <f>H1777*M1783*N1777*O1777*P1777</f>
        <v>0</v>
      </c>
      <c r="U1783" s="458">
        <f>T1783</f>
        <v>0</v>
      </c>
      <c r="V1783" s="42"/>
      <c r="W1783" s="41"/>
      <c r="X1783" s="41"/>
      <c r="Y1783" s="41"/>
      <c r="Z1783" s="44"/>
      <c r="AA1783" s="29"/>
      <c r="AB1783" s="29"/>
      <c r="AC1783" s="44">
        <f>T1783</f>
        <v>0</v>
      </c>
      <c r="AD1783" s="29"/>
    </row>
    <row r="1784" spans="1:30" s="488" customFormat="1" ht="45" hidden="1" customHeight="1">
      <c r="A1784" s="492"/>
      <c r="B1784" s="643"/>
      <c r="C1784" s="515"/>
      <c r="D1784" s="514"/>
      <c r="E1784" s="674"/>
      <c r="F1784" s="675"/>
      <c r="G1784" s="675"/>
      <c r="H1784" s="675"/>
      <c r="I1784" s="675"/>
      <c r="J1784" s="675"/>
      <c r="K1784" s="675"/>
      <c r="L1784" s="675"/>
      <c r="M1784" s="676"/>
      <c r="N1784" s="655"/>
      <c r="O1784" s="656"/>
      <c r="P1784" s="657"/>
      <c r="Q1784" s="677"/>
      <c r="R1784" s="678"/>
      <c r="S1784" s="678"/>
      <c r="T1784" s="678"/>
      <c r="U1784" s="679"/>
      <c r="V1784" s="45"/>
      <c r="W1784" s="41"/>
      <c r="X1784" s="41"/>
      <c r="Y1784" s="41"/>
      <c r="Z1784" s="29"/>
      <c r="AA1784" s="44"/>
      <c r="AB1784" s="29"/>
      <c r="AC1784" s="29"/>
      <c r="AD1784" s="29"/>
    </row>
    <row r="1785" spans="1:30" s="488" customFormat="1" ht="45" hidden="1" customHeight="1" thickBot="1">
      <c r="A1785" s="492"/>
      <c r="B1785" s="644"/>
      <c r="C1785" s="516"/>
      <c r="D1785" s="517"/>
      <c r="E1785" s="680" t="s">
        <v>369</v>
      </c>
      <c r="F1785" s="680" t="s">
        <v>306</v>
      </c>
      <c r="G1785" s="680"/>
      <c r="H1785" s="680"/>
      <c r="I1785" s="680"/>
      <c r="J1785" s="680"/>
      <c r="K1785" s="680"/>
      <c r="L1785" s="499">
        <f>ROUND((I1777+J1777+K1777+L1780)*3.93%,2)</f>
        <v>7.75</v>
      </c>
      <c r="M1785" s="46">
        <f>L1785</f>
        <v>7.75</v>
      </c>
      <c r="N1785" s="658"/>
      <c r="O1785" s="659"/>
      <c r="P1785" s="660"/>
      <c r="Q1785" s="681"/>
      <c r="R1785" s="682"/>
      <c r="S1785" s="683"/>
      <c r="T1785" s="500">
        <f>H1777*M1785*N1777*O1777*P1777</f>
        <v>0</v>
      </c>
      <c r="U1785" s="47">
        <f>T1785</f>
        <v>0</v>
      </c>
      <c r="V1785" s="48"/>
      <c r="W1785" s="41"/>
      <c r="X1785" s="41"/>
      <c r="Y1785" s="41"/>
      <c r="Z1785" s="29"/>
      <c r="AA1785" s="29"/>
      <c r="AB1785" s="44"/>
      <c r="AC1785" s="29"/>
      <c r="AD1785" s="44">
        <f>T1785</f>
        <v>0</v>
      </c>
    </row>
    <row r="1786" spans="1:30" s="488" customFormat="1" ht="150" hidden="1" customHeight="1" thickBot="1">
      <c r="A1786" s="492"/>
      <c r="B1786" s="642">
        <v>2</v>
      </c>
      <c r="C1786" s="511">
        <v>10</v>
      </c>
      <c r="D1786" s="512"/>
      <c r="E1786" s="493" t="s">
        <v>672</v>
      </c>
      <c r="F1786" s="490" t="s">
        <v>765</v>
      </c>
      <c r="G1786" s="645" t="s">
        <v>388</v>
      </c>
      <c r="H1786" s="688">
        <v>0</v>
      </c>
      <c r="I1786" s="494">
        <v>225.66</v>
      </c>
      <c r="J1786" s="494">
        <v>6.93</v>
      </c>
      <c r="K1786" s="494">
        <v>6.57</v>
      </c>
      <c r="L1786" s="494">
        <f>SUM(L1788:L1794)</f>
        <v>36.51</v>
      </c>
      <c r="M1786" s="33">
        <f>SUM(I1786:L1786)</f>
        <v>275.67</v>
      </c>
      <c r="N1786" s="501">
        <v>1</v>
      </c>
      <c r="O1786" s="502">
        <v>1</v>
      </c>
      <c r="P1786" s="37">
        <v>1</v>
      </c>
      <c r="Q1786" s="34">
        <f>H1786*I1786*N1786*O1786*P1786</f>
        <v>0</v>
      </c>
      <c r="R1786" s="35">
        <f>H1786*J1786*N1786*O1786*P1786</f>
        <v>0</v>
      </c>
      <c r="S1786" s="36">
        <f>H1786*K1786*N1786*O1786*P1786</f>
        <v>0</v>
      </c>
      <c r="T1786" s="36">
        <f>H1786*L1786*N1786*O1786*P1786</f>
        <v>0</v>
      </c>
      <c r="U1786" s="37">
        <f>SUM(Q1786:T1786)</f>
        <v>0</v>
      </c>
      <c r="V1786" s="38">
        <f>(Q1786+R1786+S1786+T1790+T1791+T1792+T1794)*'Прогнозная стоимость РСС ИП '!$M$11+T1789*'Прогнозная стоимость РСС ИП '!$M$10</f>
        <v>0</v>
      </c>
      <c r="W1786" s="39">
        <f>T1786</f>
        <v>0</v>
      </c>
      <c r="X1786" s="39">
        <f>U1786</f>
        <v>0</v>
      </c>
      <c r="Y1786" s="39">
        <f>V1786</f>
        <v>0</v>
      </c>
      <c r="Z1786" s="29"/>
      <c r="AA1786" s="29"/>
      <c r="AB1786" s="29"/>
      <c r="AC1786" s="29"/>
      <c r="AD1786" s="29"/>
    </row>
    <row r="1787" spans="1:30" s="488" customFormat="1" ht="41.25" hidden="1" customHeight="1">
      <c r="A1787" s="492"/>
      <c r="B1787" s="643"/>
      <c r="C1787" s="513"/>
      <c r="D1787" s="514"/>
      <c r="E1787" s="495"/>
      <c r="F1787" s="496"/>
      <c r="G1787" s="646"/>
      <c r="H1787" s="688"/>
      <c r="I1787" s="649"/>
      <c r="J1787" s="650"/>
      <c r="K1787" s="650"/>
      <c r="L1787" s="650"/>
      <c r="M1787" s="651"/>
      <c r="N1787" s="652"/>
      <c r="O1787" s="653"/>
      <c r="P1787" s="654"/>
      <c r="Q1787" s="661"/>
      <c r="R1787" s="662"/>
      <c r="S1787" s="662"/>
      <c r="T1787" s="662"/>
      <c r="U1787" s="663"/>
      <c r="V1787" s="40"/>
      <c r="W1787" s="41"/>
      <c r="X1787" s="41"/>
      <c r="Y1787" s="41"/>
      <c r="Z1787" s="29"/>
      <c r="AA1787" s="29"/>
      <c r="AB1787" s="29"/>
      <c r="AC1787" s="29"/>
      <c r="AD1787" s="29"/>
    </row>
    <row r="1788" spans="1:30" s="488" customFormat="1" ht="41.25" hidden="1" customHeight="1">
      <c r="A1788" s="492"/>
      <c r="B1788" s="643"/>
      <c r="C1788" s="513"/>
      <c r="D1788" s="514"/>
      <c r="E1788" s="664" t="s">
        <v>29</v>
      </c>
      <c r="F1788" s="665"/>
      <c r="G1788" s="665"/>
      <c r="H1788" s="665"/>
      <c r="I1788" s="665"/>
      <c r="J1788" s="665"/>
      <c r="K1788" s="665"/>
      <c r="L1788" s="665"/>
      <c r="M1788" s="666"/>
      <c r="N1788" s="655"/>
      <c r="O1788" s="656"/>
      <c r="P1788" s="657"/>
      <c r="Q1788" s="667"/>
      <c r="R1788" s="689"/>
      <c r="S1788" s="689"/>
      <c r="T1788" s="689"/>
      <c r="U1788" s="690"/>
      <c r="V1788" s="42"/>
      <c r="W1788" s="41"/>
      <c r="X1788" s="41"/>
      <c r="Y1788" s="41"/>
      <c r="Z1788" s="29"/>
      <c r="AA1788" s="29"/>
      <c r="AB1788" s="29"/>
      <c r="AC1788" s="29"/>
      <c r="AD1788" s="29"/>
    </row>
    <row r="1789" spans="1:30" s="488" customFormat="1" ht="41.25" hidden="1" customHeight="1">
      <c r="A1789" s="492"/>
      <c r="B1789" s="643"/>
      <c r="C1789" s="513">
        <v>1010</v>
      </c>
      <c r="D1789" s="514"/>
      <c r="E1789" s="670" t="s">
        <v>30</v>
      </c>
      <c r="F1789" s="670"/>
      <c r="G1789" s="670"/>
      <c r="H1789" s="670"/>
      <c r="I1789" s="670"/>
      <c r="J1789" s="670"/>
      <c r="K1789" s="670"/>
      <c r="L1789" s="498">
        <v>13.43</v>
      </c>
      <c r="M1789" s="459">
        <f>L1789</f>
        <v>13.43</v>
      </c>
      <c r="N1789" s="655"/>
      <c r="O1789" s="656"/>
      <c r="P1789" s="657"/>
      <c r="Q1789" s="671"/>
      <c r="R1789" s="672"/>
      <c r="S1789" s="673"/>
      <c r="T1789" s="457">
        <f>H1786*M1789*N1786*O1786*P1786</f>
        <v>0</v>
      </c>
      <c r="U1789" s="458">
        <f>T1789</f>
        <v>0</v>
      </c>
      <c r="V1789" s="42"/>
      <c r="W1789" s="39"/>
      <c r="X1789" s="41"/>
      <c r="Y1789" s="41"/>
      <c r="Z1789" s="43">
        <f>T1789</f>
        <v>0</v>
      </c>
      <c r="AA1789" s="29"/>
      <c r="AB1789" s="29"/>
      <c r="AC1789" s="29"/>
      <c r="AD1789" s="29"/>
    </row>
    <row r="1790" spans="1:30" s="488" customFormat="1" ht="41.25" hidden="1" customHeight="1">
      <c r="A1790" s="492"/>
      <c r="B1790" s="643"/>
      <c r="C1790" s="513"/>
      <c r="D1790" s="514"/>
      <c r="E1790" s="670" t="s">
        <v>31</v>
      </c>
      <c r="F1790" s="670"/>
      <c r="G1790" s="670"/>
      <c r="H1790" s="670"/>
      <c r="I1790" s="670"/>
      <c r="J1790" s="670"/>
      <c r="K1790" s="670"/>
      <c r="L1790" s="498">
        <f>ROUND((I1786+J1786+K1786)*2.14%,2)</f>
        <v>5.12</v>
      </c>
      <c r="M1790" s="459">
        <f>L1790</f>
        <v>5.12</v>
      </c>
      <c r="N1790" s="655"/>
      <c r="O1790" s="656"/>
      <c r="P1790" s="657"/>
      <c r="Q1790" s="671"/>
      <c r="R1790" s="672"/>
      <c r="S1790" s="673"/>
      <c r="T1790" s="457">
        <f>H1786*M1790*N1786*O1786*P1786</f>
        <v>0</v>
      </c>
      <c r="U1790" s="458">
        <f>T1790</f>
        <v>0</v>
      </c>
      <c r="V1790" s="42"/>
      <c r="W1790" s="41"/>
      <c r="X1790" s="39"/>
      <c r="Y1790" s="41"/>
      <c r="Z1790" s="29"/>
      <c r="AA1790" s="43">
        <f>T1790</f>
        <v>0</v>
      </c>
      <c r="AB1790" s="29"/>
      <c r="AC1790" s="29"/>
      <c r="AD1790" s="29"/>
    </row>
    <row r="1791" spans="1:30" s="488" customFormat="1" ht="41.25" hidden="1" customHeight="1">
      <c r="A1791" s="492"/>
      <c r="B1791" s="643"/>
      <c r="C1791" s="515"/>
      <c r="D1791" s="514"/>
      <c r="E1791" s="670" t="s">
        <v>376</v>
      </c>
      <c r="F1791" s="670"/>
      <c r="G1791" s="670"/>
      <c r="H1791" s="670"/>
      <c r="I1791" s="670"/>
      <c r="J1791" s="670"/>
      <c r="K1791" s="670"/>
      <c r="L1791" s="498">
        <f>ROUND((I1786+J1786+K1786+L1789+L1790+L1794)*3%,2)</f>
        <v>8.0299999999999994</v>
      </c>
      <c r="M1791" s="459">
        <f>L1791</f>
        <v>8.0299999999999994</v>
      </c>
      <c r="N1791" s="655"/>
      <c r="O1791" s="656"/>
      <c r="P1791" s="657"/>
      <c r="Q1791" s="671"/>
      <c r="R1791" s="672"/>
      <c r="S1791" s="673"/>
      <c r="T1791" s="457">
        <f>H1786*M1791*N1786*O1786*P1786</f>
        <v>0</v>
      </c>
      <c r="U1791" s="458">
        <f>T1791</f>
        <v>0</v>
      </c>
      <c r="V1791" s="42"/>
      <c r="W1791" s="41"/>
      <c r="X1791" s="41"/>
      <c r="Y1791" s="39"/>
      <c r="Z1791" s="29"/>
      <c r="AA1791" s="29"/>
      <c r="AB1791" s="43">
        <f>T1791</f>
        <v>0</v>
      </c>
      <c r="AC1791" s="29"/>
      <c r="AD1791" s="29"/>
    </row>
    <row r="1792" spans="1:30" s="488" customFormat="1" ht="54.75" hidden="1" customHeight="1">
      <c r="A1792" s="492"/>
      <c r="B1792" s="643"/>
      <c r="C1792" s="515"/>
      <c r="D1792" s="514"/>
      <c r="E1792" s="670" t="s">
        <v>377</v>
      </c>
      <c r="F1792" s="670"/>
      <c r="G1792" s="670"/>
      <c r="H1792" s="670"/>
      <c r="I1792" s="670"/>
      <c r="J1792" s="670"/>
      <c r="K1792" s="670"/>
      <c r="L1792" s="498">
        <f>35.05-K1786-L1789-L1790-L1794</f>
        <v>0</v>
      </c>
      <c r="M1792" s="459">
        <f>L1792</f>
        <v>0</v>
      </c>
      <c r="N1792" s="655"/>
      <c r="O1792" s="656"/>
      <c r="P1792" s="657"/>
      <c r="Q1792" s="671"/>
      <c r="R1792" s="672"/>
      <c r="S1792" s="673"/>
      <c r="T1792" s="457">
        <f>H1786*M1792*N1786*O1786*P1786</f>
        <v>0</v>
      </c>
      <c r="U1792" s="458">
        <f>T1792</f>
        <v>0</v>
      </c>
      <c r="V1792" s="42"/>
      <c r="W1792" s="41"/>
      <c r="X1792" s="41"/>
      <c r="Y1792" s="41"/>
      <c r="Z1792" s="44"/>
      <c r="AA1792" s="29"/>
      <c r="AB1792" s="29"/>
      <c r="AC1792" s="44">
        <f>T1792</f>
        <v>0</v>
      </c>
      <c r="AD1792" s="29"/>
    </row>
    <row r="1793" spans="1:30" s="488" customFormat="1" ht="45" hidden="1" customHeight="1">
      <c r="A1793" s="492"/>
      <c r="B1793" s="643"/>
      <c r="C1793" s="515"/>
      <c r="D1793" s="514"/>
      <c r="E1793" s="674"/>
      <c r="F1793" s="675"/>
      <c r="G1793" s="675"/>
      <c r="H1793" s="675"/>
      <c r="I1793" s="675"/>
      <c r="J1793" s="675"/>
      <c r="K1793" s="675"/>
      <c r="L1793" s="675"/>
      <c r="M1793" s="676"/>
      <c r="N1793" s="655"/>
      <c r="O1793" s="656"/>
      <c r="P1793" s="657"/>
      <c r="Q1793" s="677"/>
      <c r="R1793" s="678"/>
      <c r="S1793" s="678"/>
      <c r="T1793" s="678"/>
      <c r="U1793" s="679"/>
      <c r="V1793" s="45"/>
      <c r="W1793" s="41"/>
      <c r="X1793" s="41"/>
      <c r="Y1793" s="41"/>
      <c r="Z1793" s="29"/>
      <c r="AA1793" s="44"/>
      <c r="AB1793" s="29"/>
      <c r="AC1793" s="29"/>
      <c r="AD1793" s="29"/>
    </row>
    <row r="1794" spans="1:30" s="488" customFormat="1" ht="45" hidden="1" customHeight="1" thickBot="1">
      <c r="A1794" s="492"/>
      <c r="B1794" s="644"/>
      <c r="C1794" s="516"/>
      <c r="D1794" s="517"/>
      <c r="E1794" s="680" t="s">
        <v>369</v>
      </c>
      <c r="F1794" s="680" t="s">
        <v>306</v>
      </c>
      <c r="G1794" s="680"/>
      <c r="H1794" s="680"/>
      <c r="I1794" s="680"/>
      <c r="J1794" s="680"/>
      <c r="K1794" s="680"/>
      <c r="L1794" s="499">
        <f>ROUND((I1786+J1786+K1786+L1789)*3.93%,2)</f>
        <v>9.93</v>
      </c>
      <c r="M1794" s="46">
        <f>L1794</f>
        <v>9.93</v>
      </c>
      <c r="N1794" s="658"/>
      <c r="O1794" s="659"/>
      <c r="P1794" s="660"/>
      <c r="Q1794" s="681"/>
      <c r="R1794" s="682"/>
      <c r="S1794" s="683"/>
      <c r="T1794" s="500">
        <f>H1786*M1794*N1786*O1786*P1786</f>
        <v>0</v>
      </c>
      <c r="U1794" s="47">
        <f>T1794</f>
        <v>0</v>
      </c>
      <c r="V1794" s="48"/>
      <c r="W1794" s="41"/>
      <c r="X1794" s="41"/>
      <c r="Y1794" s="41"/>
      <c r="Z1794" s="29"/>
      <c r="AA1794" s="29"/>
      <c r="AB1794" s="44"/>
      <c r="AC1794" s="29"/>
      <c r="AD1794" s="44">
        <f>T1794</f>
        <v>0</v>
      </c>
    </row>
    <row r="1795" spans="1:30" ht="48.75" customHeight="1">
      <c r="A1795" s="25"/>
      <c r="B1795" s="691"/>
      <c r="C1795" s="694"/>
      <c r="D1795" s="695"/>
      <c r="E1795" s="700" t="s">
        <v>352</v>
      </c>
      <c r="F1795" s="701"/>
      <c r="G1795" s="701"/>
      <c r="H1795" s="701"/>
      <c r="I1795" s="701"/>
      <c r="J1795" s="701"/>
      <c r="K1795" s="701"/>
      <c r="L1795" s="701"/>
      <c r="M1795" s="702"/>
      <c r="N1795" s="703"/>
      <c r="O1795" s="704"/>
      <c r="P1795" s="704"/>
      <c r="Q1795" s="49">
        <f>SUM(Q13:Q1794)</f>
        <v>0</v>
      </c>
      <c r="R1795" s="50">
        <f>SUM(R13:R1794)</f>
        <v>10.465199999999999</v>
      </c>
      <c r="S1795" s="50">
        <f>SUM(S13:S1794)</f>
        <v>0.24239999999999998</v>
      </c>
      <c r="T1795" s="50">
        <f>W1795</f>
        <v>1.8439928000000001</v>
      </c>
      <c r="U1795" s="50">
        <f>X1795</f>
        <v>12.5515928</v>
      </c>
      <c r="V1795" s="51">
        <f>Y1795</f>
        <v>13851.121960547998</v>
      </c>
      <c r="W1795" s="39">
        <f>SUM(W13:W1794)</f>
        <v>1.8439928000000001</v>
      </c>
      <c r="X1795" s="39">
        <f>SUM(X7:X1794)</f>
        <v>12.5515928</v>
      </c>
      <c r="Y1795" s="39">
        <f>SUM(Y7:Y1794)</f>
        <v>13851.121960547998</v>
      </c>
      <c r="Z1795" s="52"/>
      <c r="AA1795" s="52"/>
      <c r="AB1795" s="52"/>
      <c r="AC1795" s="29"/>
      <c r="AD1795" s="29"/>
    </row>
    <row r="1796" spans="1:30" ht="33.75" customHeight="1">
      <c r="A1796" s="25"/>
      <c r="B1796" s="692"/>
      <c r="C1796" s="696"/>
      <c r="D1796" s="697"/>
      <c r="E1796" s="709" t="s">
        <v>32</v>
      </c>
      <c r="F1796" s="710"/>
      <c r="G1796" s="710"/>
      <c r="H1796" s="710"/>
      <c r="I1796" s="710"/>
      <c r="J1796" s="710"/>
      <c r="K1796" s="710"/>
      <c r="L1796" s="710"/>
      <c r="M1796" s="711"/>
      <c r="N1796" s="705"/>
      <c r="O1796" s="706"/>
      <c r="P1796" s="706"/>
      <c r="Q1796" s="53"/>
      <c r="R1796" s="54"/>
      <c r="S1796" s="55"/>
      <c r="T1796" s="56">
        <f>Z1796</f>
        <v>0.79719280000000003</v>
      </c>
      <c r="U1796" s="54"/>
      <c r="V1796" s="57"/>
      <c r="W1796" s="29"/>
      <c r="X1796" s="29"/>
      <c r="Y1796" s="29"/>
      <c r="Z1796" s="39">
        <f>SUM(Z8:Z1795)</f>
        <v>0.79719280000000003</v>
      </c>
      <c r="AA1796" s="29"/>
      <c r="AB1796" s="29"/>
      <c r="AC1796" s="29"/>
      <c r="AD1796" s="29"/>
    </row>
    <row r="1797" spans="1:30" ht="33.75" customHeight="1">
      <c r="A1797" s="25"/>
      <c r="B1797" s="692"/>
      <c r="C1797" s="696"/>
      <c r="D1797" s="697"/>
      <c r="E1797" s="709" t="s">
        <v>33</v>
      </c>
      <c r="F1797" s="710"/>
      <c r="G1797" s="710"/>
      <c r="H1797" s="710"/>
      <c r="I1797" s="710"/>
      <c r="J1797" s="710"/>
      <c r="K1797" s="710"/>
      <c r="L1797" s="710"/>
      <c r="M1797" s="711"/>
      <c r="N1797" s="705"/>
      <c r="O1797" s="706"/>
      <c r="P1797" s="706"/>
      <c r="Q1797" s="53"/>
      <c r="R1797" s="54"/>
      <c r="S1797" s="55"/>
      <c r="T1797" s="56">
        <f>AA1797</f>
        <v>0.22920000000000001</v>
      </c>
      <c r="U1797" s="54"/>
      <c r="V1797" s="57"/>
      <c r="W1797" s="29"/>
      <c r="X1797" s="29"/>
      <c r="Y1797" s="29"/>
      <c r="Z1797" s="29"/>
      <c r="AA1797" s="39">
        <f>SUM(AA9:AA1796)</f>
        <v>0.22920000000000001</v>
      </c>
      <c r="AB1797" s="29"/>
      <c r="AC1797" s="29"/>
      <c r="AD1797" s="29"/>
    </row>
    <row r="1798" spans="1:30" ht="33.75" customHeight="1">
      <c r="A1798" s="25"/>
      <c r="B1798" s="692"/>
      <c r="C1798" s="696"/>
      <c r="D1798" s="697"/>
      <c r="E1798" s="734" t="s">
        <v>34</v>
      </c>
      <c r="F1798" s="735"/>
      <c r="G1798" s="735"/>
      <c r="H1798" s="735"/>
      <c r="I1798" s="735"/>
      <c r="J1798" s="735"/>
      <c r="K1798" s="735"/>
      <c r="L1798" s="735"/>
      <c r="M1798" s="736"/>
      <c r="N1798" s="705"/>
      <c r="O1798" s="706"/>
      <c r="P1798" s="706"/>
      <c r="Q1798" s="58"/>
      <c r="R1798" s="59"/>
      <c r="S1798" s="55"/>
      <c r="T1798" s="56">
        <f>AB1798</f>
        <v>0.3654</v>
      </c>
      <c r="U1798" s="59"/>
      <c r="V1798" s="57"/>
      <c r="W1798" s="29"/>
      <c r="X1798" s="29"/>
      <c r="Y1798" s="29"/>
      <c r="Z1798" s="29"/>
      <c r="AA1798" s="29"/>
      <c r="AB1798" s="39">
        <f>SUM(AB10:AB1797)</f>
        <v>0.3654</v>
      </c>
      <c r="AC1798" s="29"/>
      <c r="AD1798" s="29"/>
    </row>
    <row r="1799" spans="1:30" ht="54.75" customHeight="1">
      <c r="A1799" s="25"/>
      <c r="B1799" s="692"/>
      <c r="C1799" s="696"/>
      <c r="D1799" s="697"/>
      <c r="E1799" s="737" t="s">
        <v>35</v>
      </c>
      <c r="F1799" s="738"/>
      <c r="G1799" s="738"/>
      <c r="H1799" s="738"/>
      <c r="I1799" s="738"/>
      <c r="J1799" s="738"/>
      <c r="K1799" s="738"/>
      <c r="L1799" s="738"/>
      <c r="M1799" s="739"/>
      <c r="N1799" s="705"/>
      <c r="O1799" s="706"/>
      <c r="P1799" s="706"/>
      <c r="Q1799" s="58"/>
      <c r="R1799" s="59"/>
      <c r="S1799" s="55"/>
      <c r="T1799" s="56">
        <f>AC1799</f>
        <v>0</v>
      </c>
      <c r="U1799" s="59"/>
      <c r="V1799" s="57"/>
      <c r="W1799" s="29"/>
      <c r="X1799" s="29"/>
      <c r="Y1799" s="29"/>
      <c r="Z1799" s="29"/>
      <c r="AA1799" s="29"/>
      <c r="AB1799" s="29"/>
      <c r="AC1799" s="39">
        <f>SUM(AC11:AC1798)</f>
        <v>0</v>
      </c>
      <c r="AD1799" s="29"/>
    </row>
    <row r="1800" spans="1:30" ht="11.25" customHeight="1">
      <c r="A1800" s="25"/>
      <c r="B1800" s="692"/>
      <c r="C1800" s="696"/>
      <c r="D1800" s="697"/>
      <c r="E1800" s="489"/>
      <c r="F1800" s="60"/>
      <c r="G1800" s="60"/>
      <c r="H1800" s="60"/>
      <c r="I1800" s="60"/>
      <c r="J1800" s="60"/>
      <c r="K1800" s="60"/>
      <c r="L1800" s="60"/>
      <c r="M1800" s="61"/>
      <c r="N1800" s="705"/>
      <c r="O1800" s="706"/>
      <c r="P1800" s="706"/>
      <c r="Q1800" s="740"/>
      <c r="R1800" s="741"/>
      <c r="S1800" s="741"/>
      <c r="T1800" s="741"/>
      <c r="U1800" s="741"/>
      <c r="V1800" s="742"/>
      <c r="W1800" s="29"/>
      <c r="X1800" s="29"/>
      <c r="Y1800" s="29"/>
      <c r="Z1800" s="29"/>
      <c r="AA1800" s="29"/>
      <c r="AB1800" s="29"/>
      <c r="AC1800" s="29"/>
      <c r="AD1800" s="29"/>
    </row>
    <row r="1801" spans="1:30" ht="33.75" customHeight="1" thickBot="1">
      <c r="A1801" s="25"/>
      <c r="B1801" s="693"/>
      <c r="C1801" s="698"/>
      <c r="D1801" s="699"/>
      <c r="E1801" s="743" t="s">
        <v>36</v>
      </c>
      <c r="F1801" s="744"/>
      <c r="G1801" s="744"/>
      <c r="H1801" s="744"/>
      <c r="I1801" s="744"/>
      <c r="J1801" s="744"/>
      <c r="K1801" s="744"/>
      <c r="L1801" s="744"/>
      <c r="M1801" s="745"/>
      <c r="N1801" s="707"/>
      <c r="O1801" s="708"/>
      <c r="P1801" s="708"/>
      <c r="Q1801" s="62"/>
      <c r="R1801" s="63"/>
      <c r="S1801" s="64"/>
      <c r="T1801" s="65">
        <f>AD1801</f>
        <v>0.45219999999999999</v>
      </c>
      <c r="U1801" s="63"/>
      <c r="V1801" s="66"/>
      <c r="W1801" s="29"/>
      <c r="X1801" s="29"/>
      <c r="Y1801" s="29"/>
      <c r="Z1801" s="29"/>
      <c r="AA1801" s="29"/>
      <c r="AB1801" s="29"/>
      <c r="AC1801" s="29"/>
      <c r="AD1801" s="39">
        <f>SUM(AD13:AD1800)</f>
        <v>0.45219999999999999</v>
      </c>
    </row>
    <row r="1802" spans="1:30" ht="74.25" customHeight="1">
      <c r="A1802" s="25"/>
      <c r="B1802" s="746" t="s">
        <v>353</v>
      </c>
      <c r="C1802" s="747"/>
      <c r="D1802" s="747"/>
      <c r="E1802" s="747"/>
      <c r="F1802" s="747"/>
      <c r="G1802" s="747"/>
      <c r="H1802" s="747"/>
      <c r="I1802" s="747"/>
      <c r="J1802" s="747"/>
      <c r="K1802" s="747"/>
      <c r="L1802" s="747"/>
      <c r="M1802" s="747"/>
      <c r="N1802" s="747"/>
      <c r="O1802" s="747"/>
      <c r="P1802" s="747"/>
      <c r="Q1802" s="747"/>
      <c r="R1802" s="747"/>
      <c r="S1802" s="747"/>
      <c r="T1802" s="747"/>
      <c r="U1802" s="747"/>
      <c r="V1802" s="747"/>
    </row>
    <row r="1803" spans="1:30" ht="21.75" customHeight="1">
      <c r="A1803" s="25"/>
      <c r="B1803" s="510"/>
      <c r="C1803" s="525"/>
      <c r="D1803" s="510"/>
      <c r="E1803" s="510"/>
      <c r="F1803" s="25"/>
      <c r="G1803" s="25"/>
      <c r="H1803" s="25"/>
      <c r="I1803" s="25"/>
      <c r="J1803" s="25"/>
      <c r="K1803" s="25"/>
      <c r="L1803" s="25"/>
      <c r="M1803" s="25"/>
      <c r="N1803" s="530"/>
      <c r="O1803" s="530"/>
      <c r="P1803" s="530"/>
      <c r="Q1803" s="26"/>
      <c r="R1803" s="26"/>
      <c r="S1803" s="26"/>
      <c r="T1803" s="27"/>
      <c r="U1803" s="27"/>
      <c r="V1803" s="28"/>
    </row>
    <row r="1804" spans="1:30" s="537" customFormat="1" ht="60" customHeight="1">
      <c r="A1804" s="531"/>
      <c r="B1804" s="531"/>
      <c r="C1804" s="531"/>
      <c r="D1804" s="684" t="s">
        <v>773</v>
      </c>
      <c r="E1804" s="684"/>
      <c r="F1804" s="532"/>
      <c r="G1804" s="531"/>
      <c r="H1804" s="533"/>
      <c r="I1804" s="531"/>
      <c r="J1804" s="531"/>
      <c r="K1804" s="531"/>
      <c r="L1804" s="531"/>
      <c r="M1804" s="531"/>
      <c r="N1804" s="534"/>
      <c r="O1804" s="535"/>
      <c r="P1804" s="536"/>
      <c r="Q1804" s="685"/>
      <c r="R1804" s="685"/>
      <c r="S1804" s="685"/>
      <c r="T1804" s="686"/>
      <c r="U1804" s="686"/>
    </row>
    <row r="1805" spans="1:30" s="537" customFormat="1" ht="22.5" customHeight="1">
      <c r="A1805" s="538"/>
      <c r="B1805" s="538"/>
      <c r="C1805" s="538"/>
      <c r="D1805" s="539"/>
      <c r="E1805" s="540"/>
      <c r="F1805" s="532"/>
      <c r="G1805" s="538"/>
      <c r="H1805" s="541"/>
      <c r="I1805" s="538"/>
      <c r="J1805" s="538"/>
      <c r="K1805" s="538"/>
      <c r="L1805" s="538"/>
      <c r="M1805" s="538"/>
      <c r="N1805" s="534"/>
      <c r="O1805" s="535"/>
      <c r="P1805" s="536"/>
      <c r="Q1805" s="536"/>
      <c r="R1805" s="536"/>
      <c r="S1805" s="542"/>
      <c r="T1805" s="532"/>
      <c r="U1805" s="532"/>
    </row>
    <row r="1806" spans="1:30" s="537" customFormat="1" ht="69" customHeight="1">
      <c r="A1806" s="531"/>
      <c r="B1806" s="531"/>
      <c r="C1806" s="531"/>
      <c r="D1806" s="684" t="s">
        <v>774</v>
      </c>
      <c r="E1806" s="684"/>
      <c r="F1806" s="532"/>
      <c r="G1806" s="531"/>
      <c r="H1806" s="533"/>
      <c r="I1806" s="531"/>
      <c r="J1806" s="531"/>
      <c r="K1806" s="531"/>
      <c r="L1806" s="531"/>
      <c r="M1806" s="531"/>
      <c r="N1806" s="534"/>
      <c r="O1806" s="535"/>
      <c r="P1806" s="536"/>
      <c r="Q1806" s="685"/>
      <c r="R1806" s="685"/>
      <c r="S1806" s="685"/>
      <c r="T1806" s="686"/>
      <c r="U1806" s="686"/>
      <c r="AB1806" s="543"/>
    </row>
    <row r="1807" spans="1:30" s="505" customFormat="1" ht="58.5" customHeight="1">
      <c r="D1807" s="544"/>
      <c r="F1807" s="545"/>
      <c r="H1807" s="546"/>
      <c r="R1807" s="687" t="str">
        <f>'Данные '!D3</f>
        <v>ф25-001 от 01.01.2025</v>
      </c>
      <c r="S1807" s="687"/>
      <c r="T1807" s="687"/>
      <c r="U1807" s="687"/>
    </row>
  </sheetData>
  <autoFilter ref="A12:AD1794">
    <filterColumn colId="4">
      <colorFilter dxfId="12"/>
    </filterColumn>
  </autoFilter>
  <mergeCells count="4029">
    <mergeCell ref="B1615:B1623"/>
    <mergeCell ref="G1615:G1616"/>
    <mergeCell ref="H1615:H1616"/>
    <mergeCell ref="I1616:M1616"/>
    <mergeCell ref="N1616:P1623"/>
    <mergeCell ref="Q1616:U1616"/>
    <mergeCell ref="E1617:M1617"/>
    <mergeCell ref="Q1617:U1617"/>
    <mergeCell ref="E1618:K1618"/>
    <mergeCell ref="Q1618:S1618"/>
    <mergeCell ref="E1619:K1619"/>
    <mergeCell ref="Q1619:S1619"/>
    <mergeCell ref="E1620:K1620"/>
    <mergeCell ref="Q1620:S1620"/>
    <mergeCell ref="E1621:K1621"/>
    <mergeCell ref="Q1621:S1621"/>
    <mergeCell ref="E1622:M1622"/>
    <mergeCell ref="Q1622:U1622"/>
    <mergeCell ref="E1623:K1623"/>
    <mergeCell ref="Q1623:S1623"/>
    <mergeCell ref="B247:B255"/>
    <mergeCell ref="G247:G248"/>
    <mergeCell ref="H247:H248"/>
    <mergeCell ref="I248:M248"/>
    <mergeCell ref="N248:P255"/>
    <mergeCell ref="Q248:U248"/>
    <mergeCell ref="E249:M249"/>
    <mergeCell ref="Q249:U249"/>
    <mergeCell ref="E250:K250"/>
    <mergeCell ref="Q250:S250"/>
    <mergeCell ref="E251:K251"/>
    <mergeCell ref="Q251:S251"/>
    <mergeCell ref="E252:K252"/>
    <mergeCell ref="Q252:S252"/>
    <mergeCell ref="E253:K253"/>
    <mergeCell ref="Q253:S253"/>
    <mergeCell ref="E254:M254"/>
    <mergeCell ref="Q254:U254"/>
    <mergeCell ref="E255:K255"/>
    <mergeCell ref="Q255:S255"/>
    <mergeCell ref="B1786:B1794"/>
    <mergeCell ref="G1786:G1787"/>
    <mergeCell ref="H1786:H1787"/>
    <mergeCell ref="I1787:M1787"/>
    <mergeCell ref="N1787:P1794"/>
    <mergeCell ref="Q1787:U1787"/>
    <mergeCell ref="E1788:M1788"/>
    <mergeCell ref="Q1788:U1788"/>
    <mergeCell ref="E1789:K1789"/>
    <mergeCell ref="Q1789:S1789"/>
    <mergeCell ref="E1790:K1790"/>
    <mergeCell ref="Q1790:S1790"/>
    <mergeCell ref="E1791:K1791"/>
    <mergeCell ref="Q1791:S1791"/>
    <mergeCell ref="E1792:K1792"/>
    <mergeCell ref="Q1792:S1792"/>
    <mergeCell ref="E1793:M1793"/>
    <mergeCell ref="Q1793:U1793"/>
    <mergeCell ref="E1794:K1794"/>
    <mergeCell ref="Q1794:S1794"/>
    <mergeCell ref="B1777:B1785"/>
    <mergeCell ref="G1777:G1778"/>
    <mergeCell ref="H1777:H1778"/>
    <mergeCell ref="I1778:M1778"/>
    <mergeCell ref="N1778:P1785"/>
    <mergeCell ref="Q1778:U1778"/>
    <mergeCell ref="E1779:M1779"/>
    <mergeCell ref="Q1779:U1779"/>
    <mergeCell ref="E1780:K1780"/>
    <mergeCell ref="Q1780:S1780"/>
    <mergeCell ref="E1781:K1781"/>
    <mergeCell ref="Q1781:S1781"/>
    <mergeCell ref="E1782:K1782"/>
    <mergeCell ref="Q1782:S1782"/>
    <mergeCell ref="E1783:K1783"/>
    <mergeCell ref="Q1783:S1783"/>
    <mergeCell ref="E1784:M1784"/>
    <mergeCell ref="Q1784:U1784"/>
    <mergeCell ref="E1785:K1785"/>
    <mergeCell ref="Q1785:S1785"/>
    <mergeCell ref="B1768:B1776"/>
    <mergeCell ref="G1768:G1769"/>
    <mergeCell ref="H1768:H1769"/>
    <mergeCell ref="I1769:M1769"/>
    <mergeCell ref="N1769:P1776"/>
    <mergeCell ref="Q1769:U1769"/>
    <mergeCell ref="E1770:M1770"/>
    <mergeCell ref="Q1770:U1770"/>
    <mergeCell ref="E1771:K1771"/>
    <mergeCell ref="Q1771:S1771"/>
    <mergeCell ref="E1772:K1772"/>
    <mergeCell ref="Q1772:S1772"/>
    <mergeCell ref="E1773:K1773"/>
    <mergeCell ref="Q1773:S1773"/>
    <mergeCell ref="E1774:K1774"/>
    <mergeCell ref="Q1774:S1774"/>
    <mergeCell ref="E1775:M1775"/>
    <mergeCell ref="Q1775:U1775"/>
    <mergeCell ref="E1776:K1776"/>
    <mergeCell ref="Q1776:S1776"/>
    <mergeCell ref="B1759:B1767"/>
    <mergeCell ref="G1759:G1760"/>
    <mergeCell ref="H1759:H1760"/>
    <mergeCell ref="I1760:M1760"/>
    <mergeCell ref="N1760:P1767"/>
    <mergeCell ref="Q1760:U1760"/>
    <mergeCell ref="E1761:M1761"/>
    <mergeCell ref="Q1761:U1761"/>
    <mergeCell ref="E1762:K1762"/>
    <mergeCell ref="Q1762:S1762"/>
    <mergeCell ref="E1763:K1763"/>
    <mergeCell ref="Q1763:S1763"/>
    <mergeCell ref="E1764:K1764"/>
    <mergeCell ref="Q1764:S1764"/>
    <mergeCell ref="E1765:K1765"/>
    <mergeCell ref="Q1765:S1765"/>
    <mergeCell ref="E1766:M1766"/>
    <mergeCell ref="Q1766:U1766"/>
    <mergeCell ref="E1767:K1767"/>
    <mergeCell ref="Q1767:S1767"/>
    <mergeCell ref="B1750:B1758"/>
    <mergeCell ref="G1750:G1751"/>
    <mergeCell ref="H1750:H1751"/>
    <mergeCell ref="I1751:M1751"/>
    <mergeCell ref="N1751:P1758"/>
    <mergeCell ref="Q1751:U1751"/>
    <mergeCell ref="E1752:M1752"/>
    <mergeCell ref="Q1752:U1752"/>
    <mergeCell ref="E1753:K1753"/>
    <mergeCell ref="Q1753:S1753"/>
    <mergeCell ref="E1754:K1754"/>
    <mergeCell ref="Q1754:S1754"/>
    <mergeCell ref="E1755:K1755"/>
    <mergeCell ref="Q1755:S1755"/>
    <mergeCell ref="E1756:K1756"/>
    <mergeCell ref="Q1756:S1756"/>
    <mergeCell ref="E1757:M1757"/>
    <mergeCell ref="Q1757:U1757"/>
    <mergeCell ref="E1758:K1758"/>
    <mergeCell ref="Q1758:S1758"/>
    <mergeCell ref="B1741:B1749"/>
    <mergeCell ref="G1741:G1742"/>
    <mergeCell ref="H1741:H1742"/>
    <mergeCell ref="I1742:M1742"/>
    <mergeCell ref="N1742:P1749"/>
    <mergeCell ref="Q1742:U1742"/>
    <mergeCell ref="E1743:M1743"/>
    <mergeCell ref="Q1743:U1743"/>
    <mergeCell ref="E1744:K1744"/>
    <mergeCell ref="Q1744:S1744"/>
    <mergeCell ref="E1745:K1745"/>
    <mergeCell ref="Q1745:S1745"/>
    <mergeCell ref="E1746:K1746"/>
    <mergeCell ref="Q1746:S1746"/>
    <mergeCell ref="E1747:K1747"/>
    <mergeCell ref="Q1747:S1747"/>
    <mergeCell ref="E1748:M1748"/>
    <mergeCell ref="Q1748:U1748"/>
    <mergeCell ref="E1749:K1749"/>
    <mergeCell ref="Q1749:S1749"/>
    <mergeCell ref="B1732:B1740"/>
    <mergeCell ref="G1732:G1733"/>
    <mergeCell ref="H1732:H1733"/>
    <mergeCell ref="I1733:M1733"/>
    <mergeCell ref="N1733:P1740"/>
    <mergeCell ref="Q1733:U1733"/>
    <mergeCell ref="E1734:M1734"/>
    <mergeCell ref="Q1734:U1734"/>
    <mergeCell ref="E1735:K1735"/>
    <mergeCell ref="Q1735:S1735"/>
    <mergeCell ref="E1736:K1736"/>
    <mergeCell ref="Q1736:S1736"/>
    <mergeCell ref="E1737:K1737"/>
    <mergeCell ref="Q1737:S1737"/>
    <mergeCell ref="E1738:K1738"/>
    <mergeCell ref="Q1738:S1738"/>
    <mergeCell ref="E1739:M1739"/>
    <mergeCell ref="Q1739:U1739"/>
    <mergeCell ref="E1740:K1740"/>
    <mergeCell ref="Q1740:S1740"/>
    <mergeCell ref="B1723:B1731"/>
    <mergeCell ref="G1723:G1724"/>
    <mergeCell ref="H1723:H1724"/>
    <mergeCell ref="I1724:M1724"/>
    <mergeCell ref="N1724:P1731"/>
    <mergeCell ref="Q1724:U1724"/>
    <mergeCell ref="E1725:M1725"/>
    <mergeCell ref="Q1725:U1725"/>
    <mergeCell ref="E1726:K1726"/>
    <mergeCell ref="Q1726:S1726"/>
    <mergeCell ref="E1727:K1727"/>
    <mergeCell ref="Q1727:S1727"/>
    <mergeCell ref="E1728:K1728"/>
    <mergeCell ref="Q1728:S1728"/>
    <mergeCell ref="E1729:K1729"/>
    <mergeCell ref="Q1729:S1729"/>
    <mergeCell ref="E1730:M1730"/>
    <mergeCell ref="Q1730:U1730"/>
    <mergeCell ref="E1731:K1731"/>
    <mergeCell ref="Q1731:S1731"/>
    <mergeCell ref="B1714:B1722"/>
    <mergeCell ref="G1714:G1715"/>
    <mergeCell ref="H1714:H1715"/>
    <mergeCell ref="I1715:M1715"/>
    <mergeCell ref="N1715:P1722"/>
    <mergeCell ref="Q1715:U1715"/>
    <mergeCell ref="E1716:M1716"/>
    <mergeCell ref="Q1716:U1716"/>
    <mergeCell ref="E1717:K1717"/>
    <mergeCell ref="Q1717:S1717"/>
    <mergeCell ref="E1718:K1718"/>
    <mergeCell ref="Q1718:S1718"/>
    <mergeCell ref="E1719:K1719"/>
    <mergeCell ref="Q1719:S1719"/>
    <mergeCell ref="E1720:K1720"/>
    <mergeCell ref="Q1720:S1720"/>
    <mergeCell ref="E1721:M1721"/>
    <mergeCell ref="Q1721:U1721"/>
    <mergeCell ref="E1722:K1722"/>
    <mergeCell ref="Q1722:S1722"/>
    <mergeCell ref="B1705:B1713"/>
    <mergeCell ref="G1705:G1706"/>
    <mergeCell ref="H1705:H1706"/>
    <mergeCell ref="I1706:M1706"/>
    <mergeCell ref="N1706:P1713"/>
    <mergeCell ref="Q1706:U1706"/>
    <mergeCell ref="E1707:M1707"/>
    <mergeCell ref="Q1707:U1707"/>
    <mergeCell ref="E1708:K1708"/>
    <mergeCell ref="Q1708:S1708"/>
    <mergeCell ref="E1709:K1709"/>
    <mergeCell ref="Q1709:S1709"/>
    <mergeCell ref="E1710:K1710"/>
    <mergeCell ref="Q1710:S1710"/>
    <mergeCell ref="E1711:K1711"/>
    <mergeCell ref="Q1711:S1711"/>
    <mergeCell ref="E1712:M1712"/>
    <mergeCell ref="Q1712:U1712"/>
    <mergeCell ref="E1713:K1713"/>
    <mergeCell ref="Q1713:S1713"/>
    <mergeCell ref="B1696:B1704"/>
    <mergeCell ref="G1696:G1697"/>
    <mergeCell ref="H1696:H1697"/>
    <mergeCell ref="I1697:M1697"/>
    <mergeCell ref="N1697:P1704"/>
    <mergeCell ref="Q1697:U1697"/>
    <mergeCell ref="E1698:M1698"/>
    <mergeCell ref="Q1698:U1698"/>
    <mergeCell ref="E1699:K1699"/>
    <mergeCell ref="Q1699:S1699"/>
    <mergeCell ref="E1700:K1700"/>
    <mergeCell ref="Q1700:S1700"/>
    <mergeCell ref="E1701:K1701"/>
    <mergeCell ref="Q1701:S1701"/>
    <mergeCell ref="E1702:K1702"/>
    <mergeCell ref="Q1702:S1702"/>
    <mergeCell ref="E1703:M1703"/>
    <mergeCell ref="Q1703:U1703"/>
    <mergeCell ref="E1704:K1704"/>
    <mergeCell ref="Q1704:S1704"/>
    <mergeCell ref="B1687:B1695"/>
    <mergeCell ref="G1687:G1688"/>
    <mergeCell ref="H1687:H1688"/>
    <mergeCell ref="I1688:M1688"/>
    <mergeCell ref="N1688:P1695"/>
    <mergeCell ref="Q1688:U1688"/>
    <mergeCell ref="E1689:M1689"/>
    <mergeCell ref="Q1689:U1689"/>
    <mergeCell ref="E1690:K1690"/>
    <mergeCell ref="Q1690:S1690"/>
    <mergeCell ref="E1691:K1691"/>
    <mergeCell ref="Q1691:S1691"/>
    <mergeCell ref="E1692:K1692"/>
    <mergeCell ref="Q1692:S1692"/>
    <mergeCell ref="E1693:K1693"/>
    <mergeCell ref="Q1693:S1693"/>
    <mergeCell ref="E1694:M1694"/>
    <mergeCell ref="Q1694:U1694"/>
    <mergeCell ref="E1695:K1695"/>
    <mergeCell ref="Q1695:S1695"/>
    <mergeCell ref="B1678:B1686"/>
    <mergeCell ref="G1678:G1679"/>
    <mergeCell ref="H1678:H1679"/>
    <mergeCell ref="I1679:M1679"/>
    <mergeCell ref="N1679:P1686"/>
    <mergeCell ref="Q1679:U1679"/>
    <mergeCell ref="E1680:M1680"/>
    <mergeCell ref="Q1680:U1680"/>
    <mergeCell ref="E1681:K1681"/>
    <mergeCell ref="Q1681:S1681"/>
    <mergeCell ref="E1682:K1682"/>
    <mergeCell ref="Q1682:S1682"/>
    <mergeCell ref="E1683:K1683"/>
    <mergeCell ref="Q1683:S1683"/>
    <mergeCell ref="E1684:K1684"/>
    <mergeCell ref="Q1684:S1684"/>
    <mergeCell ref="E1685:M1685"/>
    <mergeCell ref="Q1685:U1685"/>
    <mergeCell ref="E1686:K1686"/>
    <mergeCell ref="Q1686:S1686"/>
    <mergeCell ref="B1669:B1677"/>
    <mergeCell ref="G1669:G1670"/>
    <mergeCell ref="H1669:H1670"/>
    <mergeCell ref="I1670:M1670"/>
    <mergeCell ref="N1670:P1677"/>
    <mergeCell ref="Q1670:U1670"/>
    <mergeCell ref="E1671:M1671"/>
    <mergeCell ref="Q1671:U1671"/>
    <mergeCell ref="E1672:K1672"/>
    <mergeCell ref="Q1672:S1672"/>
    <mergeCell ref="E1673:K1673"/>
    <mergeCell ref="Q1673:S1673"/>
    <mergeCell ref="E1674:K1674"/>
    <mergeCell ref="Q1674:S1674"/>
    <mergeCell ref="E1675:K1675"/>
    <mergeCell ref="Q1675:S1675"/>
    <mergeCell ref="E1676:M1676"/>
    <mergeCell ref="Q1676:U1676"/>
    <mergeCell ref="E1677:K1677"/>
    <mergeCell ref="Q1677:S1677"/>
    <mergeCell ref="B1660:B1668"/>
    <mergeCell ref="G1660:G1661"/>
    <mergeCell ref="H1660:H1661"/>
    <mergeCell ref="I1661:M1661"/>
    <mergeCell ref="N1661:P1668"/>
    <mergeCell ref="Q1661:U1661"/>
    <mergeCell ref="E1662:M1662"/>
    <mergeCell ref="Q1662:U1662"/>
    <mergeCell ref="E1663:K1663"/>
    <mergeCell ref="Q1663:S1663"/>
    <mergeCell ref="E1664:K1664"/>
    <mergeCell ref="Q1664:S1664"/>
    <mergeCell ref="E1665:K1665"/>
    <mergeCell ref="Q1665:S1665"/>
    <mergeCell ref="E1666:K1666"/>
    <mergeCell ref="Q1666:S1666"/>
    <mergeCell ref="E1667:M1667"/>
    <mergeCell ref="Q1667:U1667"/>
    <mergeCell ref="E1668:K1668"/>
    <mergeCell ref="Q1668:S1668"/>
    <mergeCell ref="B1651:B1659"/>
    <mergeCell ref="G1651:G1652"/>
    <mergeCell ref="H1651:H1652"/>
    <mergeCell ref="I1652:M1652"/>
    <mergeCell ref="N1652:P1659"/>
    <mergeCell ref="Q1652:U1652"/>
    <mergeCell ref="E1653:M1653"/>
    <mergeCell ref="Q1653:U1653"/>
    <mergeCell ref="E1654:K1654"/>
    <mergeCell ref="Q1654:S1654"/>
    <mergeCell ref="E1655:K1655"/>
    <mergeCell ref="Q1655:S1655"/>
    <mergeCell ref="E1656:K1656"/>
    <mergeCell ref="Q1656:S1656"/>
    <mergeCell ref="E1657:K1657"/>
    <mergeCell ref="Q1657:S1657"/>
    <mergeCell ref="E1658:M1658"/>
    <mergeCell ref="Q1658:U1658"/>
    <mergeCell ref="E1659:K1659"/>
    <mergeCell ref="Q1659:S1659"/>
    <mergeCell ref="B1642:B1650"/>
    <mergeCell ref="G1642:G1643"/>
    <mergeCell ref="H1642:H1643"/>
    <mergeCell ref="I1643:M1643"/>
    <mergeCell ref="N1643:P1650"/>
    <mergeCell ref="Q1643:U1643"/>
    <mergeCell ref="E1644:M1644"/>
    <mergeCell ref="Q1644:U1644"/>
    <mergeCell ref="E1645:K1645"/>
    <mergeCell ref="Q1645:S1645"/>
    <mergeCell ref="E1646:K1646"/>
    <mergeCell ref="Q1646:S1646"/>
    <mergeCell ref="E1647:K1647"/>
    <mergeCell ref="Q1647:S1647"/>
    <mergeCell ref="E1648:K1648"/>
    <mergeCell ref="Q1648:S1648"/>
    <mergeCell ref="E1649:M1649"/>
    <mergeCell ref="Q1649:U1649"/>
    <mergeCell ref="E1650:K1650"/>
    <mergeCell ref="Q1650:S1650"/>
    <mergeCell ref="B1633:B1641"/>
    <mergeCell ref="G1633:G1634"/>
    <mergeCell ref="H1633:H1634"/>
    <mergeCell ref="I1634:M1634"/>
    <mergeCell ref="N1634:P1641"/>
    <mergeCell ref="Q1634:U1634"/>
    <mergeCell ref="E1635:M1635"/>
    <mergeCell ref="Q1635:U1635"/>
    <mergeCell ref="E1636:K1636"/>
    <mergeCell ref="Q1636:S1636"/>
    <mergeCell ref="E1637:K1637"/>
    <mergeCell ref="Q1637:S1637"/>
    <mergeCell ref="E1638:K1638"/>
    <mergeCell ref="Q1638:S1638"/>
    <mergeCell ref="E1639:K1639"/>
    <mergeCell ref="Q1639:S1639"/>
    <mergeCell ref="E1640:M1640"/>
    <mergeCell ref="Q1640:U1640"/>
    <mergeCell ref="E1641:K1641"/>
    <mergeCell ref="Q1641:S1641"/>
    <mergeCell ref="B1606:B1614"/>
    <mergeCell ref="G1606:G1607"/>
    <mergeCell ref="H1606:H1607"/>
    <mergeCell ref="I1607:M1607"/>
    <mergeCell ref="N1607:P1614"/>
    <mergeCell ref="Q1607:U1607"/>
    <mergeCell ref="E1608:M1608"/>
    <mergeCell ref="Q1608:U1608"/>
    <mergeCell ref="E1609:K1609"/>
    <mergeCell ref="Q1609:S1609"/>
    <mergeCell ref="E1610:K1610"/>
    <mergeCell ref="Q1610:S1610"/>
    <mergeCell ref="E1611:K1611"/>
    <mergeCell ref="Q1611:S1611"/>
    <mergeCell ref="E1612:K1612"/>
    <mergeCell ref="Q1612:S1612"/>
    <mergeCell ref="E1613:M1613"/>
    <mergeCell ref="Q1613:U1613"/>
    <mergeCell ref="E1614:K1614"/>
    <mergeCell ref="Q1614:S1614"/>
    <mergeCell ref="B1597:B1605"/>
    <mergeCell ref="G1597:G1598"/>
    <mergeCell ref="H1597:H1598"/>
    <mergeCell ref="I1598:M1598"/>
    <mergeCell ref="N1598:P1605"/>
    <mergeCell ref="Q1598:U1598"/>
    <mergeCell ref="E1599:M1599"/>
    <mergeCell ref="Q1599:U1599"/>
    <mergeCell ref="E1600:K1600"/>
    <mergeCell ref="Q1600:S1600"/>
    <mergeCell ref="E1601:K1601"/>
    <mergeCell ref="Q1601:S1601"/>
    <mergeCell ref="E1602:K1602"/>
    <mergeCell ref="Q1602:S1602"/>
    <mergeCell ref="E1603:K1603"/>
    <mergeCell ref="Q1603:S1603"/>
    <mergeCell ref="E1604:M1604"/>
    <mergeCell ref="Q1604:U1604"/>
    <mergeCell ref="E1605:K1605"/>
    <mergeCell ref="Q1605:S1605"/>
    <mergeCell ref="B1588:B1596"/>
    <mergeCell ref="G1588:G1589"/>
    <mergeCell ref="H1588:H1589"/>
    <mergeCell ref="I1589:M1589"/>
    <mergeCell ref="N1589:P1596"/>
    <mergeCell ref="Q1589:U1589"/>
    <mergeCell ref="E1590:M1590"/>
    <mergeCell ref="Q1590:U1590"/>
    <mergeCell ref="E1591:K1591"/>
    <mergeCell ref="Q1591:S1591"/>
    <mergeCell ref="E1592:K1592"/>
    <mergeCell ref="Q1592:S1592"/>
    <mergeCell ref="E1593:K1593"/>
    <mergeCell ref="Q1593:S1593"/>
    <mergeCell ref="E1594:K1594"/>
    <mergeCell ref="Q1594:S1594"/>
    <mergeCell ref="E1595:M1595"/>
    <mergeCell ref="Q1595:U1595"/>
    <mergeCell ref="E1596:K1596"/>
    <mergeCell ref="Q1596:S1596"/>
    <mergeCell ref="B1579:B1587"/>
    <mergeCell ref="G1579:G1580"/>
    <mergeCell ref="H1579:H1580"/>
    <mergeCell ref="I1580:M1580"/>
    <mergeCell ref="N1580:P1587"/>
    <mergeCell ref="Q1580:U1580"/>
    <mergeCell ref="E1581:M1581"/>
    <mergeCell ref="Q1581:U1581"/>
    <mergeCell ref="E1582:K1582"/>
    <mergeCell ref="Q1582:S1582"/>
    <mergeCell ref="E1583:K1583"/>
    <mergeCell ref="Q1583:S1583"/>
    <mergeCell ref="E1584:K1584"/>
    <mergeCell ref="Q1584:S1584"/>
    <mergeCell ref="E1585:K1585"/>
    <mergeCell ref="Q1585:S1585"/>
    <mergeCell ref="E1586:M1586"/>
    <mergeCell ref="Q1586:U1586"/>
    <mergeCell ref="E1587:K1587"/>
    <mergeCell ref="Q1587:S1587"/>
    <mergeCell ref="B1570:B1578"/>
    <mergeCell ref="G1570:G1571"/>
    <mergeCell ref="H1570:H1571"/>
    <mergeCell ref="I1571:M1571"/>
    <mergeCell ref="N1571:P1578"/>
    <mergeCell ref="Q1571:U1571"/>
    <mergeCell ref="E1572:M1572"/>
    <mergeCell ref="Q1572:U1572"/>
    <mergeCell ref="E1573:K1573"/>
    <mergeCell ref="Q1573:S1573"/>
    <mergeCell ref="E1574:K1574"/>
    <mergeCell ref="Q1574:S1574"/>
    <mergeCell ref="E1575:K1575"/>
    <mergeCell ref="Q1575:S1575"/>
    <mergeCell ref="E1576:K1576"/>
    <mergeCell ref="Q1576:S1576"/>
    <mergeCell ref="E1577:M1577"/>
    <mergeCell ref="Q1577:U1577"/>
    <mergeCell ref="E1578:K1578"/>
    <mergeCell ref="Q1578:S1578"/>
    <mergeCell ref="B1561:B1569"/>
    <mergeCell ref="G1561:G1562"/>
    <mergeCell ref="H1561:H1562"/>
    <mergeCell ref="I1562:M1562"/>
    <mergeCell ref="N1562:P1569"/>
    <mergeCell ref="Q1562:U1562"/>
    <mergeCell ref="E1563:M1563"/>
    <mergeCell ref="Q1563:U1563"/>
    <mergeCell ref="E1564:K1564"/>
    <mergeCell ref="Q1564:S1564"/>
    <mergeCell ref="E1565:K1565"/>
    <mergeCell ref="Q1565:S1565"/>
    <mergeCell ref="E1566:K1566"/>
    <mergeCell ref="Q1566:S1566"/>
    <mergeCell ref="E1567:K1567"/>
    <mergeCell ref="Q1567:S1567"/>
    <mergeCell ref="E1568:M1568"/>
    <mergeCell ref="Q1568:U1568"/>
    <mergeCell ref="E1569:K1569"/>
    <mergeCell ref="Q1569:S1569"/>
    <mergeCell ref="B1552:B1560"/>
    <mergeCell ref="G1552:G1553"/>
    <mergeCell ref="H1552:H1553"/>
    <mergeCell ref="I1553:M1553"/>
    <mergeCell ref="N1553:P1560"/>
    <mergeCell ref="Q1553:U1553"/>
    <mergeCell ref="E1554:M1554"/>
    <mergeCell ref="Q1554:U1554"/>
    <mergeCell ref="E1555:K1555"/>
    <mergeCell ref="Q1555:S1555"/>
    <mergeCell ref="E1556:K1556"/>
    <mergeCell ref="Q1556:S1556"/>
    <mergeCell ref="E1557:K1557"/>
    <mergeCell ref="Q1557:S1557"/>
    <mergeCell ref="E1558:K1558"/>
    <mergeCell ref="Q1558:S1558"/>
    <mergeCell ref="E1559:M1559"/>
    <mergeCell ref="Q1559:U1559"/>
    <mergeCell ref="E1560:K1560"/>
    <mergeCell ref="Q1560:S1560"/>
    <mergeCell ref="B1543:B1551"/>
    <mergeCell ref="G1543:G1544"/>
    <mergeCell ref="H1543:H1544"/>
    <mergeCell ref="I1544:M1544"/>
    <mergeCell ref="N1544:P1551"/>
    <mergeCell ref="Q1544:U1544"/>
    <mergeCell ref="E1545:M1545"/>
    <mergeCell ref="Q1545:U1545"/>
    <mergeCell ref="E1546:K1546"/>
    <mergeCell ref="Q1546:S1546"/>
    <mergeCell ref="E1547:K1547"/>
    <mergeCell ref="Q1547:S1547"/>
    <mergeCell ref="E1548:K1548"/>
    <mergeCell ref="Q1548:S1548"/>
    <mergeCell ref="E1549:K1549"/>
    <mergeCell ref="Q1549:S1549"/>
    <mergeCell ref="E1550:M1550"/>
    <mergeCell ref="Q1550:U1550"/>
    <mergeCell ref="E1551:K1551"/>
    <mergeCell ref="Q1551:S1551"/>
    <mergeCell ref="B1282:B1290"/>
    <mergeCell ref="G1282:G1283"/>
    <mergeCell ref="H1282:H1283"/>
    <mergeCell ref="I1283:M1283"/>
    <mergeCell ref="N1283:P1290"/>
    <mergeCell ref="Q1283:U1283"/>
    <mergeCell ref="E1284:M1284"/>
    <mergeCell ref="Q1284:U1284"/>
    <mergeCell ref="E1285:K1285"/>
    <mergeCell ref="Q1285:S1285"/>
    <mergeCell ref="E1286:K1286"/>
    <mergeCell ref="Q1286:S1286"/>
    <mergeCell ref="E1287:K1287"/>
    <mergeCell ref="Q1287:S1287"/>
    <mergeCell ref="E1288:K1288"/>
    <mergeCell ref="Q1288:S1288"/>
    <mergeCell ref="E1289:M1289"/>
    <mergeCell ref="Q1289:U1289"/>
    <mergeCell ref="E1290:K1290"/>
    <mergeCell ref="Q1290:S1290"/>
    <mergeCell ref="B1273:B1281"/>
    <mergeCell ref="G1273:G1274"/>
    <mergeCell ref="H1273:H1274"/>
    <mergeCell ref="I1274:M1274"/>
    <mergeCell ref="N1274:P1281"/>
    <mergeCell ref="Q1274:U1274"/>
    <mergeCell ref="E1275:M1275"/>
    <mergeCell ref="Q1275:U1275"/>
    <mergeCell ref="E1276:K1276"/>
    <mergeCell ref="Q1276:S1276"/>
    <mergeCell ref="E1277:K1277"/>
    <mergeCell ref="Q1277:S1277"/>
    <mergeCell ref="E1278:K1278"/>
    <mergeCell ref="Q1278:S1278"/>
    <mergeCell ref="E1279:K1279"/>
    <mergeCell ref="Q1279:S1279"/>
    <mergeCell ref="E1280:M1280"/>
    <mergeCell ref="Q1280:U1280"/>
    <mergeCell ref="E1281:K1281"/>
    <mergeCell ref="Q1281:S1281"/>
    <mergeCell ref="B1264:B1272"/>
    <mergeCell ref="G1264:G1265"/>
    <mergeCell ref="H1264:H1265"/>
    <mergeCell ref="I1265:M1265"/>
    <mergeCell ref="N1265:P1272"/>
    <mergeCell ref="Q1265:U1265"/>
    <mergeCell ref="E1266:M1266"/>
    <mergeCell ref="Q1266:U1266"/>
    <mergeCell ref="E1267:K1267"/>
    <mergeCell ref="Q1267:S1267"/>
    <mergeCell ref="E1268:K1268"/>
    <mergeCell ref="Q1268:S1268"/>
    <mergeCell ref="E1269:K1269"/>
    <mergeCell ref="Q1269:S1269"/>
    <mergeCell ref="E1270:K1270"/>
    <mergeCell ref="Q1270:S1270"/>
    <mergeCell ref="E1271:M1271"/>
    <mergeCell ref="Q1271:U1271"/>
    <mergeCell ref="E1272:K1272"/>
    <mergeCell ref="Q1272:S1272"/>
    <mergeCell ref="B1255:B1263"/>
    <mergeCell ref="G1255:G1256"/>
    <mergeCell ref="H1255:H1256"/>
    <mergeCell ref="I1256:M1256"/>
    <mergeCell ref="N1256:P1263"/>
    <mergeCell ref="Q1256:U1256"/>
    <mergeCell ref="E1257:M1257"/>
    <mergeCell ref="Q1257:U1257"/>
    <mergeCell ref="E1258:K1258"/>
    <mergeCell ref="Q1258:S1258"/>
    <mergeCell ref="E1259:K1259"/>
    <mergeCell ref="Q1259:S1259"/>
    <mergeCell ref="E1260:K1260"/>
    <mergeCell ref="Q1260:S1260"/>
    <mergeCell ref="E1261:K1261"/>
    <mergeCell ref="Q1261:S1261"/>
    <mergeCell ref="E1262:M1262"/>
    <mergeCell ref="Q1262:U1262"/>
    <mergeCell ref="E1263:K1263"/>
    <mergeCell ref="Q1263:S1263"/>
    <mergeCell ref="B1246:B1254"/>
    <mergeCell ref="G1246:G1247"/>
    <mergeCell ref="H1246:H1247"/>
    <mergeCell ref="I1247:M1247"/>
    <mergeCell ref="N1247:P1254"/>
    <mergeCell ref="Q1247:U1247"/>
    <mergeCell ref="E1248:M1248"/>
    <mergeCell ref="Q1248:U1248"/>
    <mergeCell ref="E1249:K1249"/>
    <mergeCell ref="Q1249:S1249"/>
    <mergeCell ref="E1250:K1250"/>
    <mergeCell ref="Q1250:S1250"/>
    <mergeCell ref="E1251:K1251"/>
    <mergeCell ref="Q1251:S1251"/>
    <mergeCell ref="E1252:K1252"/>
    <mergeCell ref="Q1252:S1252"/>
    <mergeCell ref="E1253:M1253"/>
    <mergeCell ref="Q1253:U1253"/>
    <mergeCell ref="E1254:K1254"/>
    <mergeCell ref="Q1254:S1254"/>
    <mergeCell ref="B1237:B1245"/>
    <mergeCell ref="G1237:G1238"/>
    <mergeCell ref="H1237:H1238"/>
    <mergeCell ref="I1238:M1238"/>
    <mergeCell ref="N1238:P1245"/>
    <mergeCell ref="Q1238:U1238"/>
    <mergeCell ref="E1239:M1239"/>
    <mergeCell ref="Q1239:U1239"/>
    <mergeCell ref="E1240:K1240"/>
    <mergeCell ref="Q1240:S1240"/>
    <mergeCell ref="E1241:K1241"/>
    <mergeCell ref="Q1241:S1241"/>
    <mergeCell ref="E1242:K1242"/>
    <mergeCell ref="Q1242:S1242"/>
    <mergeCell ref="E1243:K1243"/>
    <mergeCell ref="Q1243:S1243"/>
    <mergeCell ref="E1244:M1244"/>
    <mergeCell ref="Q1244:U1244"/>
    <mergeCell ref="E1245:K1245"/>
    <mergeCell ref="Q1245:S1245"/>
    <mergeCell ref="B1228:B1236"/>
    <mergeCell ref="G1228:G1229"/>
    <mergeCell ref="H1228:H1229"/>
    <mergeCell ref="I1229:M1229"/>
    <mergeCell ref="N1229:P1236"/>
    <mergeCell ref="Q1229:U1229"/>
    <mergeCell ref="E1230:M1230"/>
    <mergeCell ref="Q1230:U1230"/>
    <mergeCell ref="E1231:K1231"/>
    <mergeCell ref="Q1231:S1231"/>
    <mergeCell ref="E1232:K1232"/>
    <mergeCell ref="Q1232:S1232"/>
    <mergeCell ref="E1233:K1233"/>
    <mergeCell ref="Q1233:S1233"/>
    <mergeCell ref="E1234:K1234"/>
    <mergeCell ref="Q1234:S1234"/>
    <mergeCell ref="E1235:M1235"/>
    <mergeCell ref="Q1235:U1235"/>
    <mergeCell ref="E1236:K1236"/>
    <mergeCell ref="Q1236:S1236"/>
    <mergeCell ref="B1219:B1227"/>
    <mergeCell ref="G1219:G1220"/>
    <mergeCell ref="H1219:H1220"/>
    <mergeCell ref="I1220:M1220"/>
    <mergeCell ref="N1220:P1227"/>
    <mergeCell ref="Q1220:U1220"/>
    <mergeCell ref="E1221:M1221"/>
    <mergeCell ref="Q1221:U1221"/>
    <mergeCell ref="E1222:K1222"/>
    <mergeCell ref="Q1222:S1222"/>
    <mergeCell ref="E1223:K1223"/>
    <mergeCell ref="Q1223:S1223"/>
    <mergeCell ref="E1224:K1224"/>
    <mergeCell ref="Q1224:S1224"/>
    <mergeCell ref="E1225:K1225"/>
    <mergeCell ref="Q1225:S1225"/>
    <mergeCell ref="E1226:M1226"/>
    <mergeCell ref="Q1226:U1226"/>
    <mergeCell ref="E1227:K1227"/>
    <mergeCell ref="Q1227:S1227"/>
    <mergeCell ref="B1210:B1218"/>
    <mergeCell ref="G1210:G1211"/>
    <mergeCell ref="H1210:H1211"/>
    <mergeCell ref="I1211:M1211"/>
    <mergeCell ref="N1211:P1218"/>
    <mergeCell ref="Q1211:U1211"/>
    <mergeCell ref="E1212:M1212"/>
    <mergeCell ref="Q1212:U1212"/>
    <mergeCell ref="E1213:K1213"/>
    <mergeCell ref="Q1213:S1213"/>
    <mergeCell ref="E1214:K1214"/>
    <mergeCell ref="Q1214:S1214"/>
    <mergeCell ref="E1215:K1215"/>
    <mergeCell ref="Q1215:S1215"/>
    <mergeCell ref="E1216:K1216"/>
    <mergeCell ref="Q1216:S1216"/>
    <mergeCell ref="E1217:M1217"/>
    <mergeCell ref="Q1217:U1217"/>
    <mergeCell ref="E1218:K1218"/>
    <mergeCell ref="Q1218:S1218"/>
    <mergeCell ref="B1201:B1209"/>
    <mergeCell ref="G1201:G1202"/>
    <mergeCell ref="H1201:H1202"/>
    <mergeCell ref="I1202:M1202"/>
    <mergeCell ref="N1202:P1209"/>
    <mergeCell ref="Q1202:U1202"/>
    <mergeCell ref="E1203:M1203"/>
    <mergeCell ref="Q1203:U1203"/>
    <mergeCell ref="E1204:K1204"/>
    <mergeCell ref="Q1204:S1204"/>
    <mergeCell ref="E1205:K1205"/>
    <mergeCell ref="Q1205:S1205"/>
    <mergeCell ref="E1206:K1206"/>
    <mergeCell ref="Q1206:S1206"/>
    <mergeCell ref="E1207:K1207"/>
    <mergeCell ref="Q1207:S1207"/>
    <mergeCell ref="E1208:M1208"/>
    <mergeCell ref="Q1208:U1208"/>
    <mergeCell ref="E1209:K1209"/>
    <mergeCell ref="Q1209:S1209"/>
    <mergeCell ref="B1192:B1200"/>
    <mergeCell ref="G1192:G1193"/>
    <mergeCell ref="H1192:H1193"/>
    <mergeCell ref="I1193:M1193"/>
    <mergeCell ref="N1193:P1200"/>
    <mergeCell ref="Q1193:U1193"/>
    <mergeCell ref="E1194:M1194"/>
    <mergeCell ref="Q1194:U1194"/>
    <mergeCell ref="E1195:K1195"/>
    <mergeCell ref="Q1195:S1195"/>
    <mergeCell ref="E1196:K1196"/>
    <mergeCell ref="Q1196:S1196"/>
    <mergeCell ref="E1197:K1197"/>
    <mergeCell ref="Q1197:S1197"/>
    <mergeCell ref="E1198:K1198"/>
    <mergeCell ref="Q1198:S1198"/>
    <mergeCell ref="E1199:M1199"/>
    <mergeCell ref="Q1199:U1199"/>
    <mergeCell ref="E1200:K1200"/>
    <mergeCell ref="Q1200:S1200"/>
    <mergeCell ref="B1183:B1191"/>
    <mergeCell ref="G1183:G1184"/>
    <mergeCell ref="H1183:H1184"/>
    <mergeCell ref="I1184:M1184"/>
    <mergeCell ref="N1184:P1191"/>
    <mergeCell ref="Q1184:U1184"/>
    <mergeCell ref="E1185:M1185"/>
    <mergeCell ref="Q1185:U1185"/>
    <mergeCell ref="E1186:K1186"/>
    <mergeCell ref="Q1186:S1186"/>
    <mergeCell ref="E1187:K1187"/>
    <mergeCell ref="Q1187:S1187"/>
    <mergeCell ref="E1188:K1188"/>
    <mergeCell ref="Q1188:S1188"/>
    <mergeCell ref="E1189:K1189"/>
    <mergeCell ref="Q1189:S1189"/>
    <mergeCell ref="E1190:M1190"/>
    <mergeCell ref="Q1190:U1190"/>
    <mergeCell ref="E1191:K1191"/>
    <mergeCell ref="Q1191:S1191"/>
    <mergeCell ref="B1174:B1182"/>
    <mergeCell ref="G1174:G1175"/>
    <mergeCell ref="H1174:H1175"/>
    <mergeCell ref="I1175:M1175"/>
    <mergeCell ref="N1175:P1182"/>
    <mergeCell ref="Q1175:U1175"/>
    <mergeCell ref="E1176:M1176"/>
    <mergeCell ref="Q1176:U1176"/>
    <mergeCell ref="E1177:K1177"/>
    <mergeCell ref="Q1177:S1177"/>
    <mergeCell ref="E1178:K1178"/>
    <mergeCell ref="Q1178:S1178"/>
    <mergeCell ref="E1179:K1179"/>
    <mergeCell ref="Q1179:S1179"/>
    <mergeCell ref="E1180:K1180"/>
    <mergeCell ref="Q1180:S1180"/>
    <mergeCell ref="E1181:M1181"/>
    <mergeCell ref="Q1181:U1181"/>
    <mergeCell ref="E1182:K1182"/>
    <mergeCell ref="Q1182:S1182"/>
    <mergeCell ref="B1165:B1173"/>
    <mergeCell ref="G1165:G1166"/>
    <mergeCell ref="H1165:H1166"/>
    <mergeCell ref="I1166:M1166"/>
    <mergeCell ref="N1166:P1173"/>
    <mergeCell ref="Q1166:U1166"/>
    <mergeCell ref="E1167:M1167"/>
    <mergeCell ref="Q1167:U1167"/>
    <mergeCell ref="E1168:K1168"/>
    <mergeCell ref="Q1168:S1168"/>
    <mergeCell ref="E1169:K1169"/>
    <mergeCell ref="Q1169:S1169"/>
    <mergeCell ref="E1170:K1170"/>
    <mergeCell ref="Q1170:S1170"/>
    <mergeCell ref="E1171:K1171"/>
    <mergeCell ref="Q1171:S1171"/>
    <mergeCell ref="E1172:M1172"/>
    <mergeCell ref="Q1172:U1172"/>
    <mergeCell ref="E1173:K1173"/>
    <mergeCell ref="Q1173:S1173"/>
    <mergeCell ref="B1156:B1164"/>
    <mergeCell ref="G1156:G1157"/>
    <mergeCell ref="H1156:H1157"/>
    <mergeCell ref="I1157:M1157"/>
    <mergeCell ref="N1157:P1164"/>
    <mergeCell ref="Q1157:U1157"/>
    <mergeCell ref="E1158:M1158"/>
    <mergeCell ref="Q1158:U1158"/>
    <mergeCell ref="E1159:K1159"/>
    <mergeCell ref="Q1159:S1159"/>
    <mergeCell ref="E1160:K1160"/>
    <mergeCell ref="Q1160:S1160"/>
    <mergeCell ref="E1161:K1161"/>
    <mergeCell ref="Q1161:S1161"/>
    <mergeCell ref="E1162:K1162"/>
    <mergeCell ref="Q1162:S1162"/>
    <mergeCell ref="E1163:M1163"/>
    <mergeCell ref="Q1163:U1163"/>
    <mergeCell ref="E1164:K1164"/>
    <mergeCell ref="Q1164:S1164"/>
    <mergeCell ref="B1147:B1155"/>
    <mergeCell ref="G1147:G1148"/>
    <mergeCell ref="H1147:H1148"/>
    <mergeCell ref="I1148:M1148"/>
    <mergeCell ref="N1148:P1155"/>
    <mergeCell ref="Q1148:U1148"/>
    <mergeCell ref="E1149:M1149"/>
    <mergeCell ref="Q1149:U1149"/>
    <mergeCell ref="E1150:K1150"/>
    <mergeCell ref="Q1150:S1150"/>
    <mergeCell ref="E1151:K1151"/>
    <mergeCell ref="Q1151:S1151"/>
    <mergeCell ref="E1152:K1152"/>
    <mergeCell ref="Q1152:S1152"/>
    <mergeCell ref="E1153:K1153"/>
    <mergeCell ref="Q1153:S1153"/>
    <mergeCell ref="E1154:M1154"/>
    <mergeCell ref="Q1154:U1154"/>
    <mergeCell ref="E1155:K1155"/>
    <mergeCell ref="Q1155:S1155"/>
    <mergeCell ref="B1138:B1146"/>
    <mergeCell ref="G1138:G1139"/>
    <mergeCell ref="H1138:H1139"/>
    <mergeCell ref="I1139:M1139"/>
    <mergeCell ref="N1139:P1146"/>
    <mergeCell ref="Q1139:U1139"/>
    <mergeCell ref="E1140:M1140"/>
    <mergeCell ref="Q1140:U1140"/>
    <mergeCell ref="E1141:K1141"/>
    <mergeCell ref="Q1141:S1141"/>
    <mergeCell ref="E1142:K1142"/>
    <mergeCell ref="Q1142:S1142"/>
    <mergeCell ref="E1143:K1143"/>
    <mergeCell ref="Q1143:S1143"/>
    <mergeCell ref="E1144:K1144"/>
    <mergeCell ref="Q1144:S1144"/>
    <mergeCell ref="E1145:M1145"/>
    <mergeCell ref="Q1145:U1145"/>
    <mergeCell ref="E1146:K1146"/>
    <mergeCell ref="Q1146:S1146"/>
    <mergeCell ref="B1129:B1137"/>
    <mergeCell ref="G1129:G1130"/>
    <mergeCell ref="H1129:H1130"/>
    <mergeCell ref="I1130:M1130"/>
    <mergeCell ref="N1130:P1137"/>
    <mergeCell ref="Q1130:U1130"/>
    <mergeCell ref="E1131:M1131"/>
    <mergeCell ref="Q1131:U1131"/>
    <mergeCell ref="E1132:K1132"/>
    <mergeCell ref="Q1132:S1132"/>
    <mergeCell ref="E1133:K1133"/>
    <mergeCell ref="Q1133:S1133"/>
    <mergeCell ref="E1134:K1134"/>
    <mergeCell ref="Q1134:S1134"/>
    <mergeCell ref="E1135:K1135"/>
    <mergeCell ref="Q1135:S1135"/>
    <mergeCell ref="E1136:M1136"/>
    <mergeCell ref="Q1136:U1136"/>
    <mergeCell ref="E1137:K1137"/>
    <mergeCell ref="Q1137:S1137"/>
    <mergeCell ref="B1120:B1128"/>
    <mergeCell ref="G1120:G1121"/>
    <mergeCell ref="H1120:H1121"/>
    <mergeCell ref="I1121:M1121"/>
    <mergeCell ref="N1121:P1128"/>
    <mergeCell ref="Q1121:U1121"/>
    <mergeCell ref="E1122:M1122"/>
    <mergeCell ref="Q1122:U1122"/>
    <mergeCell ref="E1123:K1123"/>
    <mergeCell ref="Q1123:S1123"/>
    <mergeCell ref="E1124:K1124"/>
    <mergeCell ref="Q1124:S1124"/>
    <mergeCell ref="E1125:K1125"/>
    <mergeCell ref="Q1125:S1125"/>
    <mergeCell ref="E1126:K1126"/>
    <mergeCell ref="Q1126:S1126"/>
    <mergeCell ref="E1127:M1127"/>
    <mergeCell ref="Q1127:U1127"/>
    <mergeCell ref="E1128:K1128"/>
    <mergeCell ref="Q1128:S1128"/>
    <mergeCell ref="B1111:B1119"/>
    <mergeCell ref="G1111:G1112"/>
    <mergeCell ref="H1111:H1112"/>
    <mergeCell ref="I1112:M1112"/>
    <mergeCell ref="N1112:P1119"/>
    <mergeCell ref="Q1112:U1112"/>
    <mergeCell ref="E1113:M1113"/>
    <mergeCell ref="Q1113:U1113"/>
    <mergeCell ref="E1114:K1114"/>
    <mergeCell ref="Q1114:S1114"/>
    <mergeCell ref="E1115:K1115"/>
    <mergeCell ref="Q1115:S1115"/>
    <mergeCell ref="E1116:K1116"/>
    <mergeCell ref="Q1116:S1116"/>
    <mergeCell ref="E1117:K1117"/>
    <mergeCell ref="Q1117:S1117"/>
    <mergeCell ref="E1118:M1118"/>
    <mergeCell ref="Q1118:U1118"/>
    <mergeCell ref="E1119:K1119"/>
    <mergeCell ref="Q1119:S1119"/>
    <mergeCell ref="B1102:B1110"/>
    <mergeCell ref="G1102:G1103"/>
    <mergeCell ref="H1102:H1103"/>
    <mergeCell ref="I1103:M1103"/>
    <mergeCell ref="N1103:P1110"/>
    <mergeCell ref="Q1103:U1103"/>
    <mergeCell ref="E1104:M1104"/>
    <mergeCell ref="Q1104:U1104"/>
    <mergeCell ref="E1105:K1105"/>
    <mergeCell ref="Q1105:S1105"/>
    <mergeCell ref="E1106:K1106"/>
    <mergeCell ref="Q1106:S1106"/>
    <mergeCell ref="E1107:K1107"/>
    <mergeCell ref="Q1107:S1107"/>
    <mergeCell ref="E1108:K1108"/>
    <mergeCell ref="Q1108:S1108"/>
    <mergeCell ref="E1109:M1109"/>
    <mergeCell ref="Q1109:U1109"/>
    <mergeCell ref="E1110:K1110"/>
    <mergeCell ref="Q1110:S1110"/>
    <mergeCell ref="B1093:B1101"/>
    <mergeCell ref="G1093:G1094"/>
    <mergeCell ref="H1093:H1094"/>
    <mergeCell ref="I1094:M1094"/>
    <mergeCell ref="N1094:P1101"/>
    <mergeCell ref="Q1094:U1094"/>
    <mergeCell ref="E1095:M1095"/>
    <mergeCell ref="Q1095:U1095"/>
    <mergeCell ref="E1096:K1096"/>
    <mergeCell ref="Q1096:S1096"/>
    <mergeCell ref="E1097:K1097"/>
    <mergeCell ref="Q1097:S1097"/>
    <mergeCell ref="E1098:K1098"/>
    <mergeCell ref="Q1098:S1098"/>
    <mergeCell ref="E1099:K1099"/>
    <mergeCell ref="Q1099:S1099"/>
    <mergeCell ref="E1100:M1100"/>
    <mergeCell ref="Q1100:U1100"/>
    <mergeCell ref="E1101:K1101"/>
    <mergeCell ref="Q1101:S1101"/>
    <mergeCell ref="B1084:B1092"/>
    <mergeCell ref="G1084:G1085"/>
    <mergeCell ref="H1084:H1085"/>
    <mergeCell ref="I1085:M1085"/>
    <mergeCell ref="N1085:P1092"/>
    <mergeCell ref="Q1085:U1085"/>
    <mergeCell ref="E1086:M1086"/>
    <mergeCell ref="Q1086:U1086"/>
    <mergeCell ref="E1087:K1087"/>
    <mergeCell ref="Q1087:S1087"/>
    <mergeCell ref="E1088:K1088"/>
    <mergeCell ref="Q1088:S1088"/>
    <mergeCell ref="E1089:K1089"/>
    <mergeCell ref="Q1089:S1089"/>
    <mergeCell ref="E1090:K1090"/>
    <mergeCell ref="Q1090:S1090"/>
    <mergeCell ref="E1091:M1091"/>
    <mergeCell ref="Q1091:U1091"/>
    <mergeCell ref="E1092:K1092"/>
    <mergeCell ref="Q1092:S1092"/>
    <mergeCell ref="B1075:B1083"/>
    <mergeCell ref="G1075:G1076"/>
    <mergeCell ref="H1075:H1076"/>
    <mergeCell ref="I1076:M1076"/>
    <mergeCell ref="N1076:P1083"/>
    <mergeCell ref="Q1076:U1076"/>
    <mergeCell ref="E1077:M1077"/>
    <mergeCell ref="Q1077:U1077"/>
    <mergeCell ref="E1078:K1078"/>
    <mergeCell ref="Q1078:S1078"/>
    <mergeCell ref="E1079:K1079"/>
    <mergeCell ref="Q1079:S1079"/>
    <mergeCell ref="E1080:K1080"/>
    <mergeCell ref="Q1080:S1080"/>
    <mergeCell ref="E1081:K1081"/>
    <mergeCell ref="Q1081:S1081"/>
    <mergeCell ref="E1082:M1082"/>
    <mergeCell ref="Q1082:U1082"/>
    <mergeCell ref="E1083:K1083"/>
    <mergeCell ref="Q1083:S1083"/>
    <mergeCell ref="B1066:B1074"/>
    <mergeCell ref="G1066:G1067"/>
    <mergeCell ref="H1066:H1067"/>
    <mergeCell ref="I1067:M1067"/>
    <mergeCell ref="N1067:P1074"/>
    <mergeCell ref="Q1067:U1067"/>
    <mergeCell ref="E1068:M1068"/>
    <mergeCell ref="Q1068:U1068"/>
    <mergeCell ref="E1069:K1069"/>
    <mergeCell ref="Q1069:S1069"/>
    <mergeCell ref="E1070:K1070"/>
    <mergeCell ref="Q1070:S1070"/>
    <mergeCell ref="E1071:K1071"/>
    <mergeCell ref="Q1071:S1071"/>
    <mergeCell ref="E1072:K1072"/>
    <mergeCell ref="Q1072:S1072"/>
    <mergeCell ref="E1073:M1073"/>
    <mergeCell ref="Q1073:U1073"/>
    <mergeCell ref="E1074:K1074"/>
    <mergeCell ref="Q1074:S1074"/>
    <mergeCell ref="B1057:B1065"/>
    <mergeCell ref="G1057:G1058"/>
    <mergeCell ref="H1057:H1058"/>
    <mergeCell ref="I1058:M1058"/>
    <mergeCell ref="N1058:P1065"/>
    <mergeCell ref="Q1058:U1058"/>
    <mergeCell ref="E1059:M1059"/>
    <mergeCell ref="Q1059:U1059"/>
    <mergeCell ref="E1060:K1060"/>
    <mergeCell ref="Q1060:S1060"/>
    <mergeCell ref="E1061:K1061"/>
    <mergeCell ref="Q1061:S1061"/>
    <mergeCell ref="E1062:K1062"/>
    <mergeCell ref="Q1062:S1062"/>
    <mergeCell ref="E1063:K1063"/>
    <mergeCell ref="Q1063:S1063"/>
    <mergeCell ref="E1064:M1064"/>
    <mergeCell ref="Q1064:U1064"/>
    <mergeCell ref="E1065:K1065"/>
    <mergeCell ref="Q1065:S1065"/>
    <mergeCell ref="B1048:B1056"/>
    <mergeCell ref="G1048:G1049"/>
    <mergeCell ref="H1048:H1049"/>
    <mergeCell ref="I1049:M1049"/>
    <mergeCell ref="N1049:P1056"/>
    <mergeCell ref="Q1049:U1049"/>
    <mergeCell ref="E1050:M1050"/>
    <mergeCell ref="Q1050:U1050"/>
    <mergeCell ref="E1051:K1051"/>
    <mergeCell ref="Q1051:S1051"/>
    <mergeCell ref="E1052:K1052"/>
    <mergeCell ref="Q1052:S1052"/>
    <mergeCell ref="E1053:K1053"/>
    <mergeCell ref="Q1053:S1053"/>
    <mergeCell ref="E1054:K1054"/>
    <mergeCell ref="Q1054:S1054"/>
    <mergeCell ref="E1055:M1055"/>
    <mergeCell ref="Q1055:U1055"/>
    <mergeCell ref="E1056:K1056"/>
    <mergeCell ref="Q1056:S1056"/>
    <mergeCell ref="B1039:B1047"/>
    <mergeCell ref="G1039:G1040"/>
    <mergeCell ref="H1039:H1040"/>
    <mergeCell ref="I1040:M1040"/>
    <mergeCell ref="N1040:P1047"/>
    <mergeCell ref="Q1040:U1040"/>
    <mergeCell ref="E1041:M1041"/>
    <mergeCell ref="Q1041:U1041"/>
    <mergeCell ref="E1042:K1042"/>
    <mergeCell ref="Q1042:S1042"/>
    <mergeCell ref="E1043:K1043"/>
    <mergeCell ref="Q1043:S1043"/>
    <mergeCell ref="E1044:K1044"/>
    <mergeCell ref="Q1044:S1044"/>
    <mergeCell ref="E1045:K1045"/>
    <mergeCell ref="Q1045:S1045"/>
    <mergeCell ref="E1046:M1046"/>
    <mergeCell ref="Q1046:U1046"/>
    <mergeCell ref="E1047:K1047"/>
    <mergeCell ref="Q1047:S1047"/>
    <mergeCell ref="B1030:B1038"/>
    <mergeCell ref="G1030:G1031"/>
    <mergeCell ref="H1030:H1031"/>
    <mergeCell ref="I1031:M1031"/>
    <mergeCell ref="N1031:P1038"/>
    <mergeCell ref="Q1031:U1031"/>
    <mergeCell ref="E1032:M1032"/>
    <mergeCell ref="Q1032:U1032"/>
    <mergeCell ref="E1033:K1033"/>
    <mergeCell ref="Q1033:S1033"/>
    <mergeCell ref="E1034:K1034"/>
    <mergeCell ref="Q1034:S1034"/>
    <mergeCell ref="E1035:K1035"/>
    <mergeCell ref="Q1035:S1035"/>
    <mergeCell ref="E1036:K1036"/>
    <mergeCell ref="Q1036:S1036"/>
    <mergeCell ref="E1037:M1037"/>
    <mergeCell ref="Q1037:U1037"/>
    <mergeCell ref="E1038:K1038"/>
    <mergeCell ref="Q1038:S1038"/>
    <mergeCell ref="B1021:B1029"/>
    <mergeCell ref="G1021:G1022"/>
    <mergeCell ref="H1021:H1022"/>
    <mergeCell ref="I1022:M1022"/>
    <mergeCell ref="N1022:P1029"/>
    <mergeCell ref="Q1022:U1022"/>
    <mergeCell ref="E1023:M1023"/>
    <mergeCell ref="Q1023:U1023"/>
    <mergeCell ref="E1024:K1024"/>
    <mergeCell ref="Q1024:S1024"/>
    <mergeCell ref="E1025:K1025"/>
    <mergeCell ref="Q1025:S1025"/>
    <mergeCell ref="E1026:K1026"/>
    <mergeCell ref="Q1026:S1026"/>
    <mergeCell ref="E1027:K1027"/>
    <mergeCell ref="Q1027:S1027"/>
    <mergeCell ref="E1028:M1028"/>
    <mergeCell ref="Q1028:U1028"/>
    <mergeCell ref="E1029:K1029"/>
    <mergeCell ref="Q1029:S1029"/>
    <mergeCell ref="B1012:B1020"/>
    <mergeCell ref="G1012:G1013"/>
    <mergeCell ref="H1012:H1013"/>
    <mergeCell ref="I1013:M1013"/>
    <mergeCell ref="N1013:P1020"/>
    <mergeCell ref="Q1013:U1013"/>
    <mergeCell ref="E1014:M1014"/>
    <mergeCell ref="Q1014:U1014"/>
    <mergeCell ref="E1015:K1015"/>
    <mergeCell ref="Q1015:S1015"/>
    <mergeCell ref="E1016:K1016"/>
    <mergeCell ref="Q1016:S1016"/>
    <mergeCell ref="E1017:K1017"/>
    <mergeCell ref="Q1017:S1017"/>
    <mergeCell ref="E1018:K1018"/>
    <mergeCell ref="Q1018:S1018"/>
    <mergeCell ref="E1019:M1019"/>
    <mergeCell ref="Q1019:U1019"/>
    <mergeCell ref="E1020:K1020"/>
    <mergeCell ref="Q1020:S1020"/>
    <mergeCell ref="B1003:B1011"/>
    <mergeCell ref="G1003:G1004"/>
    <mergeCell ref="H1003:H1004"/>
    <mergeCell ref="I1004:M1004"/>
    <mergeCell ref="N1004:P1011"/>
    <mergeCell ref="Q1004:U1004"/>
    <mergeCell ref="E1005:M1005"/>
    <mergeCell ref="Q1005:U1005"/>
    <mergeCell ref="E1006:K1006"/>
    <mergeCell ref="Q1006:S1006"/>
    <mergeCell ref="E1007:K1007"/>
    <mergeCell ref="Q1007:S1007"/>
    <mergeCell ref="E1008:K1008"/>
    <mergeCell ref="Q1008:S1008"/>
    <mergeCell ref="E1009:K1009"/>
    <mergeCell ref="Q1009:S1009"/>
    <mergeCell ref="E1010:M1010"/>
    <mergeCell ref="Q1010:U1010"/>
    <mergeCell ref="E1011:K1011"/>
    <mergeCell ref="Q1011:S1011"/>
    <mergeCell ref="B994:B1002"/>
    <mergeCell ref="G994:G995"/>
    <mergeCell ref="H994:H995"/>
    <mergeCell ref="I995:M995"/>
    <mergeCell ref="N995:P1002"/>
    <mergeCell ref="Q995:U995"/>
    <mergeCell ref="E996:M996"/>
    <mergeCell ref="Q996:U996"/>
    <mergeCell ref="E997:K997"/>
    <mergeCell ref="Q997:S997"/>
    <mergeCell ref="E998:K998"/>
    <mergeCell ref="Q998:S998"/>
    <mergeCell ref="E999:K999"/>
    <mergeCell ref="Q999:S999"/>
    <mergeCell ref="E1000:K1000"/>
    <mergeCell ref="Q1000:S1000"/>
    <mergeCell ref="E1001:M1001"/>
    <mergeCell ref="Q1001:U1001"/>
    <mergeCell ref="E1002:K1002"/>
    <mergeCell ref="Q1002:S1002"/>
    <mergeCell ref="B985:B993"/>
    <mergeCell ref="G985:G986"/>
    <mergeCell ref="H985:H986"/>
    <mergeCell ref="I986:M986"/>
    <mergeCell ref="N986:P993"/>
    <mergeCell ref="Q986:U986"/>
    <mergeCell ref="E987:M987"/>
    <mergeCell ref="Q987:U987"/>
    <mergeCell ref="E988:K988"/>
    <mergeCell ref="Q988:S988"/>
    <mergeCell ref="E989:K989"/>
    <mergeCell ref="Q989:S989"/>
    <mergeCell ref="E990:K990"/>
    <mergeCell ref="Q990:S990"/>
    <mergeCell ref="E991:K991"/>
    <mergeCell ref="Q991:S991"/>
    <mergeCell ref="E992:M992"/>
    <mergeCell ref="Q992:U992"/>
    <mergeCell ref="E993:K993"/>
    <mergeCell ref="Q993:S993"/>
    <mergeCell ref="B976:B984"/>
    <mergeCell ref="G976:G977"/>
    <mergeCell ref="H976:H977"/>
    <mergeCell ref="I977:M977"/>
    <mergeCell ref="N977:P984"/>
    <mergeCell ref="Q977:U977"/>
    <mergeCell ref="E978:M978"/>
    <mergeCell ref="Q978:U978"/>
    <mergeCell ref="E979:K979"/>
    <mergeCell ref="Q979:S979"/>
    <mergeCell ref="E980:K980"/>
    <mergeCell ref="Q980:S980"/>
    <mergeCell ref="E981:K981"/>
    <mergeCell ref="Q981:S981"/>
    <mergeCell ref="E982:K982"/>
    <mergeCell ref="Q982:S982"/>
    <mergeCell ref="E983:M983"/>
    <mergeCell ref="Q983:U983"/>
    <mergeCell ref="E984:K984"/>
    <mergeCell ref="Q984:S984"/>
    <mergeCell ref="B967:B975"/>
    <mergeCell ref="G967:G968"/>
    <mergeCell ref="H967:H968"/>
    <mergeCell ref="I968:M968"/>
    <mergeCell ref="N968:P975"/>
    <mergeCell ref="Q968:U968"/>
    <mergeCell ref="E969:M969"/>
    <mergeCell ref="Q969:U969"/>
    <mergeCell ref="E970:K970"/>
    <mergeCell ref="Q970:S970"/>
    <mergeCell ref="E971:K971"/>
    <mergeCell ref="Q971:S971"/>
    <mergeCell ref="E972:K972"/>
    <mergeCell ref="Q972:S972"/>
    <mergeCell ref="E973:K973"/>
    <mergeCell ref="Q973:S973"/>
    <mergeCell ref="E974:M974"/>
    <mergeCell ref="Q974:U974"/>
    <mergeCell ref="E975:K975"/>
    <mergeCell ref="Q975:S975"/>
    <mergeCell ref="B958:B966"/>
    <mergeCell ref="G958:G959"/>
    <mergeCell ref="H958:H959"/>
    <mergeCell ref="I959:M959"/>
    <mergeCell ref="N959:P966"/>
    <mergeCell ref="Q959:U959"/>
    <mergeCell ref="E960:M960"/>
    <mergeCell ref="Q960:U960"/>
    <mergeCell ref="E961:K961"/>
    <mergeCell ref="Q961:S961"/>
    <mergeCell ref="E962:K962"/>
    <mergeCell ref="Q962:S962"/>
    <mergeCell ref="E963:K963"/>
    <mergeCell ref="Q963:S963"/>
    <mergeCell ref="E964:K964"/>
    <mergeCell ref="Q964:S964"/>
    <mergeCell ref="E965:M965"/>
    <mergeCell ref="Q965:U965"/>
    <mergeCell ref="E966:K966"/>
    <mergeCell ref="Q966:S966"/>
    <mergeCell ref="B949:B957"/>
    <mergeCell ref="G949:G950"/>
    <mergeCell ref="H949:H950"/>
    <mergeCell ref="I950:M950"/>
    <mergeCell ref="N950:P957"/>
    <mergeCell ref="Q950:U950"/>
    <mergeCell ref="E951:M951"/>
    <mergeCell ref="Q951:U951"/>
    <mergeCell ref="E952:K952"/>
    <mergeCell ref="Q952:S952"/>
    <mergeCell ref="E953:K953"/>
    <mergeCell ref="Q953:S953"/>
    <mergeCell ref="E954:K954"/>
    <mergeCell ref="Q954:S954"/>
    <mergeCell ref="E955:K955"/>
    <mergeCell ref="Q955:S955"/>
    <mergeCell ref="E956:M956"/>
    <mergeCell ref="Q956:U956"/>
    <mergeCell ref="E957:K957"/>
    <mergeCell ref="Q957:S957"/>
    <mergeCell ref="B940:B948"/>
    <mergeCell ref="G940:G941"/>
    <mergeCell ref="H940:H941"/>
    <mergeCell ref="I941:M941"/>
    <mergeCell ref="N941:P948"/>
    <mergeCell ref="Q941:U941"/>
    <mergeCell ref="E942:M942"/>
    <mergeCell ref="Q942:U942"/>
    <mergeCell ref="E943:K943"/>
    <mergeCell ref="Q943:S943"/>
    <mergeCell ref="E944:K944"/>
    <mergeCell ref="Q944:S944"/>
    <mergeCell ref="E945:K945"/>
    <mergeCell ref="Q945:S945"/>
    <mergeCell ref="E946:K946"/>
    <mergeCell ref="Q946:S946"/>
    <mergeCell ref="E947:M947"/>
    <mergeCell ref="Q947:U947"/>
    <mergeCell ref="E948:K948"/>
    <mergeCell ref="Q948:S948"/>
    <mergeCell ref="B931:B939"/>
    <mergeCell ref="G931:G932"/>
    <mergeCell ref="H931:H932"/>
    <mergeCell ref="I932:M932"/>
    <mergeCell ref="N932:P939"/>
    <mergeCell ref="Q932:U932"/>
    <mergeCell ref="E933:M933"/>
    <mergeCell ref="Q933:U933"/>
    <mergeCell ref="E934:K934"/>
    <mergeCell ref="Q934:S934"/>
    <mergeCell ref="E935:K935"/>
    <mergeCell ref="Q935:S935"/>
    <mergeCell ref="E936:K936"/>
    <mergeCell ref="Q936:S936"/>
    <mergeCell ref="E937:K937"/>
    <mergeCell ref="Q937:S937"/>
    <mergeCell ref="E938:M938"/>
    <mergeCell ref="Q938:U938"/>
    <mergeCell ref="E939:K939"/>
    <mergeCell ref="Q939:S939"/>
    <mergeCell ref="B922:B930"/>
    <mergeCell ref="G922:G923"/>
    <mergeCell ref="H922:H923"/>
    <mergeCell ref="I923:M923"/>
    <mergeCell ref="N923:P930"/>
    <mergeCell ref="Q923:U923"/>
    <mergeCell ref="E924:M924"/>
    <mergeCell ref="Q924:U924"/>
    <mergeCell ref="E925:K925"/>
    <mergeCell ref="Q925:S925"/>
    <mergeCell ref="E926:K926"/>
    <mergeCell ref="Q926:S926"/>
    <mergeCell ref="E927:K927"/>
    <mergeCell ref="Q927:S927"/>
    <mergeCell ref="E928:K928"/>
    <mergeCell ref="Q928:S928"/>
    <mergeCell ref="E929:M929"/>
    <mergeCell ref="Q929:U929"/>
    <mergeCell ref="E930:K930"/>
    <mergeCell ref="Q930:S930"/>
    <mergeCell ref="B913:B921"/>
    <mergeCell ref="G913:G914"/>
    <mergeCell ref="H913:H914"/>
    <mergeCell ref="I914:M914"/>
    <mergeCell ref="N914:P921"/>
    <mergeCell ref="Q914:U914"/>
    <mergeCell ref="E915:M915"/>
    <mergeCell ref="Q915:U915"/>
    <mergeCell ref="E916:K916"/>
    <mergeCell ref="Q916:S916"/>
    <mergeCell ref="E917:K917"/>
    <mergeCell ref="Q917:S917"/>
    <mergeCell ref="E918:K918"/>
    <mergeCell ref="Q918:S918"/>
    <mergeCell ref="E919:K919"/>
    <mergeCell ref="Q919:S919"/>
    <mergeCell ref="E920:M920"/>
    <mergeCell ref="Q920:U920"/>
    <mergeCell ref="E921:K921"/>
    <mergeCell ref="Q921:S921"/>
    <mergeCell ref="B904:B912"/>
    <mergeCell ref="G904:G905"/>
    <mergeCell ref="H904:H905"/>
    <mergeCell ref="I905:M905"/>
    <mergeCell ref="N905:P912"/>
    <mergeCell ref="Q905:U905"/>
    <mergeCell ref="E906:M906"/>
    <mergeCell ref="Q906:U906"/>
    <mergeCell ref="E907:K907"/>
    <mergeCell ref="Q907:S907"/>
    <mergeCell ref="E908:K908"/>
    <mergeCell ref="Q908:S908"/>
    <mergeCell ref="E909:K909"/>
    <mergeCell ref="Q909:S909"/>
    <mergeCell ref="E910:K910"/>
    <mergeCell ref="Q910:S910"/>
    <mergeCell ref="E911:M911"/>
    <mergeCell ref="Q911:U911"/>
    <mergeCell ref="E912:K912"/>
    <mergeCell ref="Q912:S912"/>
    <mergeCell ref="B895:B903"/>
    <mergeCell ref="G895:G896"/>
    <mergeCell ref="H895:H896"/>
    <mergeCell ref="I896:M896"/>
    <mergeCell ref="N896:P903"/>
    <mergeCell ref="Q896:U896"/>
    <mergeCell ref="E897:M897"/>
    <mergeCell ref="Q897:U897"/>
    <mergeCell ref="E898:K898"/>
    <mergeCell ref="Q898:S898"/>
    <mergeCell ref="E899:K899"/>
    <mergeCell ref="Q899:S899"/>
    <mergeCell ref="E900:K900"/>
    <mergeCell ref="Q900:S900"/>
    <mergeCell ref="E901:K901"/>
    <mergeCell ref="Q901:S901"/>
    <mergeCell ref="E902:M902"/>
    <mergeCell ref="Q902:U902"/>
    <mergeCell ref="E903:K903"/>
    <mergeCell ref="Q903:S903"/>
    <mergeCell ref="B886:B894"/>
    <mergeCell ref="G886:G887"/>
    <mergeCell ref="H886:H887"/>
    <mergeCell ref="I887:M887"/>
    <mergeCell ref="N887:P894"/>
    <mergeCell ref="Q887:U887"/>
    <mergeCell ref="E888:M888"/>
    <mergeCell ref="Q888:U888"/>
    <mergeCell ref="E889:K889"/>
    <mergeCell ref="Q889:S889"/>
    <mergeCell ref="E890:K890"/>
    <mergeCell ref="Q890:S890"/>
    <mergeCell ref="E891:K891"/>
    <mergeCell ref="Q891:S891"/>
    <mergeCell ref="E892:K892"/>
    <mergeCell ref="Q892:S892"/>
    <mergeCell ref="E893:M893"/>
    <mergeCell ref="Q893:U893"/>
    <mergeCell ref="E894:K894"/>
    <mergeCell ref="Q894:S894"/>
    <mergeCell ref="B877:B885"/>
    <mergeCell ref="G877:G878"/>
    <mergeCell ref="H877:H878"/>
    <mergeCell ref="I878:M878"/>
    <mergeCell ref="N878:P885"/>
    <mergeCell ref="Q878:U878"/>
    <mergeCell ref="E879:M879"/>
    <mergeCell ref="Q879:U879"/>
    <mergeCell ref="E880:K880"/>
    <mergeCell ref="Q880:S880"/>
    <mergeCell ref="E881:K881"/>
    <mergeCell ref="Q881:S881"/>
    <mergeCell ref="E882:K882"/>
    <mergeCell ref="Q882:S882"/>
    <mergeCell ref="E883:K883"/>
    <mergeCell ref="Q883:S883"/>
    <mergeCell ref="E884:M884"/>
    <mergeCell ref="Q884:U884"/>
    <mergeCell ref="E885:K885"/>
    <mergeCell ref="Q885:S885"/>
    <mergeCell ref="B868:B876"/>
    <mergeCell ref="G868:G869"/>
    <mergeCell ref="H868:H869"/>
    <mergeCell ref="I869:M869"/>
    <mergeCell ref="N869:P876"/>
    <mergeCell ref="Q869:U869"/>
    <mergeCell ref="E870:M870"/>
    <mergeCell ref="Q870:U870"/>
    <mergeCell ref="E871:K871"/>
    <mergeCell ref="Q871:S871"/>
    <mergeCell ref="E872:K872"/>
    <mergeCell ref="Q872:S872"/>
    <mergeCell ref="E873:K873"/>
    <mergeCell ref="Q873:S873"/>
    <mergeCell ref="E874:K874"/>
    <mergeCell ref="Q874:S874"/>
    <mergeCell ref="E875:M875"/>
    <mergeCell ref="Q875:U875"/>
    <mergeCell ref="E876:K876"/>
    <mergeCell ref="Q876:S876"/>
    <mergeCell ref="B859:B867"/>
    <mergeCell ref="G859:G860"/>
    <mergeCell ref="H859:H860"/>
    <mergeCell ref="I860:M860"/>
    <mergeCell ref="N860:P867"/>
    <mergeCell ref="Q860:U860"/>
    <mergeCell ref="E861:M861"/>
    <mergeCell ref="Q861:U861"/>
    <mergeCell ref="E862:K862"/>
    <mergeCell ref="Q862:S862"/>
    <mergeCell ref="E863:K863"/>
    <mergeCell ref="Q863:S863"/>
    <mergeCell ref="E864:K864"/>
    <mergeCell ref="Q864:S864"/>
    <mergeCell ref="E865:K865"/>
    <mergeCell ref="Q865:S865"/>
    <mergeCell ref="E866:M866"/>
    <mergeCell ref="Q866:U866"/>
    <mergeCell ref="E867:K867"/>
    <mergeCell ref="Q867:S867"/>
    <mergeCell ref="B850:B858"/>
    <mergeCell ref="G850:G851"/>
    <mergeCell ref="H850:H851"/>
    <mergeCell ref="I851:M851"/>
    <mergeCell ref="N851:P858"/>
    <mergeCell ref="Q851:U851"/>
    <mergeCell ref="E852:M852"/>
    <mergeCell ref="Q852:U852"/>
    <mergeCell ref="E853:K853"/>
    <mergeCell ref="Q853:S853"/>
    <mergeCell ref="E854:K854"/>
    <mergeCell ref="Q854:S854"/>
    <mergeCell ref="E855:K855"/>
    <mergeCell ref="Q855:S855"/>
    <mergeCell ref="E856:K856"/>
    <mergeCell ref="Q856:S856"/>
    <mergeCell ref="E857:M857"/>
    <mergeCell ref="Q857:U857"/>
    <mergeCell ref="E858:K858"/>
    <mergeCell ref="Q858:S858"/>
    <mergeCell ref="B841:B849"/>
    <mergeCell ref="G841:G842"/>
    <mergeCell ref="H841:H842"/>
    <mergeCell ref="I842:M842"/>
    <mergeCell ref="N842:P849"/>
    <mergeCell ref="Q842:U842"/>
    <mergeCell ref="E843:M843"/>
    <mergeCell ref="Q843:U843"/>
    <mergeCell ref="E844:K844"/>
    <mergeCell ref="Q844:S844"/>
    <mergeCell ref="E845:K845"/>
    <mergeCell ref="Q845:S845"/>
    <mergeCell ref="E846:K846"/>
    <mergeCell ref="Q846:S846"/>
    <mergeCell ref="E847:K847"/>
    <mergeCell ref="Q847:S847"/>
    <mergeCell ref="E848:M848"/>
    <mergeCell ref="Q848:U848"/>
    <mergeCell ref="E849:K849"/>
    <mergeCell ref="Q849:S849"/>
    <mergeCell ref="B832:B840"/>
    <mergeCell ref="G832:G833"/>
    <mergeCell ref="H832:H833"/>
    <mergeCell ref="I833:M833"/>
    <mergeCell ref="N833:P840"/>
    <mergeCell ref="Q833:U833"/>
    <mergeCell ref="E834:M834"/>
    <mergeCell ref="Q834:U834"/>
    <mergeCell ref="E835:K835"/>
    <mergeCell ref="Q835:S835"/>
    <mergeCell ref="E836:K836"/>
    <mergeCell ref="Q836:S836"/>
    <mergeCell ref="E837:K837"/>
    <mergeCell ref="Q837:S837"/>
    <mergeCell ref="E838:K838"/>
    <mergeCell ref="Q838:S838"/>
    <mergeCell ref="E839:M839"/>
    <mergeCell ref="Q839:U839"/>
    <mergeCell ref="E840:K840"/>
    <mergeCell ref="Q840:S840"/>
    <mergeCell ref="B823:B831"/>
    <mergeCell ref="G823:G824"/>
    <mergeCell ref="H823:H824"/>
    <mergeCell ref="I824:M824"/>
    <mergeCell ref="N824:P831"/>
    <mergeCell ref="Q824:U824"/>
    <mergeCell ref="E825:M825"/>
    <mergeCell ref="Q825:U825"/>
    <mergeCell ref="E826:K826"/>
    <mergeCell ref="Q826:S826"/>
    <mergeCell ref="E827:K827"/>
    <mergeCell ref="Q827:S827"/>
    <mergeCell ref="E828:K828"/>
    <mergeCell ref="Q828:S828"/>
    <mergeCell ref="E829:K829"/>
    <mergeCell ref="Q829:S829"/>
    <mergeCell ref="E830:M830"/>
    <mergeCell ref="Q830:U830"/>
    <mergeCell ref="E831:K831"/>
    <mergeCell ref="Q831:S831"/>
    <mergeCell ref="B814:B822"/>
    <mergeCell ref="G814:G815"/>
    <mergeCell ref="H814:H815"/>
    <mergeCell ref="I815:M815"/>
    <mergeCell ref="N815:P822"/>
    <mergeCell ref="Q815:U815"/>
    <mergeCell ref="E816:M816"/>
    <mergeCell ref="Q816:U816"/>
    <mergeCell ref="E817:K817"/>
    <mergeCell ref="Q817:S817"/>
    <mergeCell ref="E818:K818"/>
    <mergeCell ref="Q818:S818"/>
    <mergeCell ref="E819:K819"/>
    <mergeCell ref="Q819:S819"/>
    <mergeCell ref="E820:K820"/>
    <mergeCell ref="Q820:S820"/>
    <mergeCell ref="E821:M821"/>
    <mergeCell ref="Q821:U821"/>
    <mergeCell ref="E822:K822"/>
    <mergeCell ref="Q822:S822"/>
    <mergeCell ref="B805:B813"/>
    <mergeCell ref="G805:G806"/>
    <mergeCell ref="H805:H806"/>
    <mergeCell ref="I806:M806"/>
    <mergeCell ref="N806:P813"/>
    <mergeCell ref="Q806:U806"/>
    <mergeCell ref="E807:M807"/>
    <mergeCell ref="Q807:U807"/>
    <mergeCell ref="E808:K808"/>
    <mergeCell ref="Q808:S808"/>
    <mergeCell ref="E809:K809"/>
    <mergeCell ref="Q809:S809"/>
    <mergeCell ref="E810:K810"/>
    <mergeCell ref="Q810:S810"/>
    <mergeCell ref="E811:K811"/>
    <mergeCell ref="Q811:S811"/>
    <mergeCell ref="E812:M812"/>
    <mergeCell ref="Q812:U812"/>
    <mergeCell ref="E813:K813"/>
    <mergeCell ref="Q813:S813"/>
    <mergeCell ref="B796:B804"/>
    <mergeCell ref="G796:G797"/>
    <mergeCell ref="H796:H797"/>
    <mergeCell ref="I797:M797"/>
    <mergeCell ref="N797:P804"/>
    <mergeCell ref="Q797:U797"/>
    <mergeCell ref="E798:M798"/>
    <mergeCell ref="Q798:U798"/>
    <mergeCell ref="E799:K799"/>
    <mergeCell ref="Q799:S799"/>
    <mergeCell ref="E800:K800"/>
    <mergeCell ref="Q800:S800"/>
    <mergeCell ref="E801:K801"/>
    <mergeCell ref="Q801:S801"/>
    <mergeCell ref="E802:K802"/>
    <mergeCell ref="Q802:S802"/>
    <mergeCell ref="E803:M803"/>
    <mergeCell ref="Q803:U803"/>
    <mergeCell ref="E804:K804"/>
    <mergeCell ref="Q804:S804"/>
    <mergeCell ref="B787:B795"/>
    <mergeCell ref="G787:G788"/>
    <mergeCell ref="H787:H788"/>
    <mergeCell ref="I788:M788"/>
    <mergeCell ref="N788:P795"/>
    <mergeCell ref="Q788:U788"/>
    <mergeCell ref="E789:M789"/>
    <mergeCell ref="Q789:U789"/>
    <mergeCell ref="E790:K790"/>
    <mergeCell ref="Q790:S790"/>
    <mergeCell ref="E791:K791"/>
    <mergeCell ref="Q791:S791"/>
    <mergeCell ref="E792:K792"/>
    <mergeCell ref="Q792:S792"/>
    <mergeCell ref="E793:K793"/>
    <mergeCell ref="Q793:S793"/>
    <mergeCell ref="E794:M794"/>
    <mergeCell ref="Q794:U794"/>
    <mergeCell ref="E795:K795"/>
    <mergeCell ref="Q795:S795"/>
    <mergeCell ref="B778:B786"/>
    <mergeCell ref="G778:G779"/>
    <mergeCell ref="H778:H779"/>
    <mergeCell ref="I779:M779"/>
    <mergeCell ref="N779:P786"/>
    <mergeCell ref="Q779:U779"/>
    <mergeCell ref="E780:M780"/>
    <mergeCell ref="Q780:U780"/>
    <mergeCell ref="E781:K781"/>
    <mergeCell ref="Q781:S781"/>
    <mergeCell ref="E782:K782"/>
    <mergeCell ref="Q782:S782"/>
    <mergeCell ref="E783:K783"/>
    <mergeCell ref="Q783:S783"/>
    <mergeCell ref="E784:K784"/>
    <mergeCell ref="Q784:S784"/>
    <mergeCell ref="E785:M785"/>
    <mergeCell ref="Q785:U785"/>
    <mergeCell ref="E786:K786"/>
    <mergeCell ref="Q786:S786"/>
    <mergeCell ref="B769:B777"/>
    <mergeCell ref="G769:G770"/>
    <mergeCell ref="H769:H770"/>
    <mergeCell ref="I770:M770"/>
    <mergeCell ref="N770:P777"/>
    <mergeCell ref="Q770:U770"/>
    <mergeCell ref="E771:M771"/>
    <mergeCell ref="Q771:U771"/>
    <mergeCell ref="E772:K772"/>
    <mergeCell ref="Q772:S772"/>
    <mergeCell ref="E773:K773"/>
    <mergeCell ref="Q773:S773"/>
    <mergeCell ref="E774:K774"/>
    <mergeCell ref="Q774:S774"/>
    <mergeCell ref="E775:K775"/>
    <mergeCell ref="Q775:S775"/>
    <mergeCell ref="E776:M776"/>
    <mergeCell ref="Q776:U776"/>
    <mergeCell ref="E777:K777"/>
    <mergeCell ref="Q777:S777"/>
    <mergeCell ref="B760:B768"/>
    <mergeCell ref="G760:G761"/>
    <mergeCell ref="H760:H761"/>
    <mergeCell ref="I761:M761"/>
    <mergeCell ref="N761:P768"/>
    <mergeCell ref="Q761:U761"/>
    <mergeCell ref="E762:M762"/>
    <mergeCell ref="Q762:U762"/>
    <mergeCell ref="E763:K763"/>
    <mergeCell ref="Q763:S763"/>
    <mergeCell ref="E764:K764"/>
    <mergeCell ref="Q764:S764"/>
    <mergeCell ref="E765:K765"/>
    <mergeCell ref="Q765:S765"/>
    <mergeCell ref="E766:K766"/>
    <mergeCell ref="Q766:S766"/>
    <mergeCell ref="E767:M767"/>
    <mergeCell ref="Q767:U767"/>
    <mergeCell ref="E768:K768"/>
    <mergeCell ref="Q768:S768"/>
    <mergeCell ref="B751:B759"/>
    <mergeCell ref="G751:G752"/>
    <mergeCell ref="H751:H752"/>
    <mergeCell ref="I752:M752"/>
    <mergeCell ref="N752:P759"/>
    <mergeCell ref="Q752:U752"/>
    <mergeCell ref="E753:M753"/>
    <mergeCell ref="Q753:U753"/>
    <mergeCell ref="E754:K754"/>
    <mergeCell ref="Q754:S754"/>
    <mergeCell ref="E755:K755"/>
    <mergeCell ref="Q755:S755"/>
    <mergeCell ref="E756:K756"/>
    <mergeCell ref="Q756:S756"/>
    <mergeCell ref="E757:K757"/>
    <mergeCell ref="Q757:S757"/>
    <mergeCell ref="E758:M758"/>
    <mergeCell ref="Q758:U758"/>
    <mergeCell ref="E759:K759"/>
    <mergeCell ref="Q759:S759"/>
    <mergeCell ref="B742:B750"/>
    <mergeCell ref="G742:G743"/>
    <mergeCell ref="H742:H743"/>
    <mergeCell ref="I743:M743"/>
    <mergeCell ref="N743:P750"/>
    <mergeCell ref="Q743:U743"/>
    <mergeCell ref="E744:M744"/>
    <mergeCell ref="Q744:U744"/>
    <mergeCell ref="E745:K745"/>
    <mergeCell ref="Q745:S745"/>
    <mergeCell ref="E746:K746"/>
    <mergeCell ref="Q746:S746"/>
    <mergeCell ref="E747:K747"/>
    <mergeCell ref="Q747:S747"/>
    <mergeCell ref="E748:K748"/>
    <mergeCell ref="Q748:S748"/>
    <mergeCell ref="E749:M749"/>
    <mergeCell ref="Q749:U749"/>
    <mergeCell ref="E750:K750"/>
    <mergeCell ref="Q750:S750"/>
    <mergeCell ref="B733:B741"/>
    <mergeCell ref="G733:G734"/>
    <mergeCell ref="H733:H734"/>
    <mergeCell ref="I734:M734"/>
    <mergeCell ref="N734:P741"/>
    <mergeCell ref="Q734:U734"/>
    <mergeCell ref="E735:M735"/>
    <mergeCell ref="Q735:U735"/>
    <mergeCell ref="E736:K736"/>
    <mergeCell ref="Q736:S736"/>
    <mergeCell ref="E737:K737"/>
    <mergeCell ref="Q737:S737"/>
    <mergeCell ref="E738:K738"/>
    <mergeCell ref="Q738:S738"/>
    <mergeCell ref="E739:K739"/>
    <mergeCell ref="Q739:S739"/>
    <mergeCell ref="E740:M740"/>
    <mergeCell ref="Q740:U740"/>
    <mergeCell ref="E741:K741"/>
    <mergeCell ref="Q741:S741"/>
    <mergeCell ref="B724:B732"/>
    <mergeCell ref="G724:G725"/>
    <mergeCell ref="H724:H725"/>
    <mergeCell ref="I725:M725"/>
    <mergeCell ref="N725:P732"/>
    <mergeCell ref="Q725:U725"/>
    <mergeCell ref="E726:M726"/>
    <mergeCell ref="Q726:U726"/>
    <mergeCell ref="E727:K727"/>
    <mergeCell ref="Q727:S727"/>
    <mergeCell ref="E728:K728"/>
    <mergeCell ref="Q728:S728"/>
    <mergeCell ref="E729:K729"/>
    <mergeCell ref="Q729:S729"/>
    <mergeCell ref="E730:K730"/>
    <mergeCell ref="Q730:S730"/>
    <mergeCell ref="E731:M731"/>
    <mergeCell ref="Q731:U731"/>
    <mergeCell ref="E732:K732"/>
    <mergeCell ref="Q732:S732"/>
    <mergeCell ref="B715:B723"/>
    <mergeCell ref="G715:G716"/>
    <mergeCell ref="H715:H716"/>
    <mergeCell ref="I716:M716"/>
    <mergeCell ref="N716:P723"/>
    <mergeCell ref="Q716:U716"/>
    <mergeCell ref="E717:M717"/>
    <mergeCell ref="Q717:U717"/>
    <mergeCell ref="E718:K718"/>
    <mergeCell ref="Q718:S718"/>
    <mergeCell ref="E719:K719"/>
    <mergeCell ref="Q719:S719"/>
    <mergeCell ref="E720:K720"/>
    <mergeCell ref="Q720:S720"/>
    <mergeCell ref="E721:K721"/>
    <mergeCell ref="Q721:S721"/>
    <mergeCell ref="E722:M722"/>
    <mergeCell ref="Q722:U722"/>
    <mergeCell ref="E723:K723"/>
    <mergeCell ref="Q723:S723"/>
    <mergeCell ref="B706:B714"/>
    <mergeCell ref="G706:G707"/>
    <mergeCell ref="H706:H707"/>
    <mergeCell ref="I707:M707"/>
    <mergeCell ref="N707:P714"/>
    <mergeCell ref="Q707:U707"/>
    <mergeCell ref="E708:M708"/>
    <mergeCell ref="Q708:U708"/>
    <mergeCell ref="E709:K709"/>
    <mergeCell ref="Q709:S709"/>
    <mergeCell ref="E710:K710"/>
    <mergeCell ref="Q710:S710"/>
    <mergeCell ref="E711:K711"/>
    <mergeCell ref="Q711:S711"/>
    <mergeCell ref="E712:K712"/>
    <mergeCell ref="Q712:S712"/>
    <mergeCell ref="E713:M713"/>
    <mergeCell ref="Q713:U713"/>
    <mergeCell ref="E714:K714"/>
    <mergeCell ref="Q714:S714"/>
    <mergeCell ref="B697:B705"/>
    <mergeCell ref="G697:G698"/>
    <mergeCell ref="H697:H698"/>
    <mergeCell ref="I698:M698"/>
    <mergeCell ref="N698:P705"/>
    <mergeCell ref="Q698:U698"/>
    <mergeCell ref="E699:M699"/>
    <mergeCell ref="Q699:U699"/>
    <mergeCell ref="E700:K700"/>
    <mergeCell ref="Q700:S700"/>
    <mergeCell ref="E701:K701"/>
    <mergeCell ref="Q701:S701"/>
    <mergeCell ref="E702:K702"/>
    <mergeCell ref="Q702:S702"/>
    <mergeCell ref="E703:K703"/>
    <mergeCell ref="Q703:S703"/>
    <mergeCell ref="E704:M704"/>
    <mergeCell ref="Q704:U704"/>
    <mergeCell ref="E705:K705"/>
    <mergeCell ref="Q705:S705"/>
    <mergeCell ref="B688:B696"/>
    <mergeCell ref="G688:G689"/>
    <mergeCell ref="H688:H689"/>
    <mergeCell ref="I689:M689"/>
    <mergeCell ref="N689:P696"/>
    <mergeCell ref="Q689:U689"/>
    <mergeCell ref="E690:M690"/>
    <mergeCell ref="Q690:U690"/>
    <mergeCell ref="E691:K691"/>
    <mergeCell ref="Q691:S691"/>
    <mergeCell ref="E692:K692"/>
    <mergeCell ref="Q692:S692"/>
    <mergeCell ref="E693:K693"/>
    <mergeCell ref="Q693:S693"/>
    <mergeCell ref="E694:K694"/>
    <mergeCell ref="Q694:S694"/>
    <mergeCell ref="E695:M695"/>
    <mergeCell ref="Q695:U695"/>
    <mergeCell ref="E696:K696"/>
    <mergeCell ref="Q696:S696"/>
    <mergeCell ref="B679:B687"/>
    <mergeCell ref="G679:G680"/>
    <mergeCell ref="H679:H680"/>
    <mergeCell ref="I680:M680"/>
    <mergeCell ref="N680:P687"/>
    <mergeCell ref="Q680:U680"/>
    <mergeCell ref="E681:M681"/>
    <mergeCell ref="Q681:U681"/>
    <mergeCell ref="E682:K682"/>
    <mergeCell ref="Q682:S682"/>
    <mergeCell ref="E683:K683"/>
    <mergeCell ref="Q683:S683"/>
    <mergeCell ref="E684:K684"/>
    <mergeCell ref="Q684:S684"/>
    <mergeCell ref="E685:K685"/>
    <mergeCell ref="Q685:S685"/>
    <mergeCell ref="E686:M686"/>
    <mergeCell ref="Q686:U686"/>
    <mergeCell ref="E687:K687"/>
    <mergeCell ref="Q687:S687"/>
    <mergeCell ref="B670:B678"/>
    <mergeCell ref="G670:G671"/>
    <mergeCell ref="H670:H671"/>
    <mergeCell ref="I671:M671"/>
    <mergeCell ref="N671:P678"/>
    <mergeCell ref="Q671:U671"/>
    <mergeCell ref="E672:M672"/>
    <mergeCell ref="Q672:U672"/>
    <mergeCell ref="E673:K673"/>
    <mergeCell ref="Q673:S673"/>
    <mergeCell ref="E674:K674"/>
    <mergeCell ref="Q674:S674"/>
    <mergeCell ref="E675:K675"/>
    <mergeCell ref="Q675:S675"/>
    <mergeCell ref="E676:K676"/>
    <mergeCell ref="Q676:S676"/>
    <mergeCell ref="E677:M677"/>
    <mergeCell ref="Q677:U677"/>
    <mergeCell ref="E678:K678"/>
    <mergeCell ref="Q678:S678"/>
    <mergeCell ref="B661:B669"/>
    <mergeCell ref="G661:G662"/>
    <mergeCell ref="H661:H662"/>
    <mergeCell ref="I662:M662"/>
    <mergeCell ref="N662:P669"/>
    <mergeCell ref="Q662:U662"/>
    <mergeCell ref="E663:M663"/>
    <mergeCell ref="Q663:U663"/>
    <mergeCell ref="E664:K664"/>
    <mergeCell ref="Q664:S664"/>
    <mergeCell ref="E665:K665"/>
    <mergeCell ref="Q665:S665"/>
    <mergeCell ref="E666:K666"/>
    <mergeCell ref="Q666:S666"/>
    <mergeCell ref="E667:K667"/>
    <mergeCell ref="Q667:S667"/>
    <mergeCell ref="E668:M668"/>
    <mergeCell ref="Q668:U668"/>
    <mergeCell ref="E669:K669"/>
    <mergeCell ref="Q669:S669"/>
    <mergeCell ref="B652:B660"/>
    <mergeCell ref="G652:G653"/>
    <mergeCell ref="H652:H653"/>
    <mergeCell ref="I653:M653"/>
    <mergeCell ref="N653:P660"/>
    <mergeCell ref="Q653:U653"/>
    <mergeCell ref="E654:M654"/>
    <mergeCell ref="Q654:U654"/>
    <mergeCell ref="E655:K655"/>
    <mergeCell ref="Q655:S655"/>
    <mergeCell ref="E656:K656"/>
    <mergeCell ref="Q656:S656"/>
    <mergeCell ref="E657:K657"/>
    <mergeCell ref="Q657:S657"/>
    <mergeCell ref="E658:K658"/>
    <mergeCell ref="Q658:S658"/>
    <mergeCell ref="E659:M659"/>
    <mergeCell ref="Q659:U659"/>
    <mergeCell ref="E660:K660"/>
    <mergeCell ref="Q660:S660"/>
    <mergeCell ref="B643:B651"/>
    <mergeCell ref="G643:G644"/>
    <mergeCell ref="H643:H644"/>
    <mergeCell ref="I644:M644"/>
    <mergeCell ref="N644:P651"/>
    <mergeCell ref="Q644:U644"/>
    <mergeCell ref="E645:M645"/>
    <mergeCell ref="Q645:U645"/>
    <mergeCell ref="E646:K646"/>
    <mergeCell ref="Q646:S646"/>
    <mergeCell ref="E647:K647"/>
    <mergeCell ref="Q647:S647"/>
    <mergeCell ref="E648:K648"/>
    <mergeCell ref="Q648:S648"/>
    <mergeCell ref="E649:K649"/>
    <mergeCell ref="Q649:S649"/>
    <mergeCell ref="E650:M650"/>
    <mergeCell ref="Q650:U650"/>
    <mergeCell ref="E651:K651"/>
    <mergeCell ref="Q651:S651"/>
    <mergeCell ref="B634:B642"/>
    <mergeCell ref="G634:G635"/>
    <mergeCell ref="H634:H635"/>
    <mergeCell ref="I635:M635"/>
    <mergeCell ref="N635:P642"/>
    <mergeCell ref="Q635:U635"/>
    <mergeCell ref="E636:M636"/>
    <mergeCell ref="Q636:U636"/>
    <mergeCell ref="E637:K637"/>
    <mergeCell ref="Q637:S637"/>
    <mergeCell ref="E638:K638"/>
    <mergeCell ref="Q638:S638"/>
    <mergeCell ref="E639:K639"/>
    <mergeCell ref="Q639:S639"/>
    <mergeCell ref="E640:K640"/>
    <mergeCell ref="Q640:S640"/>
    <mergeCell ref="E641:M641"/>
    <mergeCell ref="Q641:U641"/>
    <mergeCell ref="E642:K642"/>
    <mergeCell ref="Q642:S642"/>
    <mergeCell ref="B625:B633"/>
    <mergeCell ref="G625:G626"/>
    <mergeCell ref="H625:H626"/>
    <mergeCell ref="I626:M626"/>
    <mergeCell ref="N626:P633"/>
    <mergeCell ref="Q626:U626"/>
    <mergeCell ref="E627:M627"/>
    <mergeCell ref="Q627:U627"/>
    <mergeCell ref="E628:K628"/>
    <mergeCell ref="Q628:S628"/>
    <mergeCell ref="E629:K629"/>
    <mergeCell ref="Q629:S629"/>
    <mergeCell ref="E630:K630"/>
    <mergeCell ref="Q630:S630"/>
    <mergeCell ref="E631:K631"/>
    <mergeCell ref="Q631:S631"/>
    <mergeCell ref="E632:M632"/>
    <mergeCell ref="Q632:U632"/>
    <mergeCell ref="E633:K633"/>
    <mergeCell ref="Q633:S633"/>
    <mergeCell ref="B616:B624"/>
    <mergeCell ref="G616:G617"/>
    <mergeCell ref="H616:H617"/>
    <mergeCell ref="I617:M617"/>
    <mergeCell ref="N617:P624"/>
    <mergeCell ref="Q617:U617"/>
    <mergeCell ref="E618:M618"/>
    <mergeCell ref="Q618:U618"/>
    <mergeCell ref="E619:K619"/>
    <mergeCell ref="Q619:S619"/>
    <mergeCell ref="E620:K620"/>
    <mergeCell ref="Q620:S620"/>
    <mergeCell ref="E621:K621"/>
    <mergeCell ref="Q621:S621"/>
    <mergeCell ref="E622:K622"/>
    <mergeCell ref="Q622:S622"/>
    <mergeCell ref="E623:M623"/>
    <mergeCell ref="Q623:U623"/>
    <mergeCell ref="E624:K624"/>
    <mergeCell ref="Q624:S624"/>
    <mergeCell ref="B607:B615"/>
    <mergeCell ref="G607:G608"/>
    <mergeCell ref="H607:H608"/>
    <mergeCell ref="I608:M608"/>
    <mergeCell ref="N608:P615"/>
    <mergeCell ref="Q608:U608"/>
    <mergeCell ref="E609:M609"/>
    <mergeCell ref="Q609:U609"/>
    <mergeCell ref="E610:K610"/>
    <mergeCell ref="Q610:S610"/>
    <mergeCell ref="E611:K611"/>
    <mergeCell ref="Q611:S611"/>
    <mergeCell ref="E612:K612"/>
    <mergeCell ref="Q612:S612"/>
    <mergeCell ref="E613:K613"/>
    <mergeCell ref="Q613:S613"/>
    <mergeCell ref="E614:M614"/>
    <mergeCell ref="Q614:U614"/>
    <mergeCell ref="E615:K615"/>
    <mergeCell ref="Q615:S615"/>
    <mergeCell ref="B598:B606"/>
    <mergeCell ref="G598:G599"/>
    <mergeCell ref="H598:H599"/>
    <mergeCell ref="I599:M599"/>
    <mergeCell ref="N599:P606"/>
    <mergeCell ref="Q599:U599"/>
    <mergeCell ref="E600:M600"/>
    <mergeCell ref="Q600:U600"/>
    <mergeCell ref="E601:K601"/>
    <mergeCell ref="Q601:S601"/>
    <mergeCell ref="E602:K602"/>
    <mergeCell ref="Q602:S602"/>
    <mergeCell ref="E603:K603"/>
    <mergeCell ref="Q603:S603"/>
    <mergeCell ref="E604:K604"/>
    <mergeCell ref="Q604:S604"/>
    <mergeCell ref="E605:M605"/>
    <mergeCell ref="Q605:U605"/>
    <mergeCell ref="E606:K606"/>
    <mergeCell ref="Q606:S606"/>
    <mergeCell ref="B589:B597"/>
    <mergeCell ref="G589:G590"/>
    <mergeCell ref="H589:H590"/>
    <mergeCell ref="I590:M590"/>
    <mergeCell ref="N590:P597"/>
    <mergeCell ref="Q590:U590"/>
    <mergeCell ref="E591:M591"/>
    <mergeCell ref="Q591:U591"/>
    <mergeCell ref="E592:K592"/>
    <mergeCell ref="Q592:S592"/>
    <mergeCell ref="E593:K593"/>
    <mergeCell ref="Q593:S593"/>
    <mergeCell ref="E594:K594"/>
    <mergeCell ref="Q594:S594"/>
    <mergeCell ref="E595:K595"/>
    <mergeCell ref="Q595:S595"/>
    <mergeCell ref="E596:M596"/>
    <mergeCell ref="Q596:U596"/>
    <mergeCell ref="E597:K597"/>
    <mergeCell ref="Q597:S597"/>
    <mergeCell ref="B580:B588"/>
    <mergeCell ref="G580:G581"/>
    <mergeCell ref="H580:H581"/>
    <mergeCell ref="I581:M581"/>
    <mergeCell ref="N581:P588"/>
    <mergeCell ref="Q581:U581"/>
    <mergeCell ref="E582:M582"/>
    <mergeCell ref="Q582:U582"/>
    <mergeCell ref="E583:K583"/>
    <mergeCell ref="Q583:S583"/>
    <mergeCell ref="E584:K584"/>
    <mergeCell ref="Q584:S584"/>
    <mergeCell ref="E585:K585"/>
    <mergeCell ref="Q585:S585"/>
    <mergeCell ref="E586:K586"/>
    <mergeCell ref="Q586:S586"/>
    <mergeCell ref="E587:M587"/>
    <mergeCell ref="Q587:U587"/>
    <mergeCell ref="E588:K588"/>
    <mergeCell ref="Q588:S588"/>
    <mergeCell ref="B571:B579"/>
    <mergeCell ref="G571:G572"/>
    <mergeCell ref="H571:H572"/>
    <mergeCell ref="I572:M572"/>
    <mergeCell ref="N572:P579"/>
    <mergeCell ref="Q572:U572"/>
    <mergeCell ref="E573:M573"/>
    <mergeCell ref="Q573:U573"/>
    <mergeCell ref="E574:K574"/>
    <mergeCell ref="Q574:S574"/>
    <mergeCell ref="E575:K575"/>
    <mergeCell ref="Q575:S575"/>
    <mergeCell ref="E576:K576"/>
    <mergeCell ref="Q576:S576"/>
    <mergeCell ref="E577:K577"/>
    <mergeCell ref="Q577:S577"/>
    <mergeCell ref="E578:M578"/>
    <mergeCell ref="Q578:U578"/>
    <mergeCell ref="E579:K579"/>
    <mergeCell ref="Q579:S579"/>
    <mergeCell ref="B562:B570"/>
    <mergeCell ref="G562:G563"/>
    <mergeCell ref="H562:H563"/>
    <mergeCell ref="I563:M563"/>
    <mergeCell ref="N563:P570"/>
    <mergeCell ref="Q563:U563"/>
    <mergeCell ref="E564:M564"/>
    <mergeCell ref="Q564:U564"/>
    <mergeCell ref="E565:K565"/>
    <mergeCell ref="Q565:S565"/>
    <mergeCell ref="E566:K566"/>
    <mergeCell ref="Q566:S566"/>
    <mergeCell ref="E567:K567"/>
    <mergeCell ref="Q567:S567"/>
    <mergeCell ref="E568:K568"/>
    <mergeCell ref="Q568:S568"/>
    <mergeCell ref="E569:M569"/>
    <mergeCell ref="Q569:U569"/>
    <mergeCell ref="E570:K570"/>
    <mergeCell ref="Q570:S570"/>
    <mergeCell ref="B553:B561"/>
    <mergeCell ref="G553:G554"/>
    <mergeCell ref="H553:H554"/>
    <mergeCell ref="I554:M554"/>
    <mergeCell ref="N554:P561"/>
    <mergeCell ref="Q554:U554"/>
    <mergeCell ref="E555:M555"/>
    <mergeCell ref="Q555:U555"/>
    <mergeCell ref="E556:K556"/>
    <mergeCell ref="Q556:S556"/>
    <mergeCell ref="E557:K557"/>
    <mergeCell ref="Q557:S557"/>
    <mergeCell ref="E558:K558"/>
    <mergeCell ref="Q558:S558"/>
    <mergeCell ref="E559:K559"/>
    <mergeCell ref="Q559:S559"/>
    <mergeCell ref="E560:M560"/>
    <mergeCell ref="Q560:U560"/>
    <mergeCell ref="E561:K561"/>
    <mergeCell ref="Q561:S561"/>
    <mergeCell ref="B544:B552"/>
    <mergeCell ref="G544:G545"/>
    <mergeCell ref="H544:H545"/>
    <mergeCell ref="I545:M545"/>
    <mergeCell ref="N545:P552"/>
    <mergeCell ref="Q545:U545"/>
    <mergeCell ref="E546:M546"/>
    <mergeCell ref="Q546:U546"/>
    <mergeCell ref="E547:K547"/>
    <mergeCell ref="Q547:S547"/>
    <mergeCell ref="E548:K548"/>
    <mergeCell ref="Q548:S548"/>
    <mergeCell ref="E549:K549"/>
    <mergeCell ref="Q549:S549"/>
    <mergeCell ref="E550:K550"/>
    <mergeCell ref="Q550:S550"/>
    <mergeCell ref="E551:M551"/>
    <mergeCell ref="Q551:U551"/>
    <mergeCell ref="E552:K552"/>
    <mergeCell ref="Q552:S552"/>
    <mergeCell ref="B535:B543"/>
    <mergeCell ref="G535:G536"/>
    <mergeCell ref="H535:H536"/>
    <mergeCell ref="I536:M536"/>
    <mergeCell ref="N536:P543"/>
    <mergeCell ref="Q536:U536"/>
    <mergeCell ref="E537:M537"/>
    <mergeCell ref="Q537:U537"/>
    <mergeCell ref="E538:K538"/>
    <mergeCell ref="Q538:S538"/>
    <mergeCell ref="E539:K539"/>
    <mergeCell ref="Q539:S539"/>
    <mergeCell ref="E540:K540"/>
    <mergeCell ref="Q540:S540"/>
    <mergeCell ref="E541:K541"/>
    <mergeCell ref="Q541:S541"/>
    <mergeCell ref="E542:M542"/>
    <mergeCell ref="Q542:U542"/>
    <mergeCell ref="E543:K543"/>
    <mergeCell ref="Q543:S543"/>
    <mergeCell ref="B526:B534"/>
    <mergeCell ref="G526:G527"/>
    <mergeCell ref="H526:H527"/>
    <mergeCell ref="I527:M527"/>
    <mergeCell ref="N527:P534"/>
    <mergeCell ref="Q527:U527"/>
    <mergeCell ref="E528:M528"/>
    <mergeCell ref="Q528:U528"/>
    <mergeCell ref="E529:K529"/>
    <mergeCell ref="Q529:S529"/>
    <mergeCell ref="E530:K530"/>
    <mergeCell ref="Q530:S530"/>
    <mergeCell ref="E531:K531"/>
    <mergeCell ref="Q531:S531"/>
    <mergeCell ref="E532:K532"/>
    <mergeCell ref="Q532:S532"/>
    <mergeCell ref="E533:M533"/>
    <mergeCell ref="Q533:U533"/>
    <mergeCell ref="E534:K534"/>
    <mergeCell ref="Q534:S534"/>
    <mergeCell ref="B517:B525"/>
    <mergeCell ref="G517:G518"/>
    <mergeCell ref="H517:H518"/>
    <mergeCell ref="I518:M518"/>
    <mergeCell ref="N518:P525"/>
    <mergeCell ref="Q518:U518"/>
    <mergeCell ref="E519:M519"/>
    <mergeCell ref="Q519:U519"/>
    <mergeCell ref="E520:K520"/>
    <mergeCell ref="Q520:S520"/>
    <mergeCell ref="E521:K521"/>
    <mergeCell ref="Q521:S521"/>
    <mergeCell ref="E522:K522"/>
    <mergeCell ref="Q522:S522"/>
    <mergeCell ref="E523:K523"/>
    <mergeCell ref="Q523:S523"/>
    <mergeCell ref="E524:M524"/>
    <mergeCell ref="Q524:U524"/>
    <mergeCell ref="E525:K525"/>
    <mergeCell ref="Q525:S525"/>
    <mergeCell ref="B508:B516"/>
    <mergeCell ref="G508:G509"/>
    <mergeCell ref="H508:H509"/>
    <mergeCell ref="I509:M509"/>
    <mergeCell ref="N509:P516"/>
    <mergeCell ref="Q509:U509"/>
    <mergeCell ref="E510:M510"/>
    <mergeCell ref="Q510:U510"/>
    <mergeCell ref="E511:K511"/>
    <mergeCell ref="Q511:S511"/>
    <mergeCell ref="E512:K512"/>
    <mergeCell ref="Q512:S512"/>
    <mergeCell ref="E513:K513"/>
    <mergeCell ref="Q513:S513"/>
    <mergeCell ref="E514:K514"/>
    <mergeCell ref="Q514:S514"/>
    <mergeCell ref="E515:M515"/>
    <mergeCell ref="Q515:U515"/>
    <mergeCell ref="E516:K516"/>
    <mergeCell ref="Q516:S516"/>
    <mergeCell ref="B499:B507"/>
    <mergeCell ref="G499:G500"/>
    <mergeCell ref="H499:H500"/>
    <mergeCell ref="I500:M500"/>
    <mergeCell ref="N500:P507"/>
    <mergeCell ref="Q500:U500"/>
    <mergeCell ref="E501:M501"/>
    <mergeCell ref="Q501:U501"/>
    <mergeCell ref="E502:K502"/>
    <mergeCell ref="Q502:S502"/>
    <mergeCell ref="E503:K503"/>
    <mergeCell ref="Q503:S503"/>
    <mergeCell ref="E504:K504"/>
    <mergeCell ref="Q504:S504"/>
    <mergeCell ref="E505:K505"/>
    <mergeCell ref="Q505:S505"/>
    <mergeCell ref="E506:M506"/>
    <mergeCell ref="Q506:U506"/>
    <mergeCell ref="E507:K507"/>
    <mergeCell ref="Q507:S507"/>
    <mergeCell ref="B490:B498"/>
    <mergeCell ref="G490:G491"/>
    <mergeCell ref="H490:H491"/>
    <mergeCell ref="I491:M491"/>
    <mergeCell ref="N491:P498"/>
    <mergeCell ref="Q491:U491"/>
    <mergeCell ref="E492:M492"/>
    <mergeCell ref="Q492:U492"/>
    <mergeCell ref="E493:K493"/>
    <mergeCell ref="Q493:S493"/>
    <mergeCell ref="E494:K494"/>
    <mergeCell ref="Q494:S494"/>
    <mergeCell ref="E495:K495"/>
    <mergeCell ref="Q495:S495"/>
    <mergeCell ref="E496:K496"/>
    <mergeCell ref="Q496:S496"/>
    <mergeCell ref="E497:M497"/>
    <mergeCell ref="Q497:U497"/>
    <mergeCell ref="E498:K498"/>
    <mergeCell ref="Q498:S498"/>
    <mergeCell ref="B481:B489"/>
    <mergeCell ref="G481:G482"/>
    <mergeCell ref="H481:H482"/>
    <mergeCell ref="I482:M482"/>
    <mergeCell ref="N482:P489"/>
    <mergeCell ref="Q482:U482"/>
    <mergeCell ref="E483:M483"/>
    <mergeCell ref="Q483:U483"/>
    <mergeCell ref="E484:K484"/>
    <mergeCell ref="Q484:S484"/>
    <mergeCell ref="E485:K485"/>
    <mergeCell ref="Q485:S485"/>
    <mergeCell ref="E486:K486"/>
    <mergeCell ref="Q486:S486"/>
    <mergeCell ref="E487:K487"/>
    <mergeCell ref="Q487:S487"/>
    <mergeCell ref="E488:M488"/>
    <mergeCell ref="Q488:U488"/>
    <mergeCell ref="E489:K489"/>
    <mergeCell ref="Q489:S489"/>
    <mergeCell ref="B472:B480"/>
    <mergeCell ref="G472:G473"/>
    <mergeCell ref="H472:H473"/>
    <mergeCell ref="I473:M473"/>
    <mergeCell ref="N473:P480"/>
    <mergeCell ref="Q473:U473"/>
    <mergeCell ref="E474:M474"/>
    <mergeCell ref="Q474:U474"/>
    <mergeCell ref="E475:K475"/>
    <mergeCell ref="Q475:S475"/>
    <mergeCell ref="E476:K476"/>
    <mergeCell ref="Q476:S476"/>
    <mergeCell ref="E477:K477"/>
    <mergeCell ref="Q477:S477"/>
    <mergeCell ref="E478:K478"/>
    <mergeCell ref="Q478:S478"/>
    <mergeCell ref="E479:M479"/>
    <mergeCell ref="Q479:U479"/>
    <mergeCell ref="E480:K480"/>
    <mergeCell ref="Q480:S480"/>
    <mergeCell ref="B463:B471"/>
    <mergeCell ref="G463:G464"/>
    <mergeCell ref="H463:H464"/>
    <mergeCell ref="I464:M464"/>
    <mergeCell ref="N464:P471"/>
    <mergeCell ref="Q464:U464"/>
    <mergeCell ref="E465:M465"/>
    <mergeCell ref="Q465:U465"/>
    <mergeCell ref="E466:K466"/>
    <mergeCell ref="Q466:S466"/>
    <mergeCell ref="E467:K467"/>
    <mergeCell ref="Q467:S467"/>
    <mergeCell ref="E468:K468"/>
    <mergeCell ref="Q468:S468"/>
    <mergeCell ref="E469:K469"/>
    <mergeCell ref="Q469:S469"/>
    <mergeCell ref="E470:M470"/>
    <mergeCell ref="Q470:U470"/>
    <mergeCell ref="E471:K471"/>
    <mergeCell ref="Q471:S471"/>
    <mergeCell ref="B454:B462"/>
    <mergeCell ref="G454:G455"/>
    <mergeCell ref="H454:H455"/>
    <mergeCell ref="I455:M455"/>
    <mergeCell ref="N455:P462"/>
    <mergeCell ref="Q455:U455"/>
    <mergeCell ref="E456:M456"/>
    <mergeCell ref="Q456:U456"/>
    <mergeCell ref="E457:K457"/>
    <mergeCell ref="Q457:S457"/>
    <mergeCell ref="E458:K458"/>
    <mergeCell ref="Q458:S458"/>
    <mergeCell ref="E459:K459"/>
    <mergeCell ref="Q459:S459"/>
    <mergeCell ref="E460:K460"/>
    <mergeCell ref="Q460:S460"/>
    <mergeCell ref="E461:M461"/>
    <mergeCell ref="Q461:U461"/>
    <mergeCell ref="E462:K462"/>
    <mergeCell ref="Q462:S462"/>
    <mergeCell ref="B445:B453"/>
    <mergeCell ref="G445:G446"/>
    <mergeCell ref="H445:H446"/>
    <mergeCell ref="I446:M446"/>
    <mergeCell ref="N446:P453"/>
    <mergeCell ref="Q446:U446"/>
    <mergeCell ref="E447:M447"/>
    <mergeCell ref="Q447:U447"/>
    <mergeCell ref="E448:K448"/>
    <mergeCell ref="Q448:S448"/>
    <mergeCell ref="E449:K449"/>
    <mergeCell ref="Q449:S449"/>
    <mergeCell ref="E450:K450"/>
    <mergeCell ref="Q450:S450"/>
    <mergeCell ref="E451:K451"/>
    <mergeCell ref="Q451:S451"/>
    <mergeCell ref="E452:M452"/>
    <mergeCell ref="Q452:U452"/>
    <mergeCell ref="E453:K453"/>
    <mergeCell ref="Q453:S453"/>
    <mergeCell ref="B436:B444"/>
    <mergeCell ref="G436:G437"/>
    <mergeCell ref="H436:H437"/>
    <mergeCell ref="I437:M437"/>
    <mergeCell ref="N437:P444"/>
    <mergeCell ref="Q437:U437"/>
    <mergeCell ref="E438:M438"/>
    <mergeCell ref="Q438:U438"/>
    <mergeCell ref="E439:K439"/>
    <mergeCell ref="Q439:S439"/>
    <mergeCell ref="E440:K440"/>
    <mergeCell ref="Q440:S440"/>
    <mergeCell ref="E441:K441"/>
    <mergeCell ref="Q441:S441"/>
    <mergeCell ref="E442:K442"/>
    <mergeCell ref="Q442:S442"/>
    <mergeCell ref="E443:M443"/>
    <mergeCell ref="Q443:U443"/>
    <mergeCell ref="E444:K444"/>
    <mergeCell ref="Q444:S444"/>
    <mergeCell ref="B427:B435"/>
    <mergeCell ref="G427:G428"/>
    <mergeCell ref="H427:H428"/>
    <mergeCell ref="I428:M428"/>
    <mergeCell ref="N428:P435"/>
    <mergeCell ref="Q428:U428"/>
    <mergeCell ref="E429:M429"/>
    <mergeCell ref="Q429:U429"/>
    <mergeCell ref="E430:K430"/>
    <mergeCell ref="Q430:S430"/>
    <mergeCell ref="E431:K431"/>
    <mergeCell ref="Q431:S431"/>
    <mergeCell ref="E432:K432"/>
    <mergeCell ref="Q432:S432"/>
    <mergeCell ref="E433:K433"/>
    <mergeCell ref="Q433:S433"/>
    <mergeCell ref="E434:M434"/>
    <mergeCell ref="Q434:U434"/>
    <mergeCell ref="E435:K435"/>
    <mergeCell ref="Q435:S435"/>
    <mergeCell ref="B418:B426"/>
    <mergeCell ref="G418:G419"/>
    <mergeCell ref="H418:H419"/>
    <mergeCell ref="I419:M419"/>
    <mergeCell ref="N419:P426"/>
    <mergeCell ref="Q419:U419"/>
    <mergeCell ref="E420:M420"/>
    <mergeCell ref="Q420:U420"/>
    <mergeCell ref="E421:K421"/>
    <mergeCell ref="Q421:S421"/>
    <mergeCell ref="E422:K422"/>
    <mergeCell ref="Q422:S422"/>
    <mergeCell ref="E423:K423"/>
    <mergeCell ref="Q423:S423"/>
    <mergeCell ref="E424:K424"/>
    <mergeCell ref="Q424:S424"/>
    <mergeCell ref="E425:M425"/>
    <mergeCell ref="Q425:U425"/>
    <mergeCell ref="E426:K426"/>
    <mergeCell ref="Q426:S426"/>
    <mergeCell ref="B409:B417"/>
    <mergeCell ref="G409:G410"/>
    <mergeCell ref="H409:H410"/>
    <mergeCell ref="I410:M410"/>
    <mergeCell ref="N410:P417"/>
    <mergeCell ref="Q410:U410"/>
    <mergeCell ref="E411:M411"/>
    <mergeCell ref="Q411:U411"/>
    <mergeCell ref="E412:K412"/>
    <mergeCell ref="Q412:S412"/>
    <mergeCell ref="E413:K413"/>
    <mergeCell ref="Q413:S413"/>
    <mergeCell ref="E414:K414"/>
    <mergeCell ref="Q414:S414"/>
    <mergeCell ref="E415:K415"/>
    <mergeCell ref="Q415:S415"/>
    <mergeCell ref="E416:M416"/>
    <mergeCell ref="Q416:U416"/>
    <mergeCell ref="E417:K417"/>
    <mergeCell ref="Q417:S417"/>
    <mergeCell ref="B400:B408"/>
    <mergeCell ref="G400:G401"/>
    <mergeCell ref="H400:H401"/>
    <mergeCell ref="I401:M401"/>
    <mergeCell ref="N401:P408"/>
    <mergeCell ref="Q401:U401"/>
    <mergeCell ref="E402:M402"/>
    <mergeCell ref="Q402:U402"/>
    <mergeCell ref="E403:K403"/>
    <mergeCell ref="Q403:S403"/>
    <mergeCell ref="E404:K404"/>
    <mergeCell ref="Q404:S404"/>
    <mergeCell ref="E405:K405"/>
    <mergeCell ref="Q405:S405"/>
    <mergeCell ref="E406:K406"/>
    <mergeCell ref="Q406:S406"/>
    <mergeCell ref="E407:M407"/>
    <mergeCell ref="Q407:U407"/>
    <mergeCell ref="E408:K408"/>
    <mergeCell ref="Q408:S408"/>
    <mergeCell ref="G391:G392"/>
    <mergeCell ref="H391:H392"/>
    <mergeCell ref="I392:M392"/>
    <mergeCell ref="N392:P399"/>
    <mergeCell ref="Q392:U392"/>
    <mergeCell ref="E393:M393"/>
    <mergeCell ref="Q393:U393"/>
    <mergeCell ref="E394:K394"/>
    <mergeCell ref="Q394:S394"/>
    <mergeCell ref="E395:K395"/>
    <mergeCell ref="Q395:S395"/>
    <mergeCell ref="E396:K396"/>
    <mergeCell ref="Q396:S396"/>
    <mergeCell ref="E397:K397"/>
    <mergeCell ref="Q397:S397"/>
    <mergeCell ref="E398:M398"/>
    <mergeCell ref="Q398:U398"/>
    <mergeCell ref="E399:K399"/>
    <mergeCell ref="Q399:S399"/>
    <mergeCell ref="B346:B354"/>
    <mergeCell ref="G346:G347"/>
    <mergeCell ref="H346:H347"/>
    <mergeCell ref="I347:M347"/>
    <mergeCell ref="N347:P354"/>
    <mergeCell ref="Q347:U347"/>
    <mergeCell ref="E348:M348"/>
    <mergeCell ref="Q348:U348"/>
    <mergeCell ref="E349:K349"/>
    <mergeCell ref="Q349:S349"/>
    <mergeCell ref="E350:K350"/>
    <mergeCell ref="Q350:S350"/>
    <mergeCell ref="E351:K351"/>
    <mergeCell ref="Q351:S351"/>
    <mergeCell ref="E352:K352"/>
    <mergeCell ref="Q352:S352"/>
    <mergeCell ref="E353:M353"/>
    <mergeCell ref="Q353:U353"/>
    <mergeCell ref="E354:K354"/>
    <mergeCell ref="Q354:S354"/>
    <mergeCell ref="B319:B327"/>
    <mergeCell ref="G319:G320"/>
    <mergeCell ref="H319:H320"/>
    <mergeCell ref="I320:M320"/>
    <mergeCell ref="N320:P327"/>
    <mergeCell ref="Q320:U320"/>
    <mergeCell ref="E321:M321"/>
    <mergeCell ref="Q321:U321"/>
    <mergeCell ref="E322:K322"/>
    <mergeCell ref="Q322:S322"/>
    <mergeCell ref="E323:K323"/>
    <mergeCell ref="Q323:S323"/>
    <mergeCell ref="E324:K324"/>
    <mergeCell ref="Q324:S324"/>
    <mergeCell ref="E325:K325"/>
    <mergeCell ref="Q325:S325"/>
    <mergeCell ref="E326:M326"/>
    <mergeCell ref="Q326:U326"/>
    <mergeCell ref="E327:K327"/>
    <mergeCell ref="Q327:S327"/>
    <mergeCell ref="B310:B318"/>
    <mergeCell ref="G310:G311"/>
    <mergeCell ref="H310:H311"/>
    <mergeCell ref="I311:M311"/>
    <mergeCell ref="N311:P318"/>
    <mergeCell ref="Q311:U311"/>
    <mergeCell ref="E312:M312"/>
    <mergeCell ref="Q312:U312"/>
    <mergeCell ref="E313:K313"/>
    <mergeCell ref="Q313:S313"/>
    <mergeCell ref="E314:K314"/>
    <mergeCell ref="Q314:S314"/>
    <mergeCell ref="E315:K315"/>
    <mergeCell ref="Q315:S315"/>
    <mergeCell ref="E316:K316"/>
    <mergeCell ref="Q316:S316"/>
    <mergeCell ref="E317:M317"/>
    <mergeCell ref="Q317:U317"/>
    <mergeCell ref="E318:K318"/>
    <mergeCell ref="Q318:S318"/>
    <mergeCell ref="B301:B309"/>
    <mergeCell ref="G301:G302"/>
    <mergeCell ref="H301:H302"/>
    <mergeCell ref="I302:M302"/>
    <mergeCell ref="N302:P309"/>
    <mergeCell ref="Q302:U302"/>
    <mergeCell ref="E303:M303"/>
    <mergeCell ref="Q303:U303"/>
    <mergeCell ref="E304:K304"/>
    <mergeCell ref="Q304:S304"/>
    <mergeCell ref="E305:K305"/>
    <mergeCell ref="Q305:S305"/>
    <mergeCell ref="E306:K306"/>
    <mergeCell ref="Q306:S306"/>
    <mergeCell ref="E307:K307"/>
    <mergeCell ref="Q307:S307"/>
    <mergeCell ref="E308:M308"/>
    <mergeCell ref="Q308:U308"/>
    <mergeCell ref="E309:K309"/>
    <mergeCell ref="Q309:S309"/>
    <mergeCell ref="B292:B300"/>
    <mergeCell ref="G292:G293"/>
    <mergeCell ref="H292:H293"/>
    <mergeCell ref="I293:M293"/>
    <mergeCell ref="N293:P300"/>
    <mergeCell ref="Q293:U293"/>
    <mergeCell ref="E294:M294"/>
    <mergeCell ref="Q294:U294"/>
    <mergeCell ref="E295:K295"/>
    <mergeCell ref="Q295:S295"/>
    <mergeCell ref="E296:K296"/>
    <mergeCell ref="Q296:S296"/>
    <mergeCell ref="E297:K297"/>
    <mergeCell ref="Q297:S297"/>
    <mergeCell ref="E298:K298"/>
    <mergeCell ref="Q298:S298"/>
    <mergeCell ref="E299:M299"/>
    <mergeCell ref="Q299:U299"/>
    <mergeCell ref="E300:K300"/>
    <mergeCell ref="Q300:S300"/>
    <mergeCell ref="B283:B291"/>
    <mergeCell ref="G283:G284"/>
    <mergeCell ref="H283:H284"/>
    <mergeCell ref="I284:M284"/>
    <mergeCell ref="N284:P291"/>
    <mergeCell ref="Q284:U284"/>
    <mergeCell ref="E285:M285"/>
    <mergeCell ref="Q285:U285"/>
    <mergeCell ref="E286:K286"/>
    <mergeCell ref="Q286:S286"/>
    <mergeCell ref="E287:K287"/>
    <mergeCell ref="Q287:S287"/>
    <mergeCell ref="E288:K288"/>
    <mergeCell ref="Q288:S288"/>
    <mergeCell ref="E289:K289"/>
    <mergeCell ref="Q289:S289"/>
    <mergeCell ref="E290:M290"/>
    <mergeCell ref="Q290:U290"/>
    <mergeCell ref="E291:K291"/>
    <mergeCell ref="Q291:S291"/>
    <mergeCell ref="B274:B282"/>
    <mergeCell ref="G274:G275"/>
    <mergeCell ref="H274:H275"/>
    <mergeCell ref="I275:M275"/>
    <mergeCell ref="N275:P282"/>
    <mergeCell ref="Q275:U275"/>
    <mergeCell ref="E276:M276"/>
    <mergeCell ref="Q276:U276"/>
    <mergeCell ref="E277:K277"/>
    <mergeCell ref="Q277:S277"/>
    <mergeCell ref="E278:K278"/>
    <mergeCell ref="Q278:S278"/>
    <mergeCell ref="E279:K279"/>
    <mergeCell ref="Q279:S279"/>
    <mergeCell ref="E280:K280"/>
    <mergeCell ref="Q280:S280"/>
    <mergeCell ref="E281:M281"/>
    <mergeCell ref="Q281:U281"/>
    <mergeCell ref="E282:K282"/>
    <mergeCell ref="Q282:S282"/>
    <mergeCell ref="B265:B273"/>
    <mergeCell ref="G265:G266"/>
    <mergeCell ref="H265:H266"/>
    <mergeCell ref="I266:M266"/>
    <mergeCell ref="N266:P273"/>
    <mergeCell ref="Q266:U266"/>
    <mergeCell ref="E267:M267"/>
    <mergeCell ref="Q267:U267"/>
    <mergeCell ref="E268:K268"/>
    <mergeCell ref="Q268:S268"/>
    <mergeCell ref="E269:K269"/>
    <mergeCell ref="Q269:S269"/>
    <mergeCell ref="E270:K270"/>
    <mergeCell ref="Q270:S270"/>
    <mergeCell ref="E271:K271"/>
    <mergeCell ref="Q271:S271"/>
    <mergeCell ref="E272:M272"/>
    <mergeCell ref="Q272:U272"/>
    <mergeCell ref="E273:K273"/>
    <mergeCell ref="Q273:S273"/>
    <mergeCell ref="B256:B264"/>
    <mergeCell ref="G256:G257"/>
    <mergeCell ref="H256:H257"/>
    <mergeCell ref="I257:M257"/>
    <mergeCell ref="N257:P264"/>
    <mergeCell ref="Q257:U257"/>
    <mergeCell ref="E258:M258"/>
    <mergeCell ref="Q258:U258"/>
    <mergeCell ref="E259:K259"/>
    <mergeCell ref="Q259:S259"/>
    <mergeCell ref="E260:K260"/>
    <mergeCell ref="Q260:S260"/>
    <mergeCell ref="E261:K261"/>
    <mergeCell ref="Q261:S261"/>
    <mergeCell ref="E262:K262"/>
    <mergeCell ref="Q262:S262"/>
    <mergeCell ref="E263:M263"/>
    <mergeCell ref="Q263:U263"/>
    <mergeCell ref="E264:K264"/>
    <mergeCell ref="Q264:S264"/>
    <mergeCell ref="B238:B246"/>
    <mergeCell ref="G238:G239"/>
    <mergeCell ref="H238:H239"/>
    <mergeCell ref="I239:M239"/>
    <mergeCell ref="N239:P246"/>
    <mergeCell ref="Q239:U239"/>
    <mergeCell ref="E240:M240"/>
    <mergeCell ref="Q240:U240"/>
    <mergeCell ref="E241:K241"/>
    <mergeCell ref="Q241:S241"/>
    <mergeCell ref="E242:K242"/>
    <mergeCell ref="Q242:S242"/>
    <mergeCell ref="E243:K243"/>
    <mergeCell ref="Q243:S243"/>
    <mergeCell ref="E244:K244"/>
    <mergeCell ref="Q244:S244"/>
    <mergeCell ref="E245:M245"/>
    <mergeCell ref="Q245:U245"/>
    <mergeCell ref="E246:K246"/>
    <mergeCell ref="Q246:S246"/>
    <mergeCell ref="B229:B237"/>
    <mergeCell ref="G229:G230"/>
    <mergeCell ref="H229:H230"/>
    <mergeCell ref="I230:M230"/>
    <mergeCell ref="N230:P237"/>
    <mergeCell ref="Q230:U230"/>
    <mergeCell ref="E231:M231"/>
    <mergeCell ref="Q231:U231"/>
    <mergeCell ref="E232:K232"/>
    <mergeCell ref="Q232:S232"/>
    <mergeCell ref="E233:K233"/>
    <mergeCell ref="Q233:S233"/>
    <mergeCell ref="E234:K234"/>
    <mergeCell ref="Q234:S234"/>
    <mergeCell ref="E235:K235"/>
    <mergeCell ref="Q235:S235"/>
    <mergeCell ref="E236:M236"/>
    <mergeCell ref="Q236:U236"/>
    <mergeCell ref="E237:K237"/>
    <mergeCell ref="Q237:S237"/>
    <mergeCell ref="B220:B228"/>
    <mergeCell ref="G220:G221"/>
    <mergeCell ref="H220:H221"/>
    <mergeCell ref="I221:M221"/>
    <mergeCell ref="N221:P228"/>
    <mergeCell ref="Q221:U221"/>
    <mergeCell ref="E222:M222"/>
    <mergeCell ref="Q222:U222"/>
    <mergeCell ref="E223:K223"/>
    <mergeCell ref="Q223:S223"/>
    <mergeCell ref="E224:K224"/>
    <mergeCell ref="Q224:S224"/>
    <mergeCell ref="E225:K225"/>
    <mergeCell ref="Q225:S225"/>
    <mergeCell ref="E226:K226"/>
    <mergeCell ref="Q226:S226"/>
    <mergeCell ref="E227:M227"/>
    <mergeCell ref="Q227:U227"/>
    <mergeCell ref="E228:K228"/>
    <mergeCell ref="Q228:S228"/>
    <mergeCell ref="B175:B183"/>
    <mergeCell ref="G175:G176"/>
    <mergeCell ref="H175:H176"/>
    <mergeCell ref="I176:M176"/>
    <mergeCell ref="N176:P183"/>
    <mergeCell ref="Q176:U176"/>
    <mergeCell ref="E177:M177"/>
    <mergeCell ref="Q177:U177"/>
    <mergeCell ref="E178:K178"/>
    <mergeCell ref="Q178:S178"/>
    <mergeCell ref="E179:K179"/>
    <mergeCell ref="Q179:S179"/>
    <mergeCell ref="E180:K180"/>
    <mergeCell ref="Q180:S180"/>
    <mergeCell ref="E181:K181"/>
    <mergeCell ref="Q181:S181"/>
    <mergeCell ref="E182:M182"/>
    <mergeCell ref="Q182:U182"/>
    <mergeCell ref="E183:K183"/>
    <mergeCell ref="Q183:S183"/>
    <mergeCell ref="B166:B174"/>
    <mergeCell ref="G166:G167"/>
    <mergeCell ref="H166:H167"/>
    <mergeCell ref="I167:M167"/>
    <mergeCell ref="N167:P174"/>
    <mergeCell ref="Q167:U167"/>
    <mergeCell ref="E168:M168"/>
    <mergeCell ref="Q168:U168"/>
    <mergeCell ref="E169:K169"/>
    <mergeCell ref="Q169:S169"/>
    <mergeCell ref="E170:K170"/>
    <mergeCell ref="Q170:S170"/>
    <mergeCell ref="E171:K171"/>
    <mergeCell ref="Q171:S171"/>
    <mergeCell ref="E172:K172"/>
    <mergeCell ref="Q172:S172"/>
    <mergeCell ref="E173:M173"/>
    <mergeCell ref="Q173:U173"/>
    <mergeCell ref="E174:K174"/>
    <mergeCell ref="Q174:S174"/>
    <mergeCell ref="B157:B165"/>
    <mergeCell ref="G157:G158"/>
    <mergeCell ref="H157:H158"/>
    <mergeCell ref="I158:M158"/>
    <mergeCell ref="N158:P165"/>
    <mergeCell ref="Q158:U158"/>
    <mergeCell ref="E159:M159"/>
    <mergeCell ref="Q159:U159"/>
    <mergeCell ref="E160:K160"/>
    <mergeCell ref="Q160:S160"/>
    <mergeCell ref="E161:K161"/>
    <mergeCell ref="Q161:S161"/>
    <mergeCell ref="E162:K162"/>
    <mergeCell ref="Q162:S162"/>
    <mergeCell ref="E163:K163"/>
    <mergeCell ref="Q163:S163"/>
    <mergeCell ref="E164:M164"/>
    <mergeCell ref="Q164:U164"/>
    <mergeCell ref="E165:K165"/>
    <mergeCell ref="Q165:S165"/>
    <mergeCell ref="B148:B156"/>
    <mergeCell ref="G148:G149"/>
    <mergeCell ref="H148:H149"/>
    <mergeCell ref="I149:M149"/>
    <mergeCell ref="N149:P156"/>
    <mergeCell ref="Q149:U149"/>
    <mergeCell ref="E150:M150"/>
    <mergeCell ref="Q150:U150"/>
    <mergeCell ref="E151:K151"/>
    <mergeCell ref="Q151:S151"/>
    <mergeCell ref="E152:K152"/>
    <mergeCell ref="Q152:S152"/>
    <mergeCell ref="E153:K153"/>
    <mergeCell ref="Q153:S153"/>
    <mergeCell ref="E154:K154"/>
    <mergeCell ref="Q154:S154"/>
    <mergeCell ref="E155:M155"/>
    <mergeCell ref="Q155:U155"/>
    <mergeCell ref="E156:K156"/>
    <mergeCell ref="Q156:S156"/>
    <mergeCell ref="B139:B147"/>
    <mergeCell ref="G139:G140"/>
    <mergeCell ref="H139:H140"/>
    <mergeCell ref="I140:M140"/>
    <mergeCell ref="N140:P147"/>
    <mergeCell ref="Q140:U140"/>
    <mergeCell ref="E141:M141"/>
    <mergeCell ref="Q141:U141"/>
    <mergeCell ref="E142:K142"/>
    <mergeCell ref="Q142:S142"/>
    <mergeCell ref="E143:K143"/>
    <mergeCell ref="Q143:S143"/>
    <mergeCell ref="E144:K144"/>
    <mergeCell ref="Q144:S144"/>
    <mergeCell ref="E145:K145"/>
    <mergeCell ref="Q145:S145"/>
    <mergeCell ref="E146:M146"/>
    <mergeCell ref="Q146:U146"/>
    <mergeCell ref="E147:K147"/>
    <mergeCell ref="Q147:S147"/>
    <mergeCell ref="B130:B138"/>
    <mergeCell ref="G130:G131"/>
    <mergeCell ref="H130:H131"/>
    <mergeCell ref="I131:M131"/>
    <mergeCell ref="N131:P138"/>
    <mergeCell ref="Q131:U131"/>
    <mergeCell ref="E132:M132"/>
    <mergeCell ref="Q132:U132"/>
    <mergeCell ref="E133:K133"/>
    <mergeCell ref="Q133:S133"/>
    <mergeCell ref="E134:K134"/>
    <mergeCell ref="Q134:S134"/>
    <mergeCell ref="E135:K135"/>
    <mergeCell ref="Q135:S135"/>
    <mergeCell ref="E136:K136"/>
    <mergeCell ref="Q136:S136"/>
    <mergeCell ref="E137:M137"/>
    <mergeCell ref="Q137:U137"/>
    <mergeCell ref="E138:K138"/>
    <mergeCell ref="Q138:S138"/>
    <mergeCell ref="B121:B129"/>
    <mergeCell ref="G121:G122"/>
    <mergeCell ref="H121:H122"/>
    <mergeCell ref="I122:M122"/>
    <mergeCell ref="N122:P129"/>
    <mergeCell ref="Q122:U122"/>
    <mergeCell ref="E123:M123"/>
    <mergeCell ref="Q123:U123"/>
    <mergeCell ref="E124:K124"/>
    <mergeCell ref="Q124:S124"/>
    <mergeCell ref="E125:K125"/>
    <mergeCell ref="Q125:S125"/>
    <mergeCell ref="E126:K126"/>
    <mergeCell ref="Q126:S126"/>
    <mergeCell ref="E127:K127"/>
    <mergeCell ref="Q127:S127"/>
    <mergeCell ref="E128:M128"/>
    <mergeCell ref="Q128:U128"/>
    <mergeCell ref="E129:K129"/>
    <mergeCell ref="Q129:S129"/>
    <mergeCell ref="B112:B120"/>
    <mergeCell ref="G112:G113"/>
    <mergeCell ref="H112:H113"/>
    <mergeCell ref="I113:M113"/>
    <mergeCell ref="N113:P120"/>
    <mergeCell ref="Q113:U113"/>
    <mergeCell ref="E114:M114"/>
    <mergeCell ref="Q114:U114"/>
    <mergeCell ref="E115:K115"/>
    <mergeCell ref="Q115:S115"/>
    <mergeCell ref="E116:K116"/>
    <mergeCell ref="Q116:S116"/>
    <mergeCell ref="E117:K117"/>
    <mergeCell ref="Q117:S117"/>
    <mergeCell ref="E118:K118"/>
    <mergeCell ref="Q118:S118"/>
    <mergeCell ref="E119:M119"/>
    <mergeCell ref="Q119:U119"/>
    <mergeCell ref="E120:K120"/>
    <mergeCell ref="Q120:S120"/>
    <mergeCell ref="B103:B111"/>
    <mergeCell ref="G103:G104"/>
    <mergeCell ref="H103:H104"/>
    <mergeCell ref="I104:M104"/>
    <mergeCell ref="N104:P111"/>
    <mergeCell ref="Q104:U104"/>
    <mergeCell ref="E105:M105"/>
    <mergeCell ref="Q105:U105"/>
    <mergeCell ref="E106:K106"/>
    <mergeCell ref="Q106:S106"/>
    <mergeCell ref="E107:K107"/>
    <mergeCell ref="Q107:S107"/>
    <mergeCell ref="E108:K108"/>
    <mergeCell ref="Q108:S108"/>
    <mergeCell ref="E109:K109"/>
    <mergeCell ref="Q109:S109"/>
    <mergeCell ref="E110:M110"/>
    <mergeCell ref="Q110:U110"/>
    <mergeCell ref="E111:K111"/>
    <mergeCell ref="Q111:S111"/>
    <mergeCell ref="B94:B102"/>
    <mergeCell ref="G94:G95"/>
    <mergeCell ref="H94:H95"/>
    <mergeCell ref="I95:M95"/>
    <mergeCell ref="N95:P102"/>
    <mergeCell ref="Q95:U95"/>
    <mergeCell ref="E96:M96"/>
    <mergeCell ref="Q96:U96"/>
    <mergeCell ref="E97:K97"/>
    <mergeCell ref="Q97:S97"/>
    <mergeCell ref="E98:K98"/>
    <mergeCell ref="Q98:S98"/>
    <mergeCell ref="E99:K99"/>
    <mergeCell ref="Q99:S99"/>
    <mergeCell ref="E100:K100"/>
    <mergeCell ref="Q100:S100"/>
    <mergeCell ref="E101:M101"/>
    <mergeCell ref="Q101:U101"/>
    <mergeCell ref="E102:K102"/>
    <mergeCell ref="Q102:S102"/>
    <mergeCell ref="B85:B93"/>
    <mergeCell ref="G85:G86"/>
    <mergeCell ref="H85:H86"/>
    <mergeCell ref="I86:M86"/>
    <mergeCell ref="N86:P93"/>
    <mergeCell ref="Q86:U86"/>
    <mergeCell ref="E87:M87"/>
    <mergeCell ref="Q87:U87"/>
    <mergeCell ref="E88:K88"/>
    <mergeCell ref="Q88:S88"/>
    <mergeCell ref="E89:K89"/>
    <mergeCell ref="Q89:S89"/>
    <mergeCell ref="E90:K90"/>
    <mergeCell ref="Q90:S90"/>
    <mergeCell ref="E91:K91"/>
    <mergeCell ref="Q91:S91"/>
    <mergeCell ref="E92:M92"/>
    <mergeCell ref="Q92:U92"/>
    <mergeCell ref="E93:K93"/>
    <mergeCell ref="Q93:S93"/>
    <mergeCell ref="B67:B75"/>
    <mergeCell ref="G67:G68"/>
    <mergeCell ref="H67:H68"/>
    <mergeCell ref="I68:M68"/>
    <mergeCell ref="N68:P75"/>
    <mergeCell ref="Q68:U68"/>
    <mergeCell ref="E69:M69"/>
    <mergeCell ref="Q69:U69"/>
    <mergeCell ref="E70:K70"/>
    <mergeCell ref="Q70:S70"/>
    <mergeCell ref="E71:K71"/>
    <mergeCell ref="Q71:S71"/>
    <mergeCell ref="E72:K72"/>
    <mergeCell ref="Q72:S72"/>
    <mergeCell ref="E73:K73"/>
    <mergeCell ref="Q73:S73"/>
    <mergeCell ref="E74:M74"/>
    <mergeCell ref="Q74:U74"/>
    <mergeCell ref="E75:K75"/>
    <mergeCell ref="Q75:S75"/>
    <mergeCell ref="B58:B66"/>
    <mergeCell ref="G58:G59"/>
    <mergeCell ref="H58:H59"/>
    <mergeCell ref="I59:M59"/>
    <mergeCell ref="N59:P66"/>
    <mergeCell ref="Q59:U59"/>
    <mergeCell ref="E60:M60"/>
    <mergeCell ref="Q60:U60"/>
    <mergeCell ref="E61:K61"/>
    <mergeCell ref="Q61:S61"/>
    <mergeCell ref="E62:K62"/>
    <mergeCell ref="Q62:S62"/>
    <mergeCell ref="E63:K63"/>
    <mergeCell ref="Q63:S63"/>
    <mergeCell ref="E64:K64"/>
    <mergeCell ref="Q64:S64"/>
    <mergeCell ref="E65:M65"/>
    <mergeCell ref="Q65:U65"/>
    <mergeCell ref="E66:K66"/>
    <mergeCell ref="Q66:S66"/>
    <mergeCell ref="B49:B57"/>
    <mergeCell ref="G49:G50"/>
    <mergeCell ref="H49:H50"/>
    <mergeCell ref="I50:M50"/>
    <mergeCell ref="N50:P57"/>
    <mergeCell ref="Q50:U50"/>
    <mergeCell ref="E51:M51"/>
    <mergeCell ref="Q51:U51"/>
    <mergeCell ref="E52:K52"/>
    <mergeCell ref="Q52:S52"/>
    <mergeCell ref="E53:K53"/>
    <mergeCell ref="Q53:S53"/>
    <mergeCell ref="E54:K54"/>
    <mergeCell ref="Q54:S54"/>
    <mergeCell ref="E55:K55"/>
    <mergeCell ref="Q55:S55"/>
    <mergeCell ref="E56:M56"/>
    <mergeCell ref="Q56:U56"/>
    <mergeCell ref="E57:K57"/>
    <mergeCell ref="Q57:S57"/>
    <mergeCell ref="B40:B48"/>
    <mergeCell ref="G40:G41"/>
    <mergeCell ref="H40:H41"/>
    <mergeCell ref="I41:M41"/>
    <mergeCell ref="N41:P48"/>
    <mergeCell ref="Q41:U41"/>
    <mergeCell ref="E42:M42"/>
    <mergeCell ref="Q42:U42"/>
    <mergeCell ref="E43:K43"/>
    <mergeCell ref="Q43:S43"/>
    <mergeCell ref="E44:K44"/>
    <mergeCell ref="Q44:S44"/>
    <mergeCell ref="E45:K45"/>
    <mergeCell ref="Q45:S45"/>
    <mergeCell ref="E46:K46"/>
    <mergeCell ref="Q46:S46"/>
    <mergeCell ref="E47:M47"/>
    <mergeCell ref="Q47:U47"/>
    <mergeCell ref="E48:K48"/>
    <mergeCell ref="Q48:S48"/>
    <mergeCell ref="B31:B39"/>
    <mergeCell ref="G31:G32"/>
    <mergeCell ref="H31:H32"/>
    <mergeCell ref="I32:M32"/>
    <mergeCell ref="N32:P39"/>
    <mergeCell ref="Q32:U32"/>
    <mergeCell ref="E33:M33"/>
    <mergeCell ref="Q33:U33"/>
    <mergeCell ref="E34:K34"/>
    <mergeCell ref="Q34:S34"/>
    <mergeCell ref="E35:K35"/>
    <mergeCell ref="Q35:S35"/>
    <mergeCell ref="E36:K36"/>
    <mergeCell ref="Q36:S36"/>
    <mergeCell ref="E37:K37"/>
    <mergeCell ref="Q37:S37"/>
    <mergeCell ref="E38:M38"/>
    <mergeCell ref="Q38:U38"/>
    <mergeCell ref="E39:K39"/>
    <mergeCell ref="Q39:S39"/>
    <mergeCell ref="B22:B30"/>
    <mergeCell ref="G22:G23"/>
    <mergeCell ref="H22:H23"/>
    <mergeCell ref="I23:M23"/>
    <mergeCell ref="N23:P30"/>
    <mergeCell ref="Q23:U23"/>
    <mergeCell ref="E24:M24"/>
    <mergeCell ref="Q24:U24"/>
    <mergeCell ref="E25:K25"/>
    <mergeCell ref="Q25:S25"/>
    <mergeCell ref="E26:K26"/>
    <mergeCell ref="Q26:S26"/>
    <mergeCell ref="E27:K27"/>
    <mergeCell ref="Q27:S27"/>
    <mergeCell ref="E28:K28"/>
    <mergeCell ref="Q28:S28"/>
    <mergeCell ref="E29:M29"/>
    <mergeCell ref="Q29:U29"/>
    <mergeCell ref="E30:K30"/>
    <mergeCell ref="Q30:S30"/>
    <mergeCell ref="B13:B21"/>
    <mergeCell ref="G13:G14"/>
    <mergeCell ref="H13:H14"/>
    <mergeCell ref="I14:M14"/>
    <mergeCell ref="N14:P21"/>
    <mergeCell ref="Q14:U14"/>
    <mergeCell ref="E15:M15"/>
    <mergeCell ref="Q15:U15"/>
    <mergeCell ref="E16:K16"/>
    <mergeCell ref="Q16:S16"/>
    <mergeCell ref="E17:K17"/>
    <mergeCell ref="Q17:S17"/>
    <mergeCell ref="E18:K18"/>
    <mergeCell ref="Q18:S18"/>
    <mergeCell ref="E19:K19"/>
    <mergeCell ref="Q19:S19"/>
    <mergeCell ref="E20:M20"/>
    <mergeCell ref="Q20:U20"/>
    <mergeCell ref="E21:K21"/>
    <mergeCell ref="Q21:S21"/>
    <mergeCell ref="W1:X1"/>
    <mergeCell ref="B3:V3"/>
    <mergeCell ref="A5:E5"/>
    <mergeCell ref="F5:H5"/>
    <mergeCell ref="B1:T1"/>
    <mergeCell ref="U1:V1"/>
    <mergeCell ref="B2:T2"/>
    <mergeCell ref="U2:V2"/>
    <mergeCell ref="V10:V12"/>
    <mergeCell ref="A6:E6"/>
    <mergeCell ref="S6:T6"/>
    <mergeCell ref="B10:B11"/>
    <mergeCell ref="C10:C11"/>
    <mergeCell ref="E10:E11"/>
    <mergeCell ref="F10:F11"/>
    <mergeCell ref="Q10:U10"/>
    <mergeCell ref="G10:G11"/>
    <mergeCell ref="H10:H11"/>
    <mergeCell ref="N10:N11"/>
    <mergeCell ref="I10:M10"/>
    <mergeCell ref="O10:O11"/>
    <mergeCell ref="P10:P11"/>
    <mergeCell ref="E4:V4"/>
    <mergeCell ref="E1797:M1797"/>
    <mergeCell ref="E1798:M1798"/>
    <mergeCell ref="E1799:M1799"/>
    <mergeCell ref="Q1800:V1800"/>
    <mergeCell ref="E1801:M1801"/>
    <mergeCell ref="B1802:V1802"/>
    <mergeCell ref="B355:B363"/>
    <mergeCell ref="G355:G356"/>
    <mergeCell ref="H355:H356"/>
    <mergeCell ref="I356:M356"/>
    <mergeCell ref="N356:P363"/>
    <mergeCell ref="Q356:U356"/>
    <mergeCell ref="E357:M357"/>
    <mergeCell ref="Q357:U357"/>
    <mergeCell ref="E358:K358"/>
    <mergeCell ref="Q358:S358"/>
    <mergeCell ref="E359:K359"/>
    <mergeCell ref="Q359:S359"/>
    <mergeCell ref="E360:K360"/>
    <mergeCell ref="Q360:S360"/>
    <mergeCell ref="E361:K361"/>
    <mergeCell ref="Q361:S361"/>
    <mergeCell ref="E362:M362"/>
    <mergeCell ref="Q362:U362"/>
    <mergeCell ref="E363:K363"/>
    <mergeCell ref="Q363:S363"/>
    <mergeCell ref="B364:B372"/>
    <mergeCell ref="G364:G365"/>
    <mergeCell ref="H364:H365"/>
    <mergeCell ref="I365:M365"/>
    <mergeCell ref="N365:P372"/>
    <mergeCell ref="B391:B399"/>
    <mergeCell ref="Q365:U365"/>
    <mergeCell ref="E366:M366"/>
    <mergeCell ref="Q366:U366"/>
    <mergeCell ref="E367:K367"/>
    <mergeCell ref="Q367:S367"/>
    <mergeCell ref="E368:K368"/>
    <mergeCell ref="Q368:S368"/>
    <mergeCell ref="E369:K369"/>
    <mergeCell ref="Q369:S369"/>
    <mergeCell ref="E370:K370"/>
    <mergeCell ref="Q370:S370"/>
    <mergeCell ref="E371:M371"/>
    <mergeCell ref="Q371:U371"/>
    <mergeCell ref="E372:K372"/>
    <mergeCell ref="Q372:S372"/>
    <mergeCell ref="B373:B381"/>
    <mergeCell ref="G373:G374"/>
    <mergeCell ref="H373:H374"/>
    <mergeCell ref="I374:M374"/>
    <mergeCell ref="N374:P381"/>
    <mergeCell ref="Q374:U374"/>
    <mergeCell ref="E375:M375"/>
    <mergeCell ref="Q375:U375"/>
    <mergeCell ref="E376:K376"/>
    <mergeCell ref="Q376:S376"/>
    <mergeCell ref="E377:K377"/>
    <mergeCell ref="Q377:S377"/>
    <mergeCell ref="E378:K378"/>
    <mergeCell ref="Q378:S378"/>
    <mergeCell ref="E379:K379"/>
    <mergeCell ref="Q379:S379"/>
    <mergeCell ref="E380:M380"/>
    <mergeCell ref="Q380:U380"/>
    <mergeCell ref="E381:K381"/>
    <mergeCell ref="Q381:S381"/>
    <mergeCell ref="B382:B390"/>
    <mergeCell ref="G382:G383"/>
    <mergeCell ref="H382:H383"/>
    <mergeCell ref="I383:M383"/>
    <mergeCell ref="N383:P390"/>
    <mergeCell ref="Q383:U383"/>
    <mergeCell ref="E384:M384"/>
    <mergeCell ref="Q384:U384"/>
    <mergeCell ref="E385:K385"/>
    <mergeCell ref="Q385:S385"/>
    <mergeCell ref="E386:K386"/>
    <mergeCell ref="Q386:S386"/>
    <mergeCell ref="E387:K387"/>
    <mergeCell ref="Q387:S387"/>
    <mergeCell ref="E388:K388"/>
    <mergeCell ref="Q388:S388"/>
    <mergeCell ref="E389:M389"/>
    <mergeCell ref="Q389:U389"/>
    <mergeCell ref="E390:K390"/>
    <mergeCell ref="Q390:S390"/>
    <mergeCell ref="B1309:B1317"/>
    <mergeCell ref="F1309:F1310"/>
    <mergeCell ref="G1309:G1310"/>
    <mergeCell ref="H1309:H1310"/>
    <mergeCell ref="I1310:M1310"/>
    <mergeCell ref="N1310:P1317"/>
    <mergeCell ref="Q1310:U1310"/>
    <mergeCell ref="E1311:M1311"/>
    <mergeCell ref="Q1311:U1311"/>
    <mergeCell ref="E1312:K1312"/>
    <mergeCell ref="Q1312:S1312"/>
    <mergeCell ref="E1313:K1313"/>
    <mergeCell ref="Q1313:S1313"/>
    <mergeCell ref="E1314:K1314"/>
    <mergeCell ref="Q1314:S1314"/>
    <mergeCell ref="E1315:K1315"/>
    <mergeCell ref="Q1315:S1315"/>
    <mergeCell ref="E1316:M1316"/>
    <mergeCell ref="Q1316:U1316"/>
    <mergeCell ref="E1317:K1317"/>
    <mergeCell ref="Q1317:S1317"/>
    <mergeCell ref="B1471:B1479"/>
    <mergeCell ref="F1471:F1472"/>
    <mergeCell ref="G1471:G1472"/>
    <mergeCell ref="H1471:H1472"/>
    <mergeCell ref="I1472:M1472"/>
    <mergeCell ref="N1472:P1479"/>
    <mergeCell ref="Q1472:U1472"/>
    <mergeCell ref="E1473:M1473"/>
    <mergeCell ref="Q1473:U1473"/>
    <mergeCell ref="E1474:K1474"/>
    <mergeCell ref="Q1474:S1474"/>
    <mergeCell ref="E1475:K1475"/>
    <mergeCell ref="Q1475:S1475"/>
    <mergeCell ref="E1476:K1476"/>
    <mergeCell ref="Q1476:S1476"/>
    <mergeCell ref="E1477:K1477"/>
    <mergeCell ref="Q1477:S1477"/>
    <mergeCell ref="E1478:M1478"/>
    <mergeCell ref="Q1478:U1478"/>
    <mergeCell ref="E1479:K1479"/>
    <mergeCell ref="Q1479:S1479"/>
    <mergeCell ref="B1291:B1299"/>
    <mergeCell ref="F1291:F1292"/>
    <mergeCell ref="G1291:G1292"/>
    <mergeCell ref="H1291:H1292"/>
    <mergeCell ref="I1292:M1292"/>
    <mergeCell ref="N1292:P1299"/>
    <mergeCell ref="Q1292:U1292"/>
    <mergeCell ref="E1293:M1293"/>
    <mergeCell ref="Q1293:U1293"/>
    <mergeCell ref="E1294:K1294"/>
    <mergeCell ref="Q1294:S1294"/>
    <mergeCell ref="E1295:K1295"/>
    <mergeCell ref="Q1295:S1295"/>
    <mergeCell ref="E1296:K1296"/>
    <mergeCell ref="Q1296:S1296"/>
    <mergeCell ref="E1297:K1297"/>
    <mergeCell ref="Q1297:S1297"/>
    <mergeCell ref="E1298:M1298"/>
    <mergeCell ref="Q1298:U1298"/>
    <mergeCell ref="E1299:K1299"/>
    <mergeCell ref="Q1299:S1299"/>
    <mergeCell ref="B1300:B1308"/>
    <mergeCell ref="F1300:F1301"/>
    <mergeCell ref="G1300:G1301"/>
    <mergeCell ref="H1300:H1301"/>
    <mergeCell ref="I1301:M1301"/>
    <mergeCell ref="N1301:P1308"/>
    <mergeCell ref="Q1301:U1301"/>
    <mergeCell ref="E1302:M1302"/>
    <mergeCell ref="Q1302:U1302"/>
    <mergeCell ref="E1303:K1303"/>
    <mergeCell ref="Q1303:S1303"/>
    <mergeCell ref="E1304:K1304"/>
    <mergeCell ref="Q1304:S1304"/>
    <mergeCell ref="E1305:K1305"/>
    <mergeCell ref="Q1305:S1305"/>
    <mergeCell ref="E1306:K1306"/>
    <mergeCell ref="Q1306:S1306"/>
    <mergeCell ref="E1307:M1307"/>
    <mergeCell ref="Q1307:U1307"/>
    <mergeCell ref="E1308:K1308"/>
    <mergeCell ref="Q1308:S1308"/>
    <mergeCell ref="B1318:B1326"/>
    <mergeCell ref="F1318:F1319"/>
    <mergeCell ref="G1318:G1319"/>
    <mergeCell ref="H1318:H1319"/>
    <mergeCell ref="I1319:M1319"/>
    <mergeCell ref="N1319:P1326"/>
    <mergeCell ref="Q1319:U1319"/>
    <mergeCell ref="E1320:M1320"/>
    <mergeCell ref="Q1320:U1320"/>
    <mergeCell ref="E1321:K1321"/>
    <mergeCell ref="Q1321:S1321"/>
    <mergeCell ref="E1322:K1322"/>
    <mergeCell ref="Q1322:S1322"/>
    <mergeCell ref="E1323:K1323"/>
    <mergeCell ref="Q1323:S1323"/>
    <mergeCell ref="E1324:K1324"/>
    <mergeCell ref="Q1324:S1324"/>
    <mergeCell ref="E1325:M1325"/>
    <mergeCell ref="Q1325:U1325"/>
    <mergeCell ref="E1326:K1326"/>
    <mergeCell ref="Q1326:S1326"/>
    <mergeCell ref="B1327:B1335"/>
    <mergeCell ref="F1327:F1328"/>
    <mergeCell ref="G1327:G1328"/>
    <mergeCell ref="H1327:H1328"/>
    <mergeCell ref="I1328:M1328"/>
    <mergeCell ref="N1328:P1335"/>
    <mergeCell ref="Q1328:U1328"/>
    <mergeCell ref="E1329:M1329"/>
    <mergeCell ref="Q1329:U1329"/>
    <mergeCell ref="E1330:K1330"/>
    <mergeCell ref="Q1330:S1330"/>
    <mergeCell ref="E1331:K1331"/>
    <mergeCell ref="Q1331:S1331"/>
    <mergeCell ref="E1332:K1332"/>
    <mergeCell ref="Q1332:S1332"/>
    <mergeCell ref="E1333:K1333"/>
    <mergeCell ref="Q1333:S1333"/>
    <mergeCell ref="E1334:M1334"/>
    <mergeCell ref="Q1334:U1334"/>
    <mergeCell ref="E1335:K1335"/>
    <mergeCell ref="Q1335:S1335"/>
    <mergeCell ref="B1336:B1344"/>
    <mergeCell ref="F1336:F1337"/>
    <mergeCell ref="G1336:G1337"/>
    <mergeCell ref="H1336:H1337"/>
    <mergeCell ref="I1337:M1337"/>
    <mergeCell ref="N1337:P1344"/>
    <mergeCell ref="Q1337:U1337"/>
    <mergeCell ref="E1338:M1338"/>
    <mergeCell ref="Q1338:U1338"/>
    <mergeCell ref="E1339:K1339"/>
    <mergeCell ref="Q1339:S1339"/>
    <mergeCell ref="E1340:K1340"/>
    <mergeCell ref="Q1340:S1340"/>
    <mergeCell ref="E1341:K1341"/>
    <mergeCell ref="Q1341:S1341"/>
    <mergeCell ref="E1342:K1342"/>
    <mergeCell ref="Q1342:S1342"/>
    <mergeCell ref="E1343:M1343"/>
    <mergeCell ref="Q1343:U1343"/>
    <mergeCell ref="E1344:K1344"/>
    <mergeCell ref="Q1344:S1344"/>
    <mergeCell ref="B1381:B1389"/>
    <mergeCell ref="F1381:F1382"/>
    <mergeCell ref="G1381:G1382"/>
    <mergeCell ref="H1381:H1382"/>
    <mergeCell ref="I1382:M1382"/>
    <mergeCell ref="N1382:P1389"/>
    <mergeCell ref="Q1382:U1382"/>
    <mergeCell ref="E1383:M1383"/>
    <mergeCell ref="Q1383:U1383"/>
    <mergeCell ref="E1384:K1384"/>
    <mergeCell ref="Q1384:S1384"/>
    <mergeCell ref="E1385:K1385"/>
    <mergeCell ref="Q1385:S1385"/>
    <mergeCell ref="E1386:K1386"/>
    <mergeCell ref="Q1386:S1386"/>
    <mergeCell ref="E1387:K1387"/>
    <mergeCell ref="Q1387:S1387"/>
    <mergeCell ref="E1388:M1388"/>
    <mergeCell ref="Q1388:U1388"/>
    <mergeCell ref="E1389:K1389"/>
    <mergeCell ref="Q1389:S1389"/>
    <mergeCell ref="B1390:B1398"/>
    <mergeCell ref="F1390:F1391"/>
    <mergeCell ref="G1390:G1391"/>
    <mergeCell ref="H1390:H1391"/>
    <mergeCell ref="I1391:M1391"/>
    <mergeCell ref="N1391:P1398"/>
    <mergeCell ref="Q1391:U1391"/>
    <mergeCell ref="E1392:M1392"/>
    <mergeCell ref="Q1392:U1392"/>
    <mergeCell ref="E1393:K1393"/>
    <mergeCell ref="Q1393:S1393"/>
    <mergeCell ref="E1394:K1394"/>
    <mergeCell ref="Q1394:S1394"/>
    <mergeCell ref="E1395:K1395"/>
    <mergeCell ref="Q1395:S1395"/>
    <mergeCell ref="E1396:K1396"/>
    <mergeCell ref="Q1396:S1396"/>
    <mergeCell ref="E1397:M1397"/>
    <mergeCell ref="Q1397:U1397"/>
    <mergeCell ref="E1398:K1398"/>
    <mergeCell ref="Q1398:S1398"/>
    <mergeCell ref="B1399:B1407"/>
    <mergeCell ref="F1399:F1400"/>
    <mergeCell ref="G1399:G1400"/>
    <mergeCell ref="H1399:H1400"/>
    <mergeCell ref="I1400:M1400"/>
    <mergeCell ref="N1400:P1407"/>
    <mergeCell ref="Q1400:U1400"/>
    <mergeCell ref="E1401:M1401"/>
    <mergeCell ref="Q1401:U1401"/>
    <mergeCell ref="E1402:K1402"/>
    <mergeCell ref="Q1402:S1402"/>
    <mergeCell ref="E1403:K1403"/>
    <mergeCell ref="Q1403:S1403"/>
    <mergeCell ref="E1404:K1404"/>
    <mergeCell ref="Q1404:S1404"/>
    <mergeCell ref="E1405:K1405"/>
    <mergeCell ref="Q1405:S1405"/>
    <mergeCell ref="E1406:M1406"/>
    <mergeCell ref="Q1406:U1406"/>
    <mergeCell ref="E1407:K1407"/>
    <mergeCell ref="Q1407:S1407"/>
    <mergeCell ref="B1408:B1416"/>
    <mergeCell ref="F1408:F1409"/>
    <mergeCell ref="G1408:G1409"/>
    <mergeCell ref="H1408:H1409"/>
    <mergeCell ref="I1409:M1409"/>
    <mergeCell ref="N1409:P1416"/>
    <mergeCell ref="Q1409:U1409"/>
    <mergeCell ref="E1410:M1410"/>
    <mergeCell ref="Q1410:U1410"/>
    <mergeCell ref="E1411:K1411"/>
    <mergeCell ref="Q1411:S1411"/>
    <mergeCell ref="E1412:K1412"/>
    <mergeCell ref="Q1412:S1412"/>
    <mergeCell ref="E1413:K1413"/>
    <mergeCell ref="Q1413:S1413"/>
    <mergeCell ref="E1414:K1414"/>
    <mergeCell ref="Q1414:S1414"/>
    <mergeCell ref="E1415:M1415"/>
    <mergeCell ref="Q1415:U1415"/>
    <mergeCell ref="E1416:K1416"/>
    <mergeCell ref="Q1416:S1416"/>
    <mergeCell ref="B1345:B1353"/>
    <mergeCell ref="F1345:F1346"/>
    <mergeCell ref="G1345:G1346"/>
    <mergeCell ref="H1345:H1346"/>
    <mergeCell ref="I1346:M1346"/>
    <mergeCell ref="N1346:P1353"/>
    <mergeCell ref="Q1346:U1346"/>
    <mergeCell ref="E1347:M1347"/>
    <mergeCell ref="Q1347:U1347"/>
    <mergeCell ref="E1348:K1348"/>
    <mergeCell ref="Q1348:S1348"/>
    <mergeCell ref="E1349:K1349"/>
    <mergeCell ref="Q1349:S1349"/>
    <mergeCell ref="E1350:K1350"/>
    <mergeCell ref="Q1350:S1350"/>
    <mergeCell ref="E1351:K1351"/>
    <mergeCell ref="Q1351:S1351"/>
    <mergeCell ref="E1352:M1352"/>
    <mergeCell ref="Q1352:U1352"/>
    <mergeCell ref="E1353:K1353"/>
    <mergeCell ref="Q1353:S1353"/>
    <mergeCell ref="B1354:B1362"/>
    <mergeCell ref="F1354:F1355"/>
    <mergeCell ref="G1354:G1355"/>
    <mergeCell ref="H1354:H1355"/>
    <mergeCell ref="I1355:M1355"/>
    <mergeCell ref="N1355:P1362"/>
    <mergeCell ref="Q1355:U1355"/>
    <mergeCell ref="E1356:M1356"/>
    <mergeCell ref="Q1356:U1356"/>
    <mergeCell ref="E1357:K1357"/>
    <mergeCell ref="Q1357:S1357"/>
    <mergeCell ref="E1358:K1358"/>
    <mergeCell ref="Q1358:S1358"/>
    <mergeCell ref="E1359:K1359"/>
    <mergeCell ref="Q1359:S1359"/>
    <mergeCell ref="E1360:K1360"/>
    <mergeCell ref="Q1360:S1360"/>
    <mergeCell ref="E1361:M1361"/>
    <mergeCell ref="Q1361:U1361"/>
    <mergeCell ref="E1362:K1362"/>
    <mergeCell ref="Q1362:S1362"/>
    <mergeCell ref="B1363:B1371"/>
    <mergeCell ref="F1363:F1364"/>
    <mergeCell ref="G1363:G1364"/>
    <mergeCell ref="H1363:H1364"/>
    <mergeCell ref="I1364:M1364"/>
    <mergeCell ref="N1364:P1371"/>
    <mergeCell ref="Q1364:U1364"/>
    <mergeCell ref="E1365:M1365"/>
    <mergeCell ref="Q1365:U1365"/>
    <mergeCell ref="E1366:K1366"/>
    <mergeCell ref="Q1366:S1366"/>
    <mergeCell ref="E1367:K1367"/>
    <mergeCell ref="Q1367:S1367"/>
    <mergeCell ref="E1368:K1368"/>
    <mergeCell ref="Q1368:S1368"/>
    <mergeCell ref="E1369:K1369"/>
    <mergeCell ref="Q1369:S1369"/>
    <mergeCell ref="E1370:M1370"/>
    <mergeCell ref="Q1370:U1370"/>
    <mergeCell ref="E1371:K1371"/>
    <mergeCell ref="Q1371:S1371"/>
    <mergeCell ref="B1372:B1380"/>
    <mergeCell ref="F1372:F1373"/>
    <mergeCell ref="G1372:G1373"/>
    <mergeCell ref="H1372:H1373"/>
    <mergeCell ref="I1373:M1373"/>
    <mergeCell ref="N1373:P1380"/>
    <mergeCell ref="Q1373:U1373"/>
    <mergeCell ref="E1374:M1374"/>
    <mergeCell ref="Q1374:U1374"/>
    <mergeCell ref="E1375:K1375"/>
    <mergeCell ref="Q1375:S1375"/>
    <mergeCell ref="E1376:K1376"/>
    <mergeCell ref="Q1376:S1376"/>
    <mergeCell ref="E1377:K1377"/>
    <mergeCell ref="Q1377:S1377"/>
    <mergeCell ref="E1378:K1378"/>
    <mergeCell ref="Q1378:S1378"/>
    <mergeCell ref="E1379:M1379"/>
    <mergeCell ref="Q1379:U1379"/>
    <mergeCell ref="E1380:K1380"/>
    <mergeCell ref="Q1380:S1380"/>
    <mergeCell ref="B1417:B1425"/>
    <mergeCell ref="F1417:F1418"/>
    <mergeCell ref="G1417:G1418"/>
    <mergeCell ref="H1417:H1418"/>
    <mergeCell ref="I1418:M1418"/>
    <mergeCell ref="N1418:P1425"/>
    <mergeCell ref="Q1418:U1418"/>
    <mergeCell ref="E1419:M1419"/>
    <mergeCell ref="Q1419:U1419"/>
    <mergeCell ref="E1420:K1420"/>
    <mergeCell ref="Q1420:S1420"/>
    <mergeCell ref="E1421:K1421"/>
    <mergeCell ref="Q1421:S1421"/>
    <mergeCell ref="E1422:K1422"/>
    <mergeCell ref="Q1422:S1422"/>
    <mergeCell ref="E1423:K1423"/>
    <mergeCell ref="Q1423:S1423"/>
    <mergeCell ref="E1424:M1424"/>
    <mergeCell ref="Q1424:U1424"/>
    <mergeCell ref="E1425:K1425"/>
    <mergeCell ref="Q1425:S1425"/>
    <mergeCell ref="B1426:B1434"/>
    <mergeCell ref="F1426:F1427"/>
    <mergeCell ref="G1426:G1427"/>
    <mergeCell ref="H1426:H1427"/>
    <mergeCell ref="I1427:M1427"/>
    <mergeCell ref="N1427:P1434"/>
    <mergeCell ref="Q1427:U1427"/>
    <mergeCell ref="E1428:M1428"/>
    <mergeCell ref="Q1428:U1428"/>
    <mergeCell ref="E1429:K1429"/>
    <mergeCell ref="Q1429:S1429"/>
    <mergeCell ref="E1430:K1430"/>
    <mergeCell ref="Q1430:S1430"/>
    <mergeCell ref="E1431:K1431"/>
    <mergeCell ref="Q1431:S1431"/>
    <mergeCell ref="E1432:K1432"/>
    <mergeCell ref="Q1432:S1432"/>
    <mergeCell ref="E1433:M1433"/>
    <mergeCell ref="Q1433:U1433"/>
    <mergeCell ref="E1434:K1434"/>
    <mergeCell ref="Q1434:S1434"/>
    <mergeCell ref="B1435:B1443"/>
    <mergeCell ref="F1435:F1436"/>
    <mergeCell ref="G1435:G1436"/>
    <mergeCell ref="H1435:H1436"/>
    <mergeCell ref="I1436:M1436"/>
    <mergeCell ref="N1436:P1443"/>
    <mergeCell ref="Q1436:U1436"/>
    <mergeCell ref="E1437:M1437"/>
    <mergeCell ref="Q1437:U1437"/>
    <mergeCell ref="E1438:K1438"/>
    <mergeCell ref="Q1438:S1438"/>
    <mergeCell ref="E1439:K1439"/>
    <mergeCell ref="Q1439:S1439"/>
    <mergeCell ref="E1440:K1440"/>
    <mergeCell ref="Q1440:S1440"/>
    <mergeCell ref="E1441:K1441"/>
    <mergeCell ref="Q1441:S1441"/>
    <mergeCell ref="E1442:M1442"/>
    <mergeCell ref="Q1442:U1442"/>
    <mergeCell ref="E1443:K1443"/>
    <mergeCell ref="Q1443:S1443"/>
    <mergeCell ref="B1444:B1452"/>
    <mergeCell ref="F1444:F1445"/>
    <mergeCell ref="G1444:G1445"/>
    <mergeCell ref="H1444:H1445"/>
    <mergeCell ref="I1445:M1445"/>
    <mergeCell ref="N1445:P1452"/>
    <mergeCell ref="Q1445:U1445"/>
    <mergeCell ref="E1446:M1446"/>
    <mergeCell ref="Q1446:U1446"/>
    <mergeCell ref="E1447:K1447"/>
    <mergeCell ref="Q1447:S1447"/>
    <mergeCell ref="E1448:K1448"/>
    <mergeCell ref="Q1448:S1448"/>
    <mergeCell ref="E1449:K1449"/>
    <mergeCell ref="Q1449:S1449"/>
    <mergeCell ref="E1450:K1450"/>
    <mergeCell ref="Q1450:S1450"/>
    <mergeCell ref="E1451:M1451"/>
    <mergeCell ref="Q1451:U1451"/>
    <mergeCell ref="E1452:K1452"/>
    <mergeCell ref="Q1452:S1452"/>
    <mergeCell ref="B1453:B1461"/>
    <mergeCell ref="F1453:F1454"/>
    <mergeCell ref="G1453:G1454"/>
    <mergeCell ref="H1453:H1454"/>
    <mergeCell ref="I1454:M1454"/>
    <mergeCell ref="N1454:P1461"/>
    <mergeCell ref="Q1454:U1454"/>
    <mergeCell ref="E1455:M1455"/>
    <mergeCell ref="Q1455:U1455"/>
    <mergeCell ref="E1456:K1456"/>
    <mergeCell ref="Q1456:S1456"/>
    <mergeCell ref="E1457:K1457"/>
    <mergeCell ref="Q1457:S1457"/>
    <mergeCell ref="E1458:K1458"/>
    <mergeCell ref="Q1458:S1458"/>
    <mergeCell ref="E1459:K1459"/>
    <mergeCell ref="Q1459:S1459"/>
    <mergeCell ref="E1460:M1460"/>
    <mergeCell ref="Q1460:U1460"/>
    <mergeCell ref="E1461:K1461"/>
    <mergeCell ref="Q1461:S1461"/>
    <mergeCell ref="B1462:B1470"/>
    <mergeCell ref="F1462:F1463"/>
    <mergeCell ref="G1462:G1463"/>
    <mergeCell ref="H1462:H1463"/>
    <mergeCell ref="I1463:M1463"/>
    <mergeCell ref="N1463:P1470"/>
    <mergeCell ref="Q1463:U1463"/>
    <mergeCell ref="E1464:M1464"/>
    <mergeCell ref="Q1464:U1464"/>
    <mergeCell ref="E1465:K1465"/>
    <mergeCell ref="Q1465:S1465"/>
    <mergeCell ref="E1466:K1466"/>
    <mergeCell ref="Q1466:S1466"/>
    <mergeCell ref="E1467:K1467"/>
    <mergeCell ref="Q1467:S1467"/>
    <mergeCell ref="E1468:K1468"/>
    <mergeCell ref="Q1468:S1468"/>
    <mergeCell ref="E1469:M1469"/>
    <mergeCell ref="Q1469:U1469"/>
    <mergeCell ref="E1470:K1470"/>
    <mergeCell ref="Q1470:S1470"/>
    <mergeCell ref="B1480:B1488"/>
    <mergeCell ref="F1480:F1481"/>
    <mergeCell ref="G1480:G1481"/>
    <mergeCell ref="H1480:H1481"/>
    <mergeCell ref="I1481:M1481"/>
    <mergeCell ref="N1481:P1488"/>
    <mergeCell ref="Q1481:U1481"/>
    <mergeCell ref="E1482:M1482"/>
    <mergeCell ref="Q1482:U1482"/>
    <mergeCell ref="E1483:K1483"/>
    <mergeCell ref="Q1483:S1483"/>
    <mergeCell ref="E1484:K1484"/>
    <mergeCell ref="Q1484:S1484"/>
    <mergeCell ref="E1485:K1485"/>
    <mergeCell ref="Q1485:S1485"/>
    <mergeCell ref="E1486:K1486"/>
    <mergeCell ref="Q1486:S1486"/>
    <mergeCell ref="E1487:M1487"/>
    <mergeCell ref="Q1487:U1487"/>
    <mergeCell ref="E1488:K1488"/>
    <mergeCell ref="Q1488:S1488"/>
    <mergeCell ref="B1489:B1497"/>
    <mergeCell ref="F1489:F1490"/>
    <mergeCell ref="G1489:G1490"/>
    <mergeCell ref="H1489:H1490"/>
    <mergeCell ref="I1490:M1490"/>
    <mergeCell ref="N1490:P1497"/>
    <mergeCell ref="Q1490:U1490"/>
    <mergeCell ref="E1491:M1491"/>
    <mergeCell ref="Q1491:U1491"/>
    <mergeCell ref="E1492:K1492"/>
    <mergeCell ref="Q1492:S1492"/>
    <mergeCell ref="E1493:K1493"/>
    <mergeCell ref="Q1493:S1493"/>
    <mergeCell ref="E1494:K1494"/>
    <mergeCell ref="Q1494:S1494"/>
    <mergeCell ref="E1495:K1495"/>
    <mergeCell ref="Q1495:S1495"/>
    <mergeCell ref="E1496:M1496"/>
    <mergeCell ref="Q1496:U1496"/>
    <mergeCell ref="E1497:K1497"/>
    <mergeCell ref="Q1497:S1497"/>
    <mergeCell ref="B1498:B1506"/>
    <mergeCell ref="F1498:F1499"/>
    <mergeCell ref="G1498:G1499"/>
    <mergeCell ref="H1498:H1499"/>
    <mergeCell ref="I1499:M1499"/>
    <mergeCell ref="N1499:P1506"/>
    <mergeCell ref="Q1499:U1499"/>
    <mergeCell ref="E1500:M1500"/>
    <mergeCell ref="Q1500:U1500"/>
    <mergeCell ref="E1501:K1501"/>
    <mergeCell ref="Q1501:S1501"/>
    <mergeCell ref="E1502:K1502"/>
    <mergeCell ref="Q1502:S1502"/>
    <mergeCell ref="E1503:K1503"/>
    <mergeCell ref="Q1503:S1503"/>
    <mergeCell ref="E1504:K1504"/>
    <mergeCell ref="Q1504:S1504"/>
    <mergeCell ref="E1505:M1505"/>
    <mergeCell ref="Q1505:U1505"/>
    <mergeCell ref="E1506:K1506"/>
    <mergeCell ref="Q1506:S1506"/>
    <mergeCell ref="B1507:B1515"/>
    <mergeCell ref="F1507:F1508"/>
    <mergeCell ref="G1507:G1508"/>
    <mergeCell ref="H1507:H1508"/>
    <mergeCell ref="I1508:M1508"/>
    <mergeCell ref="N1508:P1515"/>
    <mergeCell ref="Q1508:U1508"/>
    <mergeCell ref="E1509:M1509"/>
    <mergeCell ref="Q1509:U1509"/>
    <mergeCell ref="E1510:K1510"/>
    <mergeCell ref="Q1510:S1510"/>
    <mergeCell ref="E1511:K1511"/>
    <mergeCell ref="Q1511:S1511"/>
    <mergeCell ref="E1512:K1512"/>
    <mergeCell ref="Q1512:S1512"/>
    <mergeCell ref="E1513:K1513"/>
    <mergeCell ref="Q1513:S1513"/>
    <mergeCell ref="E1514:M1514"/>
    <mergeCell ref="Q1514:U1514"/>
    <mergeCell ref="E1515:K1515"/>
    <mergeCell ref="Q1515:S1515"/>
    <mergeCell ref="B1516:B1524"/>
    <mergeCell ref="F1516:F1517"/>
    <mergeCell ref="G1516:G1517"/>
    <mergeCell ref="H1516:H1517"/>
    <mergeCell ref="I1517:M1517"/>
    <mergeCell ref="N1517:P1524"/>
    <mergeCell ref="Q1517:U1517"/>
    <mergeCell ref="E1518:M1518"/>
    <mergeCell ref="Q1518:U1518"/>
    <mergeCell ref="E1519:K1519"/>
    <mergeCell ref="Q1519:S1519"/>
    <mergeCell ref="E1520:K1520"/>
    <mergeCell ref="Q1520:S1520"/>
    <mergeCell ref="E1521:K1521"/>
    <mergeCell ref="Q1521:S1521"/>
    <mergeCell ref="E1522:K1522"/>
    <mergeCell ref="Q1522:S1522"/>
    <mergeCell ref="E1523:M1523"/>
    <mergeCell ref="Q1523:U1523"/>
    <mergeCell ref="E1524:K1524"/>
    <mergeCell ref="Q1524:S1524"/>
    <mergeCell ref="B1525:B1533"/>
    <mergeCell ref="F1525:F1526"/>
    <mergeCell ref="G1525:G1526"/>
    <mergeCell ref="H1525:H1526"/>
    <mergeCell ref="I1526:M1526"/>
    <mergeCell ref="N1526:P1533"/>
    <mergeCell ref="Q1526:U1526"/>
    <mergeCell ref="E1527:M1527"/>
    <mergeCell ref="Q1527:U1527"/>
    <mergeCell ref="E1528:K1528"/>
    <mergeCell ref="Q1528:S1528"/>
    <mergeCell ref="E1529:K1529"/>
    <mergeCell ref="Q1529:S1529"/>
    <mergeCell ref="E1530:K1530"/>
    <mergeCell ref="Q1530:S1530"/>
    <mergeCell ref="E1531:K1531"/>
    <mergeCell ref="Q1531:S1531"/>
    <mergeCell ref="E1532:M1532"/>
    <mergeCell ref="Q1532:U1532"/>
    <mergeCell ref="E1533:K1533"/>
    <mergeCell ref="Q1533:S1533"/>
    <mergeCell ref="B1534:B1542"/>
    <mergeCell ref="F1534:F1535"/>
    <mergeCell ref="G1534:G1535"/>
    <mergeCell ref="H1534:H1535"/>
    <mergeCell ref="I1535:M1535"/>
    <mergeCell ref="N1535:P1542"/>
    <mergeCell ref="Q1535:U1535"/>
    <mergeCell ref="E1536:M1536"/>
    <mergeCell ref="Q1536:U1536"/>
    <mergeCell ref="E1537:K1537"/>
    <mergeCell ref="Q1537:S1537"/>
    <mergeCell ref="E1538:K1538"/>
    <mergeCell ref="Q1538:S1538"/>
    <mergeCell ref="E1539:K1539"/>
    <mergeCell ref="Q1539:S1539"/>
    <mergeCell ref="E1540:K1540"/>
    <mergeCell ref="Q1540:S1540"/>
    <mergeCell ref="E1541:M1541"/>
    <mergeCell ref="Q1541:U1541"/>
    <mergeCell ref="E1542:K1542"/>
    <mergeCell ref="Q1542:S1542"/>
    <mergeCell ref="B184:B192"/>
    <mergeCell ref="G184:G185"/>
    <mergeCell ref="H184:H185"/>
    <mergeCell ref="I185:M185"/>
    <mergeCell ref="N185:P192"/>
    <mergeCell ref="Q185:U185"/>
    <mergeCell ref="E186:M186"/>
    <mergeCell ref="Q186:U186"/>
    <mergeCell ref="E187:K187"/>
    <mergeCell ref="Q187:S187"/>
    <mergeCell ref="E188:K188"/>
    <mergeCell ref="Q188:S188"/>
    <mergeCell ref="E189:K189"/>
    <mergeCell ref="Q189:S189"/>
    <mergeCell ref="E190:K190"/>
    <mergeCell ref="Q190:S190"/>
    <mergeCell ref="E191:M191"/>
    <mergeCell ref="Q191:U191"/>
    <mergeCell ref="E192:K192"/>
    <mergeCell ref="Q192:S192"/>
    <mergeCell ref="B193:B201"/>
    <mergeCell ref="G193:G194"/>
    <mergeCell ref="H193:H194"/>
    <mergeCell ref="I194:M194"/>
    <mergeCell ref="N194:P201"/>
    <mergeCell ref="Q194:U194"/>
    <mergeCell ref="E195:M195"/>
    <mergeCell ref="Q195:U195"/>
    <mergeCell ref="E196:K196"/>
    <mergeCell ref="Q196:S196"/>
    <mergeCell ref="E197:K197"/>
    <mergeCell ref="Q197:S197"/>
    <mergeCell ref="E198:K198"/>
    <mergeCell ref="Q198:S198"/>
    <mergeCell ref="E199:K199"/>
    <mergeCell ref="Q199:S199"/>
    <mergeCell ref="E200:M200"/>
    <mergeCell ref="Q200:U200"/>
    <mergeCell ref="E201:K201"/>
    <mergeCell ref="Q201:S201"/>
    <mergeCell ref="B202:B210"/>
    <mergeCell ref="G202:G203"/>
    <mergeCell ref="H202:H203"/>
    <mergeCell ref="I203:M203"/>
    <mergeCell ref="N203:P210"/>
    <mergeCell ref="Q203:U203"/>
    <mergeCell ref="E204:M204"/>
    <mergeCell ref="Q204:U204"/>
    <mergeCell ref="E205:K205"/>
    <mergeCell ref="Q205:S205"/>
    <mergeCell ref="E206:K206"/>
    <mergeCell ref="Q206:S206"/>
    <mergeCell ref="E207:K207"/>
    <mergeCell ref="Q207:S207"/>
    <mergeCell ref="E208:K208"/>
    <mergeCell ref="Q208:S208"/>
    <mergeCell ref="E209:M209"/>
    <mergeCell ref="Q209:U209"/>
    <mergeCell ref="E210:K210"/>
    <mergeCell ref="Q210:S210"/>
    <mergeCell ref="B211:B219"/>
    <mergeCell ref="G211:G212"/>
    <mergeCell ref="H211:H212"/>
    <mergeCell ref="I212:M212"/>
    <mergeCell ref="N212:P219"/>
    <mergeCell ref="Q212:U212"/>
    <mergeCell ref="E213:M213"/>
    <mergeCell ref="Q213:U213"/>
    <mergeCell ref="E214:K214"/>
    <mergeCell ref="Q214:S214"/>
    <mergeCell ref="E215:K215"/>
    <mergeCell ref="Q215:S215"/>
    <mergeCell ref="E216:K216"/>
    <mergeCell ref="Q216:S216"/>
    <mergeCell ref="E217:K217"/>
    <mergeCell ref="Q217:S217"/>
    <mergeCell ref="E218:M218"/>
    <mergeCell ref="Q218:U218"/>
    <mergeCell ref="E219:K219"/>
    <mergeCell ref="Q219:S219"/>
    <mergeCell ref="B328:B336"/>
    <mergeCell ref="G328:G329"/>
    <mergeCell ref="H328:H329"/>
    <mergeCell ref="I329:M329"/>
    <mergeCell ref="N329:P336"/>
    <mergeCell ref="Q329:U329"/>
    <mergeCell ref="E330:M330"/>
    <mergeCell ref="Q330:U330"/>
    <mergeCell ref="E331:K331"/>
    <mergeCell ref="Q331:S331"/>
    <mergeCell ref="E332:K332"/>
    <mergeCell ref="Q332:S332"/>
    <mergeCell ref="E333:K333"/>
    <mergeCell ref="Q333:S333"/>
    <mergeCell ref="E334:K334"/>
    <mergeCell ref="Q334:S334"/>
    <mergeCell ref="E335:M335"/>
    <mergeCell ref="Q335:U335"/>
    <mergeCell ref="E336:K336"/>
    <mergeCell ref="Q336:S336"/>
    <mergeCell ref="B337:B345"/>
    <mergeCell ref="G337:G338"/>
    <mergeCell ref="H337:H338"/>
    <mergeCell ref="I338:M338"/>
    <mergeCell ref="N338:P345"/>
    <mergeCell ref="Q338:U338"/>
    <mergeCell ref="E339:M339"/>
    <mergeCell ref="Q339:U339"/>
    <mergeCell ref="E340:K340"/>
    <mergeCell ref="Q340:S340"/>
    <mergeCell ref="E341:K341"/>
    <mergeCell ref="Q341:S341"/>
    <mergeCell ref="E342:K342"/>
    <mergeCell ref="Q342:S342"/>
    <mergeCell ref="E343:K343"/>
    <mergeCell ref="Q343:S343"/>
    <mergeCell ref="E344:M344"/>
    <mergeCell ref="Q344:U344"/>
    <mergeCell ref="E345:K345"/>
    <mergeCell ref="Q345:S345"/>
    <mergeCell ref="D1804:E1804"/>
    <mergeCell ref="Q1804:S1804"/>
    <mergeCell ref="T1804:U1804"/>
    <mergeCell ref="D1806:E1806"/>
    <mergeCell ref="Q1806:S1806"/>
    <mergeCell ref="T1806:U1806"/>
    <mergeCell ref="R1807:U1807"/>
    <mergeCell ref="B1624:B1632"/>
    <mergeCell ref="G1624:G1625"/>
    <mergeCell ref="H1624:H1625"/>
    <mergeCell ref="I1625:M1625"/>
    <mergeCell ref="N1625:P1632"/>
    <mergeCell ref="Q1625:U1625"/>
    <mergeCell ref="E1626:M1626"/>
    <mergeCell ref="Q1626:U1626"/>
    <mergeCell ref="E1627:K1627"/>
    <mergeCell ref="Q1627:S1627"/>
    <mergeCell ref="E1628:K1628"/>
    <mergeCell ref="Q1628:S1628"/>
    <mergeCell ref="E1629:K1629"/>
    <mergeCell ref="Q1629:S1629"/>
    <mergeCell ref="E1630:K1630"/>
    <mergeCell ref="Q1630:S1630"/>
    <mergeCell ref="E1631:M1631"/>
    <mergeCell ref="Q1631:U1631"/>
    <mergeCell ref="E1632:K1632"/>
    <mergeCell ref="Q1632:S1632"/>
    <mergeCell ref="B1795:B1801"/>
    <mergeCell ref="C1795:D1801"/>
    <mergeCell ref="E1795:M1795"/>
    <mergeCell ref="N1795:P1801"/>
    <mergeCell ref="E1796:M1796"/>
    <mergeCell ref="B76:B84"/>
    <mergeCell ref="G76:G77"/>
    <mergeCell ref="H76:H77"/>
    <mergeCell ref="I77:M77"/>
    <mergeCell ref="N77:P84"/>
    <mergeCell ref="Q77:U77"/>
    <mergeCell ref="E78:M78"/>
    <mergeCell ref="Q78:U78"/>
    <mergeCell ref="E79:K79"/>
    <mergeCell ref="Q79:S79"/>
    <mergeCell ref="E80:K80"/>
    <mergeCell ref="Q80:S80"/>
    <mergeCell ref="E81:K81"/>
    <mergeCell ref="Q81:S81"/>
    <mergeCell ref="E82:K82"/>
    <mergeCell ref="Q82:S82"/>
    <mergeCell ref="E83:M83"/>
    <mergeCell ref="Q83:U83"/>
    <mergeCell ref="E84:K84"/>
    <mergeCell ref="Q84:S84"/>
  </mergeCells>
  <pageMargins left="0.23622047244094491" right="0.23622047244094491" top="0.11811023622047245" bottom="0.11811023622047245" header="0" footer="0"/>
  <pageSetup paperSize="9" scale="27" fitToHeight="0" orientation="landscape" horizontalDpi="300" r:id="rId1"/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27"/>
  <sheetViews>
    <sheetView tabSelected="1" view="pageBreakPreview" topLeftCell="B1" zoomScale="50" zoomScaleNormal="50" zoomScaleSheetLayoutView="50" workbookViewId="0">
      <selection activeCell="Q7" sqref="Q7"/>
    </sheetView>
  </sheetViews>
  <sheetFormatPr defaultRowHeight="15" outlineLevelRow="1" outlineLevelCol="1"/>
  <cols>
    <col min="1" max="1" width="4.5703125" customWidth="1"/>
    <col min="2" max="2" width="72.42578125" customWidth="1"/>
    <col min="3" max="3" width="31.42578125" customWidth="1"/>
    <col min="4" max="5" width="22" customWidth="1"/>
    <col min="6" max="9" width="22" hidden="1" customWidth="1"/>
    <col min="10" max="10" width="30" customWidth="1"/>
    <col min="11" max="11" width="26.42578125" hidden="1" customWidth="1" outlineLevel="1"/>
    <col min="12" max="12" width="26.85546875" hidden="1" customWidth="1" outlineLevel="1"/>
    <col min="13" max="13" width="22.7109375" hidden="1" customWidth="1" outlineLevel="1"/>
    <col min="14" max="14" width="22.140625" hidden="1" customWidth="1" outlineLevel="1"/>
    <col min="15" max="15" width="20.5703125" hidden="1" customWidth="1" outlineLevel="1"/>
    <col min="16" max="16" width="26.85546875" customWidth="1" collapsed="1"/>
    <col min="17" max="17" width="18.85546875" customWidth="1"/>
    <col min="19" max="26" width="22.28515625" customWidth="1"/>
  </cols>
  <sheetData>
    <row r="1" spans="1:26" ht="38.25" customHeight="1">
      <c r="A1" s="819" t="str">
        <f>'Данные '!D5</f>
        <v>Расчет сметной стоимости инвестиционного проекта по титулу:</v>
      </c>
      <c r="B1" s="819"/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69"/>
      <c r="N1" s="69"/>
    </row>
    <row r="2" spans="1:26" ht="66.75" customHeight="1">
      <c r="A2" s="820" t="str">
        <f>'Данные '!I5</f>
        <v>Заявитель: Чупахина Алла Анатольевна, Объект: Жилой дом. Адрес: Российская Федерация, Московская область, муниципальный округ Серебряные Пруды, село Узуново, территория садоводческого некоммерческого товарищество "Узуново-2", дом 112, кадастровый номер жилого дома: 50:39:0020204:310; кадастровый номер земельного участка: 50:39:0020204:195.</v>
      </c>
      <c r="B2" s="820"/>
      <c r="C2" s="820"/>
      <c r="D2" s="820"/>
      <c r="E2" s="820"/>
      <c r="F2" s="820"/>
      <c r="G2" s="820"/>
      <c r="H2" s="820"/>
      <c r="I2" s="820"/>
      <c r="J2" s="820"/>
      <c r="K2" s="70"/>
      <c r="L2" s="70"/>
      <c r="M2" s="69"/>
      <c r="N2" s="69"/>
      <c r="S2" s="521" t="s">
        <v>673</v>
      </c>
      <c r="T2" s="521" t="s">
        <v>674</v>
      </c>
      <c r="U2" s="521" t="s">
        <v>675</v>
      </c>
      <c r="V2" s="521" t="s">
        <v>676</v>
      </c>
      <c r="W2" s="521" t="s">
        <v>677</v>
      </c>
      <c r="X2" s="521" t="s">
        <v>678</v>
      </c>
      <c r="Y2" s="521" t="s">
        <v>679</v>
      </c>
      <c r="Z2" s="521" t="s">
        <v>680</v>
      </c>
    </row>
    <row r="3" spans="1:26" ht="45.75" customHeight="1">
      <c r="A3" s="821"/>
      <c r="B3" s="821"/>
      <c r="C3" s="71"/>
      <c r="D3" s="72"/>
      <c r="E3" s="72"/>
      <c r="F3" s="72"/>
      <c r="G3" s="72"/>
      <c r="H3" s="72"/>
      <c r="I3" s="72"/>
      <c r="J3" s="72"/>
      <c r="K3" s="72"/>
      <c r="S3" s="522" t="s">
        <v>305</v>
      </c>
      <c r="T3" s="523">
        <f>C11*1000</f>
        <v>10465.199999999999</v>
      </c>
      <c r="U3" s="524">
        <v>0</v>
      </c>
      <c r="V3" s="523">
        <f>C12*1000</f>
        <v>0</v>
      </c>
      <c r="W3" s="523">
        <f>C13*1000</f>
        <v>242.39999999999998</v>
      </c>
      <c r="X3" s="523">
        <f>C10*1000</f>
        <v>797.19280000000003</v>
      </c>
      <c r="Y3" s="523">
        <f>C14*1000</f>
        <v>452.2</v>
      </c>
      <c r="Z3" s="523">
        <f>(C15+C16+C17)*1000</f>
        <v>594.6</v>
      </c>
    </row>
    <row r="4" spans="1:26" ht="33" customHeight="1">
      <c r="A4" s="73"/>
      <c r="B4" s="74" t="s">
        <v>37</v>
      </c>
      <c r="C4" s="75">
        <f>'Данные '!F15</f>
        <v>2026</v>
      </c>
    </row>
    <row r="5" spans="1:26" ht="33" customHeight="1">
      <c r="A5" s="76"/>
      <c r="B5" s="74" t="s">
        <v>38</v>
      </c>
      <c r="C5" s="75">
        <f>'Данные '!E15</f>
        <v>2026</v>
      </c>
    </row>
    <row r="6" spans="1:26" ht="95.25" customHeight="1">
      <c r="A6" s="822"/>
      <c r="B6" s="825"/>
      <c r="C6" s="828" t="s">
        <v>358</v>
      </c>
      <c r="D6" s="831" t="s">
        <v>356</v>
      </c>
      <c r="E6" s="831"/>
      <c r="F6" s="831"/>
      <c r="G6" s="831"/>
      <c r="H6" s="831"/>
      <c r="I6" s="832"/>
      <c r="J6" s="833" t="s">
        <v>22</v>
      </c>
      <c r="K6" s="835" t="s">
        <v>39</v>
      </c>
      <c r="L6" s="837" t="s">
        <v>40</v>
      </c>
    </row>
    <row r="7" spans="1:26" ht="96.75" customHeight="1">
      <c r="A7" s="823"/>
      <c r="B7" s="826"/>
      <c r="C7" s="829"/>
      <c r="D7" s="77" t="s">
        <v>41</v>
      </c>
      <c r="E7" s="77" t="s">
        <v>42</v>
      </c>
      <c r="F7" s="77" t="s">
        <v>43</v>
      </c>
      <c r="G7" s="77" t="s">
        <v>44</v>
      </c>
      <c r="H7" s="77" t="s">
        <v>45</v>
      </c>
      <c r="I7" s="77" t="s">
        <v>46</v>
      </c>
      <c r="J7" s="833"/>
      <c r="K7" s="836"/>
      <c r="L7" s="838"/>
    </row>
    <row r="8" spans="1:26" ht="33" customHeight="1" outlineLevel="1">
      <c r="A8" s="823"/>
      <c r="B8" s="826"/>
      <c r="C8" s="829"/>
      <c r="D8" s="78">
        <v>2025</v>
      </c>
      <c r="E8" s="78">
        <v>2026</v>
      </c>
      <c r="F8" s="78">
        <v>2027</v>
      </c>
      <c r="G8" s="78">
        <v>2028</v>
      </c>
      <c r="H8" s="78">
        <v>2029</v>
      </c>
      <c r="I8" s="78">
        <v>2030</v>
      </c>
      <c r="J8" s="834"/>
      <c r="K8" s="79"/>
      <c r="L8" s="80"/>
    </row>
    <row r="9" spans="1:26" ht="33" customHeight="1" outlineLevel="1" thickBot="1">
      <c r="A9" s="824"/>
      <c r="B9" s="827"/>
      <c r="C9" s="830"/>
      <c r="D9" s="81">
        <f>(100+Дефляторы!N3)/200</f>
        <v>1.0369999999999999</v>
      </c>
      <c r="E9" s="81">
        <f>(100+Дефляторы!O3)/200*Дефляторы!$N$3/100</f>
        <v>1.1035350000000002</v>
      </c>
      <c r="F9" s="81">
        <f>(100+Дефляторы!P3)/200*Дефляторы!$N$3/100*Дефляторы!$O$3/100</f>
        <v>1.156297935</v>
      </c>
      <c r="G9" s="81">
        <f>(100+Дефляторы!Q3)/200*Дефляторы!$N$3/100*Дефляторы!$O$3/100*Дефляторы!$P$3/100</f>
        <v>1.2037061503349999</v>
      </c>
      <c r="H9" s="81">
        <f>(100+Дефляторы!R3)/200*Дефляторы!$N$3/100*Дефляторы!$O$3/100*Дефляторы!$P$3/100*Дефляторы!$Q$3/100</f>
        <v>1.2530581024987348</v>
      </c>
      <c r="I9" s="81">
        <f>(100+Дефляторы!S3)/200*Дефляторы!$N$3/100*Дефляторы!$O$3/100*Дефляторы!$P$3/100*Дефляторы!$Q$3/100*Дефляторы!$R$3/100</f>
        <v>1.3044334847011827</v>
      </c>
      <c r="J9" s="834"/>
      <c r="K9" s="82"/>
      <c r="L9" s="80"/>
    </row>
    <row r="10" spans="1:26" ht="44.25" customHeight="1">
      <c r="A10" s="73">
        <v>1</v>
      </c>
      <c r="B10" s="83" t="s">
        <v>47</v>
      </c>
      <c r="C10" s="84">
        <f>'РСС ИП '!T1796</f>
        <v>0.79719280000000003</v>
      </c>
      <c r="D10" s="85">
        <f>Дефляторы!$N$3/100</f>
        <v>1.0740000000000001</v>
      </c>
      <c r="E10" s="85">
        <f>Дефляторы!$O$3/100</f>
        <v>1.0549999999999999</v>
      </c>
      <c r="F10" s="85">
        <f>Дефляторы!$P$3/100</f>
        <v>1.0409999999999999</v>
      </c>
      <c r="G10" s="85">
        <f>Дефляторы!$Q$3/100</f>
        <v>1.0409999999999999</v>
      </c>
      <c r="H10" s="85">
        <f>Дефляторы!$R$3/100</f>
        <v>1.0409999999999999</v>
      </c>
      <c r="I10" s="85">
        <f>Дефляторы!$S$3/100</f>
        <v>1.0409999999999999</v>
      </c>
      <c r="J10" s="86">
        <f>IF($C$4=$D$8,C10*$D$9,IF($C$4=$E$8,C10*$E$9,IF($C$4=$F$8,C10*$F$9,IF($C$4=$G$8,C10*$G$9,IF($C$4=$H$8,C10*$H$9,IF($C$4=$I$8,C10*$I$9))))))*1000</f>
        <v>879.73015654800008</v>
      </c>
      <c r="K10" s="87">
        <f>'Контроль '!$G$11/1000/1.2/$J$18</f>
        <v>0</v>
      </c>
      <c r="L10" s="87">
        <f>J10*K10</f>
        <v>0</v>
      </c>
      <c r="M10">
        <f t="shared" ref="M10:M17" si="0">IF(C10&gt;0,J10/C10,0)</f>
        <v>1103.5350000000001</v>
      </c>
      <c r="P10" s="963">
        <f>J10*1.22</f>
        <v>1073.2707909885601</v>
      </c>
      <c r="Q10" s="963"/>
      <c r="R10" s="963"/>
    </row>
    <row r="11" spans="1:26" ht="33" customHeight="1">
      <c r="A11" s="73">
        <v>2</v>
      </c>
      <c r="B11" s="88" t="s">
        <v>48</v>
      </c>
      <c r="C11" s="89">
        <f>'РСС ИП '!R1795</f>
        <v>10.465199999999999</v>
      </c>
      <c r="D11" s="85">
        <f>Дефляторы!$N$3/100</f>
        <v>1.0740000000000001</v>
      </c>
      <c r="E11" s="85">
        <f>Дефляторы!$O$3/100</f>
        <v>1.0549999999999999</v>
      </c>
      <c r="F11" s="85">
        <f>Дефляторы!$P$3/100</f>
        <v>1.0409999999999999</v>
      </c>
      <c r="G11" s="85">
        <f>Дефляторы!$Q$3/100</f>
        <v>1.0409999999999999</v>
      </c>
      <c r="H11" s="85">
        <f>Дефляторы!$R$3/100</f>
        <v>1.0409999999999999</v>
      </c>
      <c r="I11" s="85">
        <f>Дефляторы!$S$3/100</f>
        <v>1.0409999999999999</v>
      </c>
      <c r="J11" s="86">
        <f t="shared" ref="J11:J17" si="1">IF($C$5=$D$8,C11*$D$9,IF($C$5=$E$8,C11*$E$9,IF($C$5=$F$8,C11*$F$9,IF($C$5=$G$8,C11*$G$9,IF($C$5=$H$8,C11*$H$9,IF($C$5=$I$8,C11*$I$9))))))*1000</f>
        <v>11548.714482000001</v>
      </c>
      <c r="K11" s="87">
        <f>'Контроль '!$G$11/1000/1.2/$J$18</f>
        <v>0</v>
      </c>
      <c r="L11" s="87">
        <f t="shared" ref="L11:L17" si="2">J11*K11</f>
        <v>0</v>
      </c>
      <c r="M11">
        <f t="shared" si="0"/>
        <v>1103.5350000000001</v>
      </c>
      <c r="P11" s="963">
        <f t="shared" ref="P11:P17" si="3">J11*1.22</f>
        <v>14089.431668040001</v>
      </c>
      <c r="Q11" s="963"/>
      <c r="R11" s="963"/>
    </row>
    <row r="12" spans="1:26" ht="33" customHeight="1">
      <c r="A12" s="73">
        <v>3</v>
      </c>
      <c r="B12" s="88" t="s">
        <v>49</v>
      </c>
      <c r="C12" s="89">
        <f>'РСС ИП '!Q1795</f>
        <v>0</v>
      </c>
      <c r="D12" s="85">
        <f>Дефляторы!$N$3/100</f>
        <v>1.0740000000000001</v>
      </c>
      <c r="E12" s="85">
        <f>Дефляторы!$O$3/100</f>
        <v>1.0549999999999999</v>
      </c>
      <c r="F12" s="85">
        <f>Дефляторы!$P$3/100</f>
        <v>1.0409999999999999</v>
      </c>
      <c r="G12" s="85">
        <f>Дефляторы!$Q$3/100</f>
        <v>1.0409999999999999</v>
      </c>
      <c r="H12" s="85">
        <f>Дефляторы!$R$3/100</f>
        <v>1.0409999999999999</v>
      </c>
      <c r="I12" s="85">
        <f>Дефляторы!$S$3/100</f>
        <v>1.0409999999999999</v>
      </c>
      <c r="J12" s="86">
        <f t="shared" si="1"/>
        <v>0</v>
      </c>
      <c r="K12" s="87">
        <f>'Контроль '!$G$11/1000/1.2/$J$18</f>
        <v>0</v>
      </c>
      <c r="L12" s="87">
        <f t="shared" si="2"/>
        <v>0</v>
      </c>
      <c r="M12">
        <f t="shared" si="0"/>
        <v>0</v>
      </c>
      <c r="P12" s="963">
        <f t="shared" si="3"/>
        <v>0</v>
      </c>
      <c r="Q12" s="963"/>
      <c r="R12" s="963"/>
    </row>
    <row r="13" spans="1:26" ht="33" customHeight="1">
      <c r="A13" s="73">
        <v>4</v>
      </c>
      <c r="B13" s="88" t="s">
        <v>50</v>
      </c>
      <c r="C13" s="89">
        <f>'РСС ИП '!S1795</f>
        <v>0.24239999999999998</v>
      </c>
      <c r="D13" s="85">
        <f>Дефляторы!$N$3/100</f>
        <v>1.0740000000000001</v>
      </c>
      <c r="E13" s="85">
        <f>Дефляторы!$O$3/100</f>
        <v>1.0549999999999999</v>
      </c>
      <c r="F13" s="85">
        <f>Дефляторы!$P$3/100</f>
        <v>1.0409999999999999</v>
      </c>
      <c r="G13" s="85">
        <f>Дефляторы!$Q$3/100</f>
        <v>1.0409999999999999</v>
      </c>
      <c r="H13" s="85">
        <f>Дефляторы!$R$3/100</f>
        <v>1.0409999999999999</v>
      </c>
      <c r="I13" s="85">
        <f>Дефляторы!$S$3/100</f>
        <v>1.0409999999999999</v>
      </c>
      <c r="J13" s="86">
        <f t="shared" si="1"/>
        <v>267.49688399999997</v>
      </c>
      <c r="K13" s="87">
        <f>'Контроль '!$G$11/1000/1.2/$J$18</f>
        <v>0</v>
      </c>
      <c r="L13" s="87">
        <f t="shared" si="2"/>
        <v>0</v>
      </c>
      <c r="M13">
        <f t="shared" si="0"/>
        <v>1103.5349999999999</v>
      </c>
      <c r="P13" s="963">
        <f t="shared" si="3"/>
        <v>326.34619847999994</v>
      </c>
      <c r="Q13" s="963"/>
      <c r="R13" s="963"/>
    </row>
    <row r="14" spans="1:26" ht="33" customHeight="1">
      <c r="A14" s="73">
        <v>5</v>
      </c>
      <c r="B14" s="88" t="s">
        <v>51</v>
      </c>
      <c r="C14" s="89">
        <f>'РСС ИП '!T1801</f>
        <v>0.45219999999999999</v>
      </c>
      <c r="D14" s="85">
        <f>Дефляторы!$N$3/100</f>
        <v>1.0740000000000001</v>
      </c>
      <c r="E14" s="85">
        <f>Дефляторы!$O$3/100</f>
        <v>1.0549999999999999</v>
      </c>
      <c r="F14" s="85">
        <f>Дефляторы!$P$3/100</f>
        <v>1.0409999999999999</v>
      </c>
      <c r="G14" s="85">
        <f>Дефляторы!$Q$3/100</f>
        <v>1.0409999999999999</v>
      </c>
      <c r="H14" s="85">
        <f>Дефляторы!$R$3/100</f>
        <v>1.0409999999999999</v>
      </c>
      <c r="I14" s="85">
        <f>Дефляторы!$S$3/100</f>
        <v>1.0409999999999999</v>
      </c>
      <c r="J14" s="86">
        <f t="shared" si="1"/>
        <v>499.01852700000006</v>
      </c>
      <c r="K14" s="87">
        <f>'Контроль '!$G$11/1000/1.2/$J$18</f>
        <v>0</v>
      </c>
      <c r="L14" s="87">
        <f t="shared" si="2"/>
        <v>0</v>
      </c>
      <c r="M14">
        <f t="shared" si="0"/>
        <v>1103.5350000000001</v>
      </c>
      <c r="P14" s="963">
        <f t="shared" si="3"/>
        <v>608.80260294000004</v>
      </c>
      <c r="Q14" s="963">
        <f>P14+P15</f>
        <v>917.37747378000017</v>
      </c>
      <c r="R14" s="963"/>
    </row>
    <row r="15" spans="1:26" ht="33" customHeight="1">
      <c r="A15" s="73">
        <v>6</v>
      </c>
      <c r="B15" s="88" t="s">
        <v>33</v>
      </c>
      <c r="C15" s="89">
        <f>'РСС ИП '!T1797</f>
        <v>0.22920000000000001</v>
      </c>
      <c r="D15" s="85">
        <f>Дефляторы!$N$3/100</f>
        <v>1.0740000000000001</v>
      </c>
      <c r="E15" s="85">
        <f>Дефляторы!$O$3/100</f>
        <v>1.0549999999999999</v>
      </c>
      <c r="F15" s="85">
        <f>Дефляторы!$P$3/100</f>
        <v>1.0409999999999999</v>
      </c>
      <c r="G15" s="85">
        <f>Дефляторы!$Q$3/100</f>
        <v>1.0409999999999999</v>
      </c>
      <c r="H15" s="85">
        <f>Дефляторы!$R$3/100</f>
        <v>1.0409999999999999</v>
      </c>
      <c r="I15" s="85">
        <f>Дефляторы!$S$3/100</f>
        <v>1.0409999999999999</v>
      </c>
      <c r="J15" s="86">
        <f t="shared" si="1"/>
        <v>252.93022200000004</v>
      </c>
      <c r="K15" s="87">
        <f>'Контроль '!$G$11/1000/1.2/$J$18</f>
        <v>0</v>
      </c>
      <c r="L15" s="87">
        <f t="shared" si="2"/>
        <v>0</v>
      </c>
      <c r="M15">
        <f t="shared" si="0"/>
        <v>1103.5350000000001</v>
      </c>
      <c r="P15" s="963">
        <f t="shared" si="3"/>
        <v>308.57487084000007</v>
      </c>
      <c r="Q15" s="963"/>
      <c r="R15" s="963"/>
    </row>
    <row r="16" spans="1:26" ht="57" customHeight="1">
      <c r="A16" s="73">
        <v>7</v>
      </c>
      <c r="B16" s="88" t="s">
        <v>34</v>
      </c>
      <c r="C16" s="89">
        <f>'РСС ИП '!T1798</f>
        <v>0.3654</v>
      </c>
      <c r="D16" s="85">
        <f>Дефляторы!$N$3/100</f>
        <v>1.0740000000000001</v>
      </c>
      <c r="E16" s="85">
        <f>Дефляторы!$O$3/100</f>
        <v>1.0549999999999999</v>
      </c>
      <c r="F16" s="85">
        <f>Дефляторы!$P$3/100</f>
        <v>1.0409999999999999</v>
      </c>
      <c r="G16" s="85">
        <f>Дефляторы!$Q$3/100</f>
        <v>1.0409999999999999</v>
      </c>
      <c r="H16" s="85">
        <f>Дефляторы!$R$3/100</f>
        <v>1.0409999999999999</v>
      </c>
      <c r="I16" s="85">
        <f>Дефляторы!$S$3/100</f>
        <v>1.0409999999999999</v>
      </c>
      <c r="J16" s="86">
        <f t="shared" si="1"/>
        <v>403.23168900000007</v>
      </c>
      <c r="K16" s="87">
        <f>'Контроль '!$G$11/1000/1.2/$J$18</f>
        <v>0</v>
      </c>
      <c r="L16" s="87">
        <f t="shared" si="2"/>
        <v>0</v>
      </c>
      <c r="M16">
        <f t="shared" si="0"/>
        <v>1103.5350000000001</v>
      </c>
      <c r="P16" s="963">
        <f t="shared" si="3"/>
        <v>491.94266058000005</v>
      </c>
      <c r="Q16" s="963"/>
      <c r="R16" s="963"/>
    </row>
    <row r="17" spans="1:18" ht="33" customHeight="1" thickBot="1">
      <c r="A17" s="73">
        <v>8</v>
      </c>
      <c r="B17" s="88" t="s">
        <v>52</v>
      </c>
      <c r="C17" s="89">
        <f>'РСС ИП '!T1799</f>
        <v>0</v>
      </c>
      <c r="D17" s="85">
        <f>Дефляторы!$N$3/100</f>
        <v>1.0740000000000001</v>
      </c>
      <c r="E17" s="85">
        <f>Дефляторы!$O$3/100</f>
        <v>1.0549999999999999</v>
      </c>
      <c r="F17" s="85">
        <f>Дефляторы!$P$3/100</f>
        <v>1.0409999999999999</v>
      </c>
      <c r="G17" s="85">
        <f>Дефляторы!$Q$3/100</f>
        <v>1.0409999999999999</v>
      </c>
      <c r="H17" s="85">
        <f>Дефляторы!$R$3/100</f>
        <v>1.0409999999999999</v>
      </c>
      <c r="I17" s="85">
        <f>Дефляторы!$S$3/100</f>
        <v>1.0409999999999999</v>
      </c>
      <c r="J17" s="86">
        <f t="shared" si="1"/>
        <v>0</v>
      </c>
      <c r="K17" s="87">
        <f>'Контроль '!$G$11/1000/1.2/$J$18</f>
        <v>0</v>
      </c>
      <c r="L17" s="87">
        <f t="shared" si="2"/>
        <v>0</v>
      </c>
      <c r="M17">
        <f t="shared" si="0"/>
        <v>0</v>
      </c>
      <c r="P17" s="963">
        <f t="shared" si="3"/>
        <v>0</v>
      </c>
      <c r="Q17" s="963"/>
      <c r="R17" s="963"/>
    </row>
    <row r="18" spans="1:18" ht="33" customHeight="1" thickBot="1">
      <c r="A18" s="90"/>
      <c r="B18" s="91" t="s">
        <v>681</v>
      </c>
      <c r="C18" s="92">
        <f>SUM(C10:C17)</f>
        <v>12.551592799999998</v>
      </c>
      <c r="D18" s="93"/>
      <c r="E18" s="93"/>
      <c r="F18" s="94"/>
      <c r="G18" s="94"/>
      <c r="H18" s="94"/>
      <c r="I18" s="94"/>
      <c r="J18" s="95">
        <f>SUM(J10:J17)</f>
        <v>13851.121960548002</v>
      </c>
      <c r="K18" s="96"/>
      <c r="L18" s="97">
        <f>SUM(L10:L17)</f>
        <v>0</v>
      </c>
      <c r="P18" s="98">
        <f>J18*1000</f>
        <v>13851121.960548002</v>
      </c>
    </row>
    <row r="19" spans="1:18" s="68" customFormat="1" ht="33" customHeight="1">
      <c r="A19" s="99"/>
      <c r="B19" s="100"/>
      <c r="C19" s="101"/>
    </row>
    <row r="20" spans="1:18" s="68" customFormat="1" ht="57" customHeight="1">
      <c r="A20" s="99"/>
      <c r="B20" s="100"/>
      <c r="C20" s="101"/>
      <c r="D20" s="817" t="s">
        <v>682</v>
      </c>
      <c r="E20" s="817"/>
      <c r="F20" s="817"/>
      <c r="G20" s="817"/>
      <c r="H20" s="817"/>
      <c r="I20" s="817"/>
      <c r="J20" s="102">
        <f>J18</f>
        <v>13851.121960548002</v>
      </c>
      <c r="K20" s="103"/>
      <c r="L20" s="103">
        <f>L18</f>
        <v>0</v>
      </c>
    </row>
    <row r="21" spans="1:18" s="68" customFormat="1" ht="33" customHeight="1">
      <c r="A21" s="99"/>
      <c r="B21" s="100"/>
      <c r="C21" s="101"/>
      <c r="D21" s="817" t="s">
        <v>786</v>
      </c>
      <c r="E21" s="817"/>
      <c r="F21" s="817"/>
      <c r="G21" s="817"/>
      <c r="H21" s="817"/>
      <c r="I21" s="817"/>
      <c r="J21" s="102">
        <f>J20*0.22</f>
        <v>3047.2468313205604</v>
      </c>
      <c r="K21" s="103"/>
      <c r="L21" s="103">
        <f>L20*0.2</f>
        <v>0</v>
      </c>
    </row>
    <row r="22" spans="1:18" s="68" customFormat="1" ht="33" customHeight="1">
      <c r="A22" s="99"/>
      <c r="B22" s="100"/>
      <c r="C22" s="101"/>
      <c r="D22" s="817" t="s">
        <v>683</v>
      </c>
      <c r="E22" s="817"/>
      <c r="F22" s="817"/>
      <c r="G22" s="817"/>
      <c r="H22" s="817"/>
      <c r="I22" s="817"/>
      <c r="J22" s="102">
        <f>J20+J21</f>
        <v>16898.368791868561</v>
      </c>
      <c r="K22" s="103"/>
      <c r="L22" s="103">
        <f>SUM(L20:L21)</f>
        <v>0</v>
      </c>
    </row>
    <row r="23" spans="1:18" s="68" customFormat="1" ht="33" customHeight="1">
      <c r="A23" s="99"/>
      <c r="B23" s="100"/>
      <c r="C23" s="101"/>
      <c r="D23" s="104"/>
      <c r="E23" s="818"/>
      <c r="F23" s="818"/>
      <c r="G23" s="818"/>
      <c r="H23" s="105"/>
      <c r="I23" s="105"/>
      <c r="J23" s="106"/>
    </row>
    <row r="24" spans="1:18" s="68" customFormat="1" ht="33" customHeight="1">
      <c r="A24" s="99"/>
      <c r="B24" s="100"/>
      <c r="C24" s="101"/>
      <c r="D24" s="815" t="s">
        <v>53</v>
      </c>
      <c r="E24" s="815"/>
      <c r="F24" s="815"/>
      <c r="G24" s="815"/>
      <c r="H24" s="816">
        <f>J10</f>
        <v>879.73015654800008</v>
      </c>
      <c r="I24" s="816"/>
      <c r="J24" s="816"/>
    </row>
    <row r="25" spans="1:18" s="68" customFormat="1" ht="55.5" customHeight="1">
      <c r="A25" s="99"/>
      <c r="B25" s="100"/>
      <c r="C25" s="101"/>
      <c r="D25" s="815" t="s">
        <v>54</v>
      </c>
      <c r="E25" s="815"/>
      <c r="F25" s="815"/>
      <c r="G25" s="815"/>
      <c r="H25" s="816">
        <f>J20-H24</f>
        <v>12971.391804000003</v>
      </c>
      <c r="I25" s="816"/>
      <c r="J25" s="816"/>
    </row>
    <row r="26" spans="1:18" s="68" customFormat="1" ht="33" customHeight="1">
      <c r="A26" s="99"/>
      <c r="B26" s="100"/>
      <c r="C26" s="101"/>
    </row>
    <row r="27" spans="1:18" ht="23.25">
      <c r="D27" s="67"/>
      <c r="E27" s="67"/>
      <c r="F27" s="67"/>
      <c r="G27" s="67"/>
      <c r="H27" s="67"/>
      <c r="I27" s="67"/>
      <c r="J27" s="67"/>
      <c r="K27" s="67"/>
    </row>
  </sheetData>
  <mergeCells count="18">
    <mergeCell ref="A1:L1"/>
    <mergeCell ref="A2:J2"/>
    <mergeCell ref="A3:B3"/>
    <mergeCell ref="A6:A9"/>
    <mergeCell ref="B6:B9"/>
    <mergeCell ref="C6:C9"/>
    <mergeCell ref="D6:I6"/>
    <mergeCell ref="J6:J9"/>
    <mergeCell ref="K6:K7"/>
    <mergeCell ref="L6:L7"/>
    <mergeCell ref="D25:G25"/>
    <mergeCell ref="H25:J25"/>
    <mergeCell ref="D20:I20"/>
    <mergeCell ref="D21:I21"/>
    <mergeCell ref="D22:I22"/>
    <mergeCell ref="E23:G23"/>
    <mergeCell ref="D24:G24"/>
    <mergeCell ref="H24:J24"/>
  </mergeCells>
  <conditionalFormatting sqref="H18:I18">
    <cfRule type="expression" dxfId="11" priority="10" stopIfTrue="1">
      <formula>#REF!&gt;#REF!</formula>
    </cfRule>
  </conditionalFormatting>
  <conditionalFormatting sqref="G18">
    <cfRule type="expression" dxfId="10" priority="9" stopIfTrue="1">
      <formula>#REF!&gt;#REF!</formula>
    </cfRule>
  </conditionalFormatting>
  <conditionalFormatting sqref="F18">
    <cfRule type="expression" dxfId="9" priority="8" stopIfTrue="1">
      <formula>#REF!&gt;#REF!</formula>
    </cfRule>
  </conditionalFormatting>
  <conditionalFormatting sqref="E18">
    <cfRule type="expression" dxfId="8" priority="7" stopIfTrue="1">
      <formula>#REF!&gt;#REF!</formula>
    </cfRule>
  </conditionalFormatting>
  <conditionalFormatting sqref="D18">
    <cfRule type="expression" dxfId="7" priority="6" stopIfTrue="1">
      <formula>#REF!&gt;#REF!</formula>
    </cfRule>
  </conditionalFormatting>
  <conditionalFormatting sqref="D10:I10">
    <cfRule type="expression" dxfId="6" priority="2">
      <formula>$C$4&lt;D$8</formula>
    </cfRule>
  </conditionalFormatting>
  <conditionalFormatting sqref="D11:I17">
    <cfRule type="expression" dxfId="5" priority="1">
      <formula>$C$5&lt;D$8</formula>
    </cfRule>
  </conditionalFormatting>
  <pageMargins left="0.25" right="0.25" top="0.75" bottom="0.75" header="0.3" footer="0.3"/>
  <pageSetup paperSize="9" scale="44" orientation="landscape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P33"/>
  <sheetViews>
    <sheetView view="pageBreakPreview" zoomScale="60" zoomScaleNormal="60" workbookViewId="0">
      <selection activeCell="D40" sqref="D40"/>
    </sheetView>
  </sheetViews>
  <sheetFormatPr defaultRowHeight="18.75"/>
  <cols>
    <col min="1" max="1" width="14.85546875" style="127" customWidth="1"/>
    <col min="2" max="2" width="46.5703125" style="128" customWidth="1"/>
    <col min="3" max="3" width="20.42578125" style="127" customWidth="1"/>
    <col min="4" max="9" width="22.7109375" style="128" customWidth="1"/>
    <col min="10" max="10" width="26.140625" style="128" customWidth="1"/>
    <col min="11" max="14" width="15.28515625" style="128" customWidth="1"/>
    <col min="15" max="15" width="19.28515625" style="128" customWidth="1"/>
    <col min="16" max="16" width="21.140625" style="128" customWidth="1"/>
    <col min="17" max="16384" width="9.140625" style="128"/>
  </cols>
  <sheetData>
    <row r="1" spans="1:15" ht="9" customHeight="1"/>
    <row r="2" spans="1:15" ht="28.5" customHeight="1">
      <c r="A2" s="839" t="s">
        <v>78</v>
      </c>
      <c r="B2" s="839"/>
      <c r="C2" s="839"/>
      <c r="D2" s="839"/>
      <c r="E2" s="839"/>
      <c r="F2" s="839"/>
      <c r="G2" s="839"/>
      <c r="H2" s="839"/>
      <c r="I2" s="839"/>
      <c r="J2" s="839"/>
      <c r="K2" s="129"/>
      <c r="L2" s="129"/>
      <c r="M2" s="129"/>
      <c r="N2" s="129"/>
      <c r="O2" s="129"/>
    </row>
    <row r="3" spans="1:15" ht="7.5" customHeight="1"/>
    <row r="4" spans="1:15" ht="61.5" customHeight="1">
      <c r="B4" s="130" t="s">
        <v>79</v>
      </c>
      <c r="C4" s="840" t="str">
        <f>'Данные '!I5</f>
        <v>Заявитель: Чупахина Алла Анатольевна, Объект: Жилой дом. Адрес: Российская Федерация, Московская область, муниципальный округ Серебряные Пруды, село Узуново, территория садоводческого некоммерческого товарищество "Узуново-2", дом 112, кадастровый номер жилого дома: 50:39:0020204:310; кадастровый номер земельного участка: 50:39:0020204:195.</v>
      </c>
      <c r="D4" s="772"/>
      <c r="E4" s="772"/>
      <c r="F4" s="772"/>
      <c r="G4" s="772"/>
      <c r="H4" s="772"/>
      <c r="I4" s="772"/>
      <c r="J4" s="772"/>
      <c r="K4" s="131"/>
      <c r="L4" s="131"/>
      <c r="M4" s="131"/>
      <c r="N4" s="131"/>
      <c r="O4" s="131"/>
    </row>
    <row r="5" spans="1:15">
      <c r="C5" s="132"/>
      <c r="D5" s="133"/>
      <c r="E5" s="133"/>
      <c r="F5" s="133"/>
      <c r="G5" s="133"/>
      <c r="H5" s="133"/>
      <c r="I5" s="133"/>
    </row>
    <row r="6" spans="1:15" ht="33.75" customHeight="1">
      <c r="A6" s="841" t="s">
        <v>80</v>
      </c>
      <c r="B6" s="841"/>
      <c r="C6" s="134">
        <f>'Данные '!E15</f>
        <v>2026</v>
      </c>
      <c r="E6" s="133"/>
      <c r="F6" s="133"/>
      <c r="G6" s="133"/>
      <c r="H6" s="133"/>
      <c r="I6" s="133"/>
    </row>
    <row r="7" spans="1:15" ht="26.25" customHeight="1">
      <c r="A7" s="842" t="s">
        <v>81</v>
      </c>
      <c r="B7" s="842"/>
      <c r="C7" s="134">
        <f>'Данные '!F15</f>
        <v>2026</v>
      </c>
    </row>
    <row r="8" spans="1:15" ht="36.75" customHeight="1">
      <c r="A8" s="843" t="s">
        <v>15</v>
      </c>
      <c r="B8" s="843" t="s">
        <v>56</v>
      </c>
      <c r="C8" s="843" t="s">
        <v>82</v>
      </c>
      <c r="D8" s="844" t="s">
        <v>359</v>
      </c>
      <c r="E8" s="844"/>
      <c r="F8" s="844"/>
      <c r="G8" s="844"/>
      <c r="H8" s="844"/>
      <c r="I8" s="844"/>
      <c r="J8" s="845"/>
      <c r="K8" s="845"/>
      <c r="L8" s="845"/>
      <c r="M8" s="845"/>
      <c r="N8" s="845"/>
      <c r="O8" s="845"/>
    </row>
    <row r="9" spans="1:15" ht="27" customHeight="1">
      <c r="A9" s="843"/>
      <c r="B9" s="843"/>
      <c r="C9" s="843"/>
      <c r="D9" s="135" t="s">
        <v>83</v>
      </c>
      <c r="E9" s="135" t="s">
        <v>84</v>
      </c>
      <c r="F9" s="135" t="s">
        <v>25</v>
      </c>
      <c r="G9" s="135" t="s">
        <v>26</v>
      </c>
      <c r="H9" s="135" t="s">
        <v>8</v>
      </c>
      <c r="I9" s="135" t="s">
        <v>27</v>
      </c>
      <c r="J9" s="136"/>
      <c r="K9" s="136"/>
      <c r="L9" s="136"/>
      <c r="M9" s="136"/>
      <c r="N9" s="136"/>
      <c r="O9" s="136"/>
    </row>
    <row r="10" spans="1:15" ht="25.5" customHeight="1">
      <c r="A10" s="137">
        <v>1</v>
      </c>
      <c r="B10" s="138" t="s">
        <v>85</v>
      </c>
      <c r="C10" s="139">
        <f>SUMIF('РСС ИП '!$C$8:$C$2568,1,'РСС ИП '!$H$8:$H$2568)</f>
        <v>0</v>
      </c>
      <c r="D10" s="140">
        <f>SUMIF('РСС ИП '!$C$10:$C$2660,1,'РСС ИП '!$Q$10:$Q$2660)</f>
        <v>0</v>
      </c>
      <c r="E10" s="140">
        <f>SUMIF('РСС ИП '!$C$10:$C$2660,1,'РСС ИП '!$R$10:$R$2660)</f>
        <v>0</v>
      </c>
      <c r="F10" s="140">
        <f>SUMIF('РСС ИП '!$C$10:$C$2660,1,'РСС ИП '!$S$10:$S$2660)</f>
        <v>0</v>
      </c>
      <c r="G10" s="140">
        <f>SUMIF('РСС ИП '!$C$10:$C$2660,1,'РСС ИП '!$T$10:$T$2660)-H10</f>
        <v>0</v>
      </c>
      <c r="H10" s="140">
        <f>SUMIF('РСС ИП '!$C$10:$C$2660,11,'РСС ИП '!$T$10:$T$2660)</f>
        <v>0</v>
      </c>
      <c r="I10" s="140">
        <f t="shared" ref="I10:I18" si="0">SUM(D10:H10)</f>
        <v>0</v>
      </c>
      <c r="J10" s="141"/>
      <c r="K10" s="141"/>
      <c r="L10" s="141"/>
      <c r="M10" s="141"/>
      <c r="N10" s="141"/>
      <c r="O10" s="141"/>
    </row>
    <row r="11" spans="1:15" ht="25.5" customHeight="1">
      <c r="A11" s="137">
        <v>2</v>
      </c>
      <c r="B11" s="138" t="s">
        <v>86</v>
      </c>
      <c r="C11" s="139">
        <f>SUMIF('РСС ИП '!$C$8:$C$2568,2,'РСС ИП '!$H$8:$H$2568)</f>
        <v>0</v>
      </c>
      <c r="D11" s="140">
        <f>SUMIF('РСС ИП '!$C$10:$C$2660,2,'РСС ИП '!$Q$10:$Q$2660)</f>
        <v>0</v>
      </c>
      <c r="E11" s="140">
        <f>SUMIF('РСС ИП '!$C$10:$C$2660,2,'РСС ИП '!$R$10:$R$2660)</f>
        <v>0</v>
      </c>
      <c r="F11" s="140">
        <f>SUMIF('РСС ИП '!$C$10:$C$2660,2,'РСС ИП '!$S$10:$S$2660)</f>
        <v>0</v>
      </c>
      <c r="G11" s="140">
        <f>SUMIF('РСС ИП '!$C$10:$C$2660,2,'РСС ИП '!$T$10:$T$2660)-H11</f>
        <v>0</v>
      </c>
      <c r="H11" s="140">
        <f>SUMIF('РСС ИП '!$C$10:$C$2660,22,'РСС ИП '!$T$10:$T$2660)</f>
        <v>0</v>
      </c>
      <c r="I11" s="140">
        <f t="shared" si="0"/>
        <v>0</v>
      </c>
      <c r="J11" s="141"/>
      <c r="K11" s="141"/>
      <c r="L11" s="141"/>
      <c r="M11" s="141"/>
      <c r="N11" s="141"/>
      <c r="O11" s="141"/>
    </row>
    <row r="12" spans="1:15" ht="25.5" customHeight="1">
      <c r="A12" s="137">
        <v>6</v>
      </c>
      <c r="B12" s="138" t="s">
        <v>87</v>
      </c>
      <c r="C12" s="139">
        <f>SUMIF('РСС ИП '!$C$8:$C$2568,6,'РСС ИП '!$H$8:$H$2568)</f>
        <v>0</v>
      </c>
      <c r="D12" s="140">
        <f>SUMIF('РСС ИП '!$C$10:$C$2660,6,'РСС ИП '!$Q$10:$Q$2660)</f>
        <v>0</v>
      </c>
      <c r="E12" s="140">
        <f>SUMIF('РСС ИП '!$C$10:$C$2660,6,'РСС ИП '!$R$10:$R$2660)</f>
        <v>0</v>
      </c>
      <c r="F12" s="140">
        <f>SUMIF('РСС ИП '!$C$10:$C$2660,6,'РСС ИП '!$S$10:$S$2660)</f>
        <v>0</v>
      </c>
      <c r="G12" s="140">
        <f>SUMIF('РСС ИП '!$C$10:$C$2660,6,'РСС ИП '!$T$10:$T$2660)-H12</f>
        <v>0</v>
      </c>
      <c r="H12" s="140">
        <f>SUMIF('РСС ИП '!$C$10:$C$2660,66,'РСС ИП '!$T$10:$T$2660)</f>
        <v>0</v>
      </c>
      <c r="I12" s="140">
        <f t="shared" si="0"/>
        <v>0</v>
      </c>
      <c r="J12" s="141"/>
      <c r="K12" s="141"/>
      <c r="L12" s="141"/>
      <c r="M12" s="141"/>
      <c r="N12" s="141"/>
      <c r="O12" s="141"/>
    </row>
    <row r="13" spans="1:15" ht="25.5" customHeight="1">
      <c r="A13" s="137">
        <v>7</v>
      </c>
      <c r="B13" s="138" t="s">
        <v>88</v>
      </c>
      <c r="C13" s="139">
        <f>SUMIF('РСС ИП '!$C$8:$C$2568,7,'РСС ИП '!$H$8:$H$2568)</f>
        <v>0</v>
      </c>
      <c r="D13" s="140">
        <f>SUMIF('РСС ИП '!$C$10:$C$2660,7,'РСС ИП '!$Q$10:$Q$2660)</f>
        <v>0</v>
      </c>
      <c r="E13" s="140">
        <f>SUMIF('РСС ИП '!$C$10:$C$2660,7,'РСС ИП '!$R$10:$R$2660)</f>
        <v>0</v>
      </c>
      <c r="F13" s="140">
        <f>SUMIF('РСС ИП '!$C$10:$C$2660,7,'РСС ИП '!$S$10:$S$2660)</f>
        <v>0</v>
      </c>
      <c r="G13" s="140">
        <f>SUMIF('РСС ИП '!$C$10:$C$2660,7,'РСС ИП '!$T$10:$T$2660)-H13</f>
        <v>0</v>
      </c>
      <c r="H13" s="140">
        <f>SUMIF('РСС ИП '!$C$10:$C$2660,77,'РСС ИП '!$T$10:$T$2660)</f>
        <v>0</v>
      </c>
      <c r="I13" s="140">
        <f t="shared" si="0"/>
        <v>0</v>
      </c>
      <c r="J13" s="141"/>
      <c r="K13" s="141"/>
      <c r="L13" s="141"/>
      <c r="M13" s="141"/>
      <c r="N13" s="141"/>
      <c r="O13" s="141"/>
    </row>
    <row r="14" spans="1:15" ht="25.5" customHeight="1">
      <c r="A14" s="137">
        <v>3</v>
      </c>
      <c r="B14" s="138" t="s">
        <v>89</v>
      </c>
      <c r="C14" s="139">
        <f>SUMIF('РСС ИП '!$C$8:$C$2568,3,'РСС ИП '!$H$8:$H$2568)</f>
        <v>0</v>
      </c>
      <c r="D14" s="140">
        <f>SUMIF('РСС ИП '!$C$10:$C$2660,3,'РСС ИП '!$Q$10:$Q$2660)</f>
        <v>0</v>
      </c>
      <c r="E14" s="140">
        <f>SUMIF('РСС ИП '!$C$10:$C$2660,3,'РСС ИП '!$R$10:$R$2660)</f>
        <v>0</v>
      </c>
      <c r="F14" s="140">
        <f>SUMIF('РСС ИП '!$C$10:$C$2660,3,'РСС ИП '!$S$10:$S$2660)</f>
        <v>0</v>
      </c>
      <c r="G14" s="140">
        <f>SUMIF('РСС ИП '!$C$10:$C$2660,3,'РСС ИП '!$T$10:$T$2660)-H14</f>
        <v>0</v>
      </c>
      <c r="H14" s="140">
        <f>SUMIF('РСС ИП '!$C$10:$C$2660,33,'РСС ИП '!$T$10:$T$2660)</f>
        <v>0</v>
      </c>
      <c r="I14" s="140">
        <f t="shared" si="0"/>
        <v>0</v>
      </c>
      <c r="J14" s="141"/>
      <c r="K14" s="141"/>
      <c r="L14" s="141"/>
      <c r="M14" s="141"/>
      <c r="N14" s="141"/>
      <c r="O14" s="141"/>
    </row>
    <row r="15" spans="1:15" ht="25.5" customHeight="1">
      <c r="A15" s="137">
        <v>4</v>
      </c>
      <c r="B15" s="138" t="s">
        <v>90</v>
      </c>
      <c r="C15" s="139">
        <f>SUMIF('РСС ИП '!$C$8:$C$2568,4,'РСС ИП '!$H$8:$H$2568)</f>
        <v>0</v>
      </c>
      <c r="D15" s="140">
        <f>SUMIF('РСС ИП '!$C$10:$C$2660,4,'РСС ИП '!$Q$10:$Q$2660)</f>
        <v>0</v>
      </c>
      <c r="E15" s="140">
        <f>SUMIF('РСС ИП '!$C$10:$C$2660,4,'РСС ИП '!$R$10:$R$2660)</f>
        <v>0</v>
      </c>
      <c r="F15" s="140">
        <f>SUMIF('РСС ИП '!$C$10:$C$2660,4,'РСС ИП '!$S$10:$S$2660)</f>
        <v>0</v>
      </c>
      <c r="G15" s="140">
        <f>SUMIF('РСС ИП '!$C$10:$C$2660,4,'РСС ИП '!$T$10:$T$2660)-H15</f>
        <v>0</v>
      </c>
      <c r="H15" s="140">
        <f>SUMIF('РСС ИП '!$C$10:$C$2660,44,'РСС ИП '!$T$10:$T$2660)</f>
        <v>0</v>
      </c>
      <c r="I15" s="140">
        <f t="shared" si="0"/>
        <v>0</v>
      </c>
      <c r="J15" s="141"/>
      <c r="K15" s="141"/>
      <c r="L15" s="141"/>
      <c r="M15" s="141"/>
      <c r="N15" s="141"/>
      <c r="O15" s="141"/>
    </row>
    <row r="16" spans="1:15" ht="25.5" customHeight="1">
      <c r="A16" s="137">
        <v>9</v>
      </c>
      <c r="B16" s="138" t="s">
        <v>91</v>
      </c>
      <c r="C16" s="139">
        <f>SUMIF('РСС ИП '!$C$8:$C$2568,9,'РСС ИП '!$H$8:$H$2568)</f>
        <v>0</v>
      </c>
      <c r="D16" s="140">
        <f>SUMIF('РСС ИП '!$C$10:$C$2660,9,'РСС ИП '!$Q$10:$Q$2660)</f>
        <v>0</v>
      </c>
      <c r="E16" s="140">
        <f>SUMIF('РСС ИП '!$C$10:$C$2660,9,'РСС ИП '!$R$10:$R$2660)</f>
        <v>0</v>
      </c>
      <c r="F16" s="140">
        <f>SUMIF('РСС ИП '!$C$10:$C$2660,9,'РСС ИП '!$S$10:$S$2660)</f>
        <v>0</v>
      </c>
      <c r="G16" s="140">
        <f>SUMIF('РСС ИП '!$C$10:$C$2660,9,'РСС ИП '!$T$10:$T$2660)-H16</f>
        <v>0</v>
      </c>
      <c r="H16" s="140">
        <f>SUMIF('РСС ИП '!$C$10:$C$2660,99,'РСС ИП '!$T$10:$T$2660)</f>
        <v>0</v>
      </c>
      <c r="I16" s="140">
        <f t="shared" si="0"/>
        <v>0</v>
      </c>
      <c r="J16" s="141"/>
      <c r="K16" s="141"/>
      <c r="L16" s="141"/>
      <c r="M16" s="141"/>
      <c r="N16" s="141"/>
      <c r="O16" s="141"/>
    </row>
    <row r="17" spans="1:16" ht="25.5" customHeight="1">
      <c r="A17" s="137">
        <v>5</v>
      </c>
      <c r="B17" s="138" t="s">
        <v>92</v>
      </c>
      <c r="C17" s="139">
        <f>SUMIF('РСС ИП '!$C$8:$C$2568,5,'РСС ИП '!$H$8:$H$2568)</f>
        <v>0</v>
      </c>
      <c r="D17" s="140">
        <f>SUMIF('РСС ИП '!$C$10:$C$2660,5,'РСС ИП '!$Q$10:$Q$2660)</f>
        <v>0</v>
      </c>
      <c r="E17" s="140">
        <f>SUMIF('РСС ИП '!$C$10:$C$2660,5,'РСС ИП '!$R$10:$R$2660)</f>
        <v>0</v>
      </c>
      <c r="F17" s="140">
        <f>SUMIF('РСС ИП '!$C$10:$C$2660,5,'РСС ИП '!$S$10:$S$2660)</f>
        <v>0</v>
      </c>
      <c r="G17" s="140">
        <f>SUMIF('РСС ИП '!$C$10:$C$2660,5,'РСС ИП '!$T$10:$T$2660)-H17</f>
        <v>0</v>
      </c>
      <c r="H17" s="140">
        <f>SUMIF('РСС ИП '!$C$10:$C$2660,55,'РСС ИП '!$T$10:$T$2660)</f>
        <v>0</v>
      </c>
      <c r="I17" s="140">
        <f t="shared" si="0"/>
        <v>0</v>
      </c>
      <c r="J17" s="141"/>
      <c r="K17" s="141"/>
      <c r="L17" s="141"/>
      <c r="M17" s="141"/>
      <c r="N17" s="141"/>
      <c r="O17" s="141"/>
    </row>
    <row r="18" spans="1:16" ht="25.5" customHeight="1">
      <c r="A18" s="137">
        <v>10</v>
      </c>
      <c r="B18" s="138" t="s">
        <v>26</v>
      </c>
      <c r="C18" s="139">
        <f>SUMIF('РСС ИП '!$C$8:$C$2568,10,'РСС ИП '!$H$8:$H$2568)</f>
        <v>0.02</v>
      </c>
      <c r="D18" s="140">
        <f>SUMIF('РСС ИП '!$C$10:$C$2660,10,'РСС ИП '!$Q$10:$Q$2660)</f>
        <v>0</v>
      </c>
      <c r="E18" s="140">
        <f>SUMIF('РСС ИП '!$C$10:$C$2660,10,'РСС ИП '!$R$10:$R$2660)</f>
        <v>10.465199999999999</v>
      </c>
      <c r="F18" s="140">
        <f>SUMIF('РСС ИП '!$C$10:$C$2660,10,'РСС ИП '!$S$10:$S$2660)</f>
        <v>0.24239999999999998</v>
      </c>
      <c r="G18" s="140">
        <f>SUMIF('РСС ИП '!$C$10:$C$2660,10,'РСС ИП '!$T$10:$T$2660)-H18</f>
        <v>1.0468000000000002</v>
      </c>
      <c r="H18" s="140">
        <f>SUMIF('РСС ИП '!$C$10:$C$2660,1010,'РСС ИП '!$T$10:$T$2660)</f>
        <v>0.79719280000000003</v>
      </c>
      <c r="I18" s="140">
        <f t="shared" si="0"/>
        <v>12.5515928</v>
      </c>
      <c r="J18" s="141"/>
      <c r="K18" s="141"/>
      <c r="L18" s="141"/>
      <c r="M18" s="141"/>
      <c r="N18" s="141"/>
      <c r="O18" s="141"/>
    </row>
    <row r="19" spans="1:16" ht="25.5" customHeight="1">
      <c r="A19" s="137"/>
      <c r="B19" s="138" t="s">
        <v>93</v>
      </c>
      <c r="C19" s="137"/>
      <c r="D19" s="140">
        <f t="shared" ref="D19:I19" si="1">SUM(D10:D18)</f>
        <v>0</v>
      </c>
      <c r="E19" s="140">
        <f t="shared" si="1"/>
        <v>10.465199999999999</v>
      </c>
      <c r="F19" s="140">
        <f t="shared" si="1"/>
        <v>0.24239999999999998</v>
      </c>
      <c r="G19" s="140">
        <f t="shared" si="1"/>
        <v>1.0468000000000002</v>
      </c>
      <c r="H19" s="140">
        <f t="shared" si="1"/>
        <v>0.79719280000000003</v>
      </c>
      <c r="I19" s="142">
        <f t="shared" si="1"/>
        <v>12.5515928</v>
      </c>
      <c r="J19" s="141"/>
      <c r="K19" s="141"/>
      <c r="L19" s="141"/>
      <c r="M19" s="141"/>
      <c r="N19" s="141"/>
      <c r="O19" s="143"/>
    </row>
    <row r="20" spans="1:16">
      <c r="I20" s="144"/>
    </row>
    <row r="21" spans="1:16" ht="13.5" customHeight="1"/>
    <row r="22" spans="1:16" ht="41.25" customHeight="1">
      <c r="A22" s="843" t="s">
        <v>15</v>
      </c>
      <c r="B22" s="843" t="s">
        <v>56</v>
      </c>
      <c r="C22" s="843" t="s">
        <v>82</v>
      </c>
      <c r="D22" s="844" t="s">
        <v>94</v>
      </c>
      <c r="E22" s="844"/>
      <c r="F22" s="844"/>
      <c r="G22" s="844"/>
      <c r="H22" s="844"/>
      <c r="I22" s="844"/>
      <c r="J22" s="843" t="s">
        <v>95</v>
      </c>
    </row>
    <row r="23" spans="1:16" ht="31.5" customHeight="1">
      <c r="A23" s="843"/>
      <c r="B23" s="843"/>
      <c r="C23" s="843"/>
      <c r="D23" s="135" t="s">
        <v>83</v>
      </c>
      <c r="E23" s="135" t="s">
        <v>84</v>
      </c>
      <c r="F23" s="135" t="s">
        <v>25</v>
      </c>
      <c r="G23" s="135" t="s">
        <v>26</v>
      </c>
      <c r="H23" s="135" t="s">
        <v>8</v>
      </c>
      <c r="I23" s="135" t="s">
        <v>27</v>
      </c>
      <c r="J23" s="843"/>
    </row>
    <row r="24" spans="1:16" ht="20.25" customHeight="1">
      <c r="A24" s="137">
        <v>1</v>
      </c>
      <c r="B24" s="138" t="s">
        <v>85</v>
      </c>
      <c r="C24" s="139">
        <f t="shared" ref="C24:C32" si="2">C10</f>
        <v>0</v>
      </c>
      <c r="D24" s="433">
        <f>IF($C$6=2023,D10*Дефляторы!$L$5,IF($C$6=2024,D10*Дефляторы!$M$5,IF($C$6=2025,D10*Дефляторы!$N$5,IF($C$6=2026,D10*Дефляторы!$O$5,IF($C$6=2027,D10*Дефляторы!$P$5,0)))))</f>
        <v>0</v>
      </c>
      <c r="E24" s="433">
        <f>IF($C$6=2023,E10*Дефляторы!$L$5,IF($C$6=2024,E10*Дефляторы!$M$5,IF($C$6=2025,E10*Дефляторы!$N$5,IF($C$6=2026,E10*Дефляторы!$O$5,IF($C$6=2027,E10*Дефляторы!$P$5,0)))))</f>
        <v>0</v>
      </c>
      <c r="F24" s="433">
        <f>IF($C$6=2023,F10*Дефляторы!$L$5,IF($C$6=2024,F10*Дефляторы!$M$5,IF($C$6=2025,F10*Дефляторы!$N$5,IF($C$6=2026,F10*Дефляторы!$O$5,IF($C$6=2027,F10*Дефляторы!$P$5,0)))))</f>
        <v>0</v>
      </c>
      <c r="G24" s="433">
        <f>IF($C$6=2023,G10*Дефляторы!$L$5,IF($C$6=2024,G10*Дефляторы!$M$5,IF($C$6=2025,G10*Дефляторы!$N$5,IF($C$6=2026,G10*Дефляторы!$O$5,IF($C$6=2027,G10*Дефляторы!$P$5,0)))))</f>
        <v>0</v>
      </c>
      <c r="H24" s="433">
        <f>IF($C$7=2023,H10*Дефляторы!$L$5,IF($C$7=2024,H10*Дефляторы!$M$5,IF($C$7=2025,H10*Дефляторы!$N$5,IF($C$7=2026,H10*Дефляторы!$O$5,IF($C$7=2027,H10*Дефляторы!$P$5,0)))))</f>
        <v>0</v>
      </c>
      <c r="I24" s="140">
        <f t="shared" ref="I24:I32" si="3">SUM(D24:H24)</f>
        <v>0</v>
      </c>
      <c r="J24" s="145" t="e">
        <f t="shared" ref="J24:J32" si="4">I24/C24</f>
        <v>#DIV/0!</v>
      </c>
    </row>
    <row r="25" spans="1:16" ht="20.25" customHeight="1">
      <c r="A25" s="137">
        <v>2</v>
      </c>
      <c r="B25" s="138" t="s">
        <v>86</v>
      </c>
      <c r="C25" s="139">
        <f t="shared" si="2"/>
        <v>0</v>
      </c>
      <c r="D25" s="433">
        <f>IF($C$6=2023,D11*Дефляторы!$L$5,IF($C$6=2024,D11*Дефляторы!$M$5,IF($C$6=2025,D11*Дефляторы!$N$5,IF($C$6=2026,D11*Дефляторы!$O$5,IF($C$6=2027,D11*Дефляторы!$P$5,0)))))</f>
        <v>0</v>
      </c>
      <c r="E25" s="433">
        <f>IF($C$6=2023,E11*Дефляторы!$L$5,IF($C$6=2024,E11*Дефляторы!$M$5,IF($C$6=2025,E11*Дефляторы!$N$5,IF($C$6=2026,E11*Дефляторы!$O$5,IF($C$6=2027,E11*Дефляторы!$P$5,0)))))</f>
        <v>0</v>
      </c>
      <c r="F25" s="433">
        <f>IF($C$6=2023,F11*Дефляторы!$L$5,IF($C$6=2024,F11*Дефляторы!$M$5,IF($C$6=2025,F11*Дефляторы!$N$5,IF($C$6=2026,F11*Дефляторы!$O$5,IF($C$6=2027,F11*Дефляторы!$P$5,0)))))</f>
        <v>0</v>
      </c>
      <c r="G25" s="433">
        <f>IF($C$6=2023,G11*Дефляторы!$L$5,IF($C$6=2024,G11*Дефляторы!$M$5,IF($C$6=2025,G11*Дефляторы!$N$5,IF($C$6=2026,G11*Дефляторы!$O$5,IF($C$6=2027,G11*Дефляторы!$P$5,0)))))</f>
        <v>0</v>
      </c>
      <c r="H25" s="433">
        <f>IF($C$7=2023,H11*Дефляторы!$L$5,IF($C$7=2024,H11*Дефляторы!$M$5,IF($C$7=2025,H11*Дефляторы!$N$5,IF($C$7=2026,H11*Дефляторы!$O$5,IF($C$7=2027,H11*Дефляторы!$P$5,0)))))</f>
        <v>0</v>
      </c>
      <c r="I25" s="140">
        <f t="shared" si="3"/>
        <v>0</v>
      </c>
      <c r="J25" s="145" t="e">
        <f t="shared" si="4"/>
        <v>#DIV/0!</v>
      </c>
    </row>
    <row r="26" spans="1:16" ht="20.25" customHeight="1">
      <c r="A26" s="137">
        <v>6</v>
      </c>
      <c r="B26" s="138" t="s">
        <v>87</v>
      </c>
      <c r="C26" s="139">
        <f t="shared" si="2"/>
        <v>0</v>
      </c>
      <c r="D26" s="433">
        <f>IF($C$6=2023,D12*Дефляторы!$L$5,IF($C$6=2024,D12*Дефляторы!$M$5,IF($C$6=2025,D12*Дефляторы!$N$5,IF($C$6=2026,D12*Дефляторы!$O$5,IF($C$6=2027,D12*Дефляторы!$P$5,0)))))</f>
        <v>0</v>
      </c>
      <c r="E26" s="433">
        <f>IF($C$6=2023,E12*Дефляторы!$L$5,IF($C$6=2024,E12*Дефляторы!$M$5,IF($C$6=2025,E12*Дефляторы!$N$5,IF($C$6=2026,E12*Дефляторы!$O$5,IF($C$6=2027,E12*Дефляторы!$P$5,0)))))</f>
        <v>0</v>
      </c>
      <c r="F26" s="433">
        <f>IF($C$6=2023,F12*Дефляторы!$L$5,IF($C$6=2024,F12*Дефляторы!$M$5,IF($C$6=2025,F12*Дефляторы!$N$5,IF($C$6=2026,F12*Дефляторы!$O$5,IF($C$6=2027,F12*Дефляторы!$P$5,0)))))</f>
        <v>0</v>
      </c>
      <c r="G26" s="433">
        <f>IF($C$6=2023,G12*Дефляторы!$L$5,IF($C$6=2024,G12*Дефляторы!$M$5,IF($C$6=2025,G12*Дефляторы!$N$5,IF($C$6=2026,G12*Дефляторы!$O$5,IF($C$6=2027,G12*Дефляторы!$P$5,0)))))</f>
        <v>0</v>
      </c>
      <c r="H26" s="433">
        <f>IF($C$7=2023,H12*Дефляторы!$L$5,IF($C$7=2024,H12*Дефляторы!$M$5,IF($C$7=2025,H12*Дефляторы!$N$5,IF($C$7=2026,H12*Дефляторы!$O$5,IF($C$7=2027,H12*Дефляторы!$P$5,0)))))</f>
        <v>0</v>
      </c>
      <c r="I26" s="140">
        <f t="shared" si="3"/>
        <v>0</v>
      </c>
      <c r="J26" s="145" t="e">
        <f t="shared" si="4"/>
        <v>#DIV/0!</v>
      </c>
    </row>
    <row r="27" spans="1:16" ht="20.25" customHeight="1">
      <c r="A27" s="137">
        <v>7</v>
      </c>
      <c r="B27" s="138" t="s">
        <v>88</v>
      </c>
      <c r="C27" s="139">
        <f t="shared" si="2"/>
        <v>0</v>
      </c>
      <c r="D27" s="433">
        <f>IF($C$6=2023,D13*Дефляторы!$L$5,IF($C$6=2024,D13*Дефляторы!$M$5,IF($C$6=2025,D13*Дефляторы!$N$5,IF($C$6=2026,D13*Дефляторы!$O$5,IF($C$6=2027,D13*Дефляторы!$P$5,0)))))</f>
        <v>0</v>
      </c>
      <c r="E27" s="433">
        <f>IF($C$6=2023,E13*Дефляторы!$L$5,IF($C$6=2024,E13*Дефляторы!$M$5,IF($C$6=2025,E13*Дефляторы!$N$5,IF($C$6=2026,E13*Дефляторы!$O$5,IF($C$6=2027,E13*Дефляторы!$P$5,0)))))</f>
        <v>0</v>
      </c>
      <c r="F27" s="433">
        <f>IF($C$6=2023,F13*Дефляторы!$L$5,IF($C$6=2024,F13*Дефляторы!$M$5,IF($C$6=2025,F13*Дефляторы!$N$5,IF($C$6=2026,F13*Дефляторы!$O$5,IF($C$6=2027,F13*Дефляторы!$P$5,0)))))</f>
        <v>0</v>
      </c>
      <c r="G27" s="433">
        <f>IF($C$6=2023,G13*Дефляторы!$L$5,IF($C$6=2024,G13*Дефляторы!$M$5,IF($C$6=2025,G13*Дефляторы!$N$5,IF($C$6=2026,G13*Дефляторы!$O$5,IF($C$6=2027,G13*Дефляторы!$P$5,0)))))</f>
        <v>0</v>
      </c>
      <c r="H27" s="433">
        <f>IF($C$7=2023,H13*Дефляторы!$L$5,IF($C$7=2024,H13*Дефляторы!$M$5,IF($C$7=2025,H13*Дефляторы!$N$5,IF($C$7=2026,H13*Дефляторы!$O$5,IF($C$7=2027,H13*Дефляторы!$P$5,0)))))</f>
        <v>0</v>
      </c>
      <c r="I27" s="140">
        <f t="shared" si="3"/>
        <v>0</v>
      </c>
      <c r="J27" s="145" t="e">
        <f t="shared" si="4"/>
        <v>#DIV/0!</v>
      </c>
    </row>
    <row r="28" spans="1:16" ht="20.25" customHeight="1">
      <c r="A28" s="137">
        <v>3</v>
      </c>
      <c r="B28" s="138" t="s">
        <v>89</v>
      </c>
      <c r="C28" s="139">
        <f t="shared" si="2"/>
        <v>0</v>
      </c>
      <c r="D28" s="433">
        <f>IF($C$6=2023,D14*Дефляторы!$L$5,IF($C$6=2024,D14*Дефляторы!$M$5,IF($C$6=2025,D14*Дефляторы!$N$5,IF($C$6=2026,D14*Дефляторы!$O$5,IF($C$6=2027,D14*Дефляторы!$P$5,0)))))</f>
        <v>0</v>
      </c>
      <c r="E28" s="433">
        <f>IF($C$6=2023,E14*Дефляторы!$L$5,IF($C$6=2024,E14*Дефляторы!$M$5,IF($C$6=2025,E14*Дефляторы!$N$5,IF($C$6=2026,E14*Дефляторы!$O$5,IF($C$6=2027,E14*Дефляторы!$P$5,0)))))</f>
        <v>0</v>
      </c>
      <c r="F28" s="433">
        <f>IF($C$6=2023,F14*Дефляторы!$L$5,IF($C$6=2024,F14*Дефляторы!$M$5,IF($C$6=2025,F14*Дефляторы!$N$5,IF($C$6=2026,F14*Дефляторы!$O$5,IF($C$6=2027,F14*Дефляторы!$P$5,0)))))</f>
        <v>0</v>
      </c>
      <c r="G28" s="433">
        <f>IF($C$6=2023,G14*Дефляторы!$L$5,IF($C$6=2024,G14*Дефляторы!$M$5,IF($C$6=2025,G14*Дефляторы!$N$5,IF($C$6=2026,G14*Дефляторы!$O$5,IF($C$6=2027,G14*Дефляторы!$P$5,0)))))</f>
        <v>0</v>
      </c>
      <c r="H28" s="433">
        <f>IF($C$7=2023,H14*Дефляторы!$L$5,IF($C$7=2024,H14*Дефляторы!$M$5,IF($C$7=2025,H14*Дефляторы!$N$5,IF($C$7=2026,H14*Дефляторы!$O$5,IF($C$7=2027,H14*Дефляторы!$P$5,0)))))</f>
        <v>0</v>
      </c>
      <c r="I28" s="140">
        <f t="shared" si="3"/>
        <v>0</v>
      </c>
      <c r="J28" s="145" t="e">
        <f t="shared" si="4"/>
        <v>#DIV/0!</v>
      </c>
    </row>
    <row r="29" spans="1:16" ht="20.25" customHeight="1">
      <c r="A29" s="137">
        <v>4</v>
      </c>
      <c r="B29" s="138" t="s">
        <v>90</v>
      </c>
      <c r="C29" s="139">
        <f t="shared" si="2"/>
        <v>0</v>
      </c>
      <c r="D29" s="433">
        <f>IF($C$6=2023,D15*Дефляторы!$L$5,IF($C$6=2024,D15*Дефляторы!$M$5,IF($C$6=2025,D15*Дефляторы!$N$5,IF($C$6=2026,D15*Дефляторы!$O$5,IF($C$6=2027,D15*Дефляторы!$P$5,0)))))</f>
        <v>0</v>
      </c>
      <c r="E29" s="433">
        <f>IF($C$6=2023,E15*Дефляторы!$L$5,IF($C$6=2024,E15*Дефляторы!$M$5,IF($C$6=2025,E15*Дефляторы!$N$5,IF($C$6=2026,E15*Дефляторы!$O$5,IF($C$6=2027,E15*Дефляторы!$P$5,0)))))</f>
        <v>0</v>
      </c>
      <c r="F29" s="433">
        <f>IF($C$6=2023,F15*Дефляторы!$L$5,IF($C$6=2024,F15*Дефляторы!$M$5,IF($C$6=2025,F15*Дефляторы!$N$5,IF($C$6=2026,F15*Дефляторы!$O$5,IF($C$6=2027,F15*Дефляторы!$P$5,0)))))</f>
        <v>0</v>
      </c>
      <c r="G29" s="433">
        <f>IF($C$6=2023,G15*Дефляторы!$L$5,IF($C$6=2024,G15*Дефляторы!$M$5,IF($C$6=2025,G15*Дефляторы!$N$5,IF($C$6=2026,G15*Дефляторы!$O$5,IF($C$6=2027,G15*Дефляторы!$P$5,0)))))</f>
        <v>0</v>
      </c>
      <c r="H29" s="433">
        <f>IF($C$7=2023,H15*Дефляторы!$L$5,IF($C$7=2024,H15*Дефляторы!$M$5,IF($C$7=2025,H15*Дефляторы!$N$5,IF($C$7=2026,H15*Дефляторы!$O$5,IF($C$7=2027,H15*Дефляторы!$P$5,0)))))</f>
        <v>0</v>
      </c>
      <c r="I29" s="140">
        <f t="shared" si="3"/>
        <v>0</v>
      </c>
      <c r="J29" s="145" t="e">
        <f t="shared" si="4"/>
        <v>#DIV/0!</v>
      </c>
    </row>
    <row r="30" spans="1:16" ht="20.25" customHeight="1">
      <c r="A30" s="137">
        <v>9</v>
      </c>
      <c r="B30" s="138" t="s">
        <v>91</v>
      </c>
      <c r="C30" s="139">
        <f t="shared" si="2"/>
        <v>0</v>
      </c>
      <c r="D30" s="433">
        <f>IF($C$6=2023,D16*Дефляторы!$L$5,IF($C$6=2024,D16*Дефляторы!$M$5,IF($C$6=2025,D16*Дефляторы!$N$5,IF($C$6=2026,D16*Дефляторы!$O$5,IF($C$6=2027,D16*Дефляторы!$P$5,0)))))</f>
        <v>0</v>
      </c>
      <c r="E30" s="433">
        <f>IF($C$6=2023,E16*Дефляторы!$L$5,IF($C$6=2024,E16*Дефляторы!$M$5,IF($C$6=2025,E16*Дефляторы!$N$5,IF($C$6=2026,E16*Дефляторы!$O$5,IF($C$6=2027,E16*Дефляторы!$P$5,0)))))</f>
        <v>0</v>
      </c>
      <c r="F30" s="433">
        <f>IF($C$6=2023,F16*Дефляторы!$L$5,IF($C$6=2024,F16*Дефляторы!$M$5,IF($C$6=2025,F16*Дефляторы!$N$5,IF($C$6=2026,F16*Дефляторы!$O$5,IF($C$6=2027,F16*Дефляторы!$P$5,0)))))</f>
        <v>0</v>
      </c>
      <c r="G30" s="433">
        <f>IF($C$6=2023,G16*Дефляторы!$L$5,IF($C$6=2024,G16*Дефляторы!$M$5,IF($C$6=2025,G16*Дефляторы!$N$5,IF($C$6=2026,G16*Дефляторы!$O$5,IF($C$6=2027,G16*Дефляторы!$P$5,0)))))</f>
        <v>0</v>
      </c>
      <c r="H30" s="433">
        <f>IF($C$7=2023,H16*Дефляторы!$L$5,IF($C$7=2024,H16*Дефляторы!$M$5,IF($C$7=2025,H16*Дефляторы!$N$5,IF($C$7=2026,H16*Дефляторы!$O$5,IF($C$7=2027,H16*Дефляторы!$P$5,0)))))</f>
        <v>0</v>
      </c>
      <c r="I30" s="140">
        <f t="shared" si="3"/>
        <v>0</v>
      </c>
      <c r="J30" s="145" t="e">
        <f t="shared" si="4"/>
        <v>#DIV/0!</v>
      </c>
    </row>
    <row r="31" spans="1:16" ht="20.25" customHeight="1">
      <c r="A31" s="137">
        <v>5</v>
      </c>
      <c r="B31" s="138" t="s">
        <v>92</v>
      </c>
      <c r="C31" s="139">
        <f t="shared" si="2"/>
        <v>0</v>
      </c>
      <c r="D31" s="433">
        <f>IF($C$6=2023,D17*Дефляторы!$L$5,IF($C$6=2024,D17*Дефляторы!$M$5,IF($C$6=2025,D17*Дефляторы!$N$5,IF($C$6=2026,D17*Дефляторы!$O$5,IF($C$6=2027,D17*Дефляторы!$P$5,0)))))</f>
        <v>0</v>
      </c>
      <c r="E31" s="433">
        <f>IF($C$6=2023,E17*Дефляторы!$L$5,IF($C$6=2024,E17*Дефляторы!$M$5,IF($C$6=2025,E17*Дефляторы!$N$5,IF($C$6=2026,E17*Дефляторы!$O$5,IF($C$6=2027,E17*Дефляторы!$P$5,0)))))</f>
        <v>0</v>
      </c>
      <c r="F31" s="433">
        <f>IF($C$6=2023,F17*Дефляторы!$L$5,IF($C$6=2024,F17*Дефляторы!$M$5,IF($C$6=2025,F17*Дефляторы!$N$5,IF($C$6=2026,F17*Дефляторы!$O$5,IF($C$6=2027,F17*Дефляторы!$P$5,0)))))</f>
        <v>0</v>
      </c>
      <c r="G31" s="433">
        <f>IF($C$6=2023,G17*Дефляторы!$L$5,IF($C$6=2024,G17*Дефляторы!$M$5,IF($C$6=2025,G17*Дефляторы!$N$5,IF($C$6=2026,G17*Дефляторы!$O$5,IF($C$6=2027,G17*Дефляторы!$P$5,0)))))</f>
        <v>0</v>
      </c>
      <c r="H31" s="433">
        <f>IF($C$7=2023,H17*Дефляторы!$L$5,IF($C$7=2024,H17*Дефляторы!$M$5,IF($C$7=2025,H17*Дефляторы!$N$5,IF($C$7=2026,H17*Дефляторы!$O$5,IF($C$7=2027,H17*Дефляторы!$P$5,0)))))</f>
        <v>0</v>
      </c>
      <c r="I31" s="140">
        <f t="shared" si="3"/>
        <v>0</v>
      </c>
      <c r="J31" s="145" t="e">
        <f t="shared" si="4"/>
        <v>#DIV/0!</v>
      </c>
      <c r="P31" s="146"/>
    </row>
    <row r="32" spans="1:16" ht="20.25" customHeight="1">
      <c r="A32" s="137">
        <v>10</v>
      </c>
      <c r="B32" s="138" t="s">
        <v>26</v>
      </c>
      <c r="C32" s="139">
        <f t="shared" si="2"/>
        <v>0.02</v>
      </c>
      <c r="D32" s="433">
        <f>IF($C$6=2023,D18*Дефляторы!$L$5,IF($C$6=2024,D18*Дефляторы!$M$5,IF($C$6=2025,D18*Дефляторы!$N$5,IF($C$6=2026,D18*Дефляторы!$O$5,IF($C$6=2027,D18*Дефляторы!$P$5,0)))))</f>
        <v>0</v>
      </c>
      <c r="E32" s="433">
        <f>IF($C$6=2023,E18*Дефляторы!$L$5,IF($C$6=2024,E18*Дефляторы!$M$5,IF($C$6=2025,E18*Дефляторы!$N$5,IF($C$6=2026,E18*Дефляторы!$O$5,IF($C$6=2027,E18*Дефляторы!$P$5,0)))))</f>
        <v>11.548714482000001</v>
      </c>
      <c r="F32" s="433">
        <f>IF($C$6=2023,F18*Дефляторы!$L$5,IF($C$6=2024,F18*Дефляторы!$M$5,IF($C$6=2025,F18*Дефляторы!$N$5,IF($C$6=2026,F18*Дефляторы!$O$5,IF($C$6=2027,F18*Дефляторы!$P$5,0)))))</f>
        <v>0.26749688399999999</v>
      </c>
      <c r="G32" s="433">
        <f>IF($C$6=2023,G18*Дефляторы!$L$5,IF($C$6=2024,G18*Дефляторы!$M$5,IF($C$6=2025,G18*Дефляторы!$N$5,IF($C$6=2026,G18*Дефляторы!$O$5,IF($C$6=2027,G18*Дефляторы!$P$5,0)))))</f>
        <v>1.1551804380000004</v>
      </c>
      <c r="H32" s="433">
        <f>IF($C$7=2023,H18*Дефляторы!$L$5,IF($C$7=2024,H18*Дефляторы!$M$5,IF($C$7=2025,H18*Дефляторы!$N$5,IF($C$7=2026,H18*Дефляторы!$O$5,IF($C$7=2027,H18*Дефляторы!$P$5,0)))))</f>
        <v>0.87973015654800013</v>
      </c>
      <c r="I32" s="140">
        <f t="shared" si="3"/>
        <v>13.851121960548001</v>
      </c>
      <c r="J32" s="145">
        <f t="shared" si="4"/>
        <v>692.55609802740003</v>
      </c>
    </row>
    <row r="33" spans="1:10" ht="20.25" customHeight="1">
      <c r="A33" s="137"/>
      <c r="B33" s="138" t="s">
        <v>93</v>
      </c>
      <c r="C33" s="137"/>
      <c r="D33" s="140">
        <f t="shared" ref="D33:I33" si="5">SUM(D24:D32)</f>
        <v>0</v>
      </c>
      <c r="E33" s="140">
        <f t="shared" si="5"/>
        <v>11.548714482000001</v>
      </c>
      <c r="F33" s="140">
        <f t="shared" si="5"/>
        <v>0.26749688399999999</v>
      </c>
      <c r="G33" s="140">
        <f t="shared" si="5"/>
        <v>1.1551804380000004</v>
      </c>
      <c r="H33" s="140">
        <f t="shared" si="5"/>
        <v>0.87973015654800013</v>
      </c>
      <c r="I33" s="142">
        <f t="shared" si="5"/>
        <v>13.851121960548001</v>
      </c>
      <c r="J33" s="145"/>
    </row>
  </sheetData>
  <mergeCells count="14">
    <mergeCell ref="A22:A23"/>
    <mergeCell ref="B22:B23"/>
    <mergeCell ref="C22:C23"/>
    <mergeCell ref="D22:I22"/>
    <mergeCell ref="J22:J23"/>
    <mergeCell ref="A2:J2"/>
    <mergeCell ref="C4:J4"/>
    <mergeCell ref="A6:B6"/>
    <mergeCell ref="A7:B7"/>
    <mergeCell ref="A8:A9"/>
    <mergeCell ref="B8:B9"/>
    <mergeCell ref="C8:C9"/>
    <mergeCell ref="D8:I8"/>
    <mergeCell ref="J8:O8"/>
  </mergeCells>
  <conditionalFormatting sqref="J27">
    <cfRule type="cellIs" dxfId="4" priority="1" stopIfTrue="1" operator="greaterThan">
      <formula>0</formula>
    </cfRule>
  </conditionalFormatting>
  <conditionalFormatting sqref="J24:J26 J28:J33">
    <cfRule type="cellIs" dxfId="3" priority="2" stopIfTrue="1" operator="greaterThan">
      <formula>0</formula>
    </cfRule>
  </conditionalFormatting>
  <pageMargins left="0.7" right="0.7" top="0.75" bottom="0.75" header="0.3" footer="0.3"/>
  <pageSetup paperSize="9" scale="53" orientation="landscape" horizontalDpi="300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38"/>
  <sheetViews>
    <sheetView view="pageBreakPreview" zoomScale="70" zoomScaleNormal="80" zoomScaleSheetLayoutView="70" workbookViewId="0">
      <selection activeCell="Y22" sqref="Y22"/>
    </sheetView>
  </sheetViews>
  <sheetFormatPr defaultRowHeight="15" outlineLevelCol="1"/>
  <cols>
    <col min="1" max="1" width="10.140625" customWidth="1"/>
    <col min="2" max="3" width="9.140625" hidden="1" customWidth="1" outlineLevel="1"/>
    <col min="4" max="4" width="69.28515625" customWidth="1" collapsed="1"/>
    <col min="5" max="13" width="9.140625" hidden="1" customWidth="1" outlineLevel="1"/>
    <col min="14" max="14" width="15.28515625" customWidth="1" collapsed="1"/>
    <col min="15" max="15" width="16.7109375" customWidth="1"/>
    <col min="16" max="16" width="17.5703125" customWidth="1"/>
    <col min="17" max="17" width="22.7109375" customWidth="1"/>
    <col min="18" max="18" width="18.5703125" customWidth="1"/>
    <col min="19" max="19" width="18.140625" customWidth="1"/>
    <col min="20" max="21" width="17.5703125" customWidth="1"/>
    <col min="22" max="22" width="17.5703125" style="148" customWidth="1"/>
    <col min="23" max="23" width="29.85546875" customWidth="1"/>
    <col min="24" max="24" width="26.140625" customWidth="1"/>
    <col min="25" max="25" width="13.85546875" customWidth="1"/>
  </cols>
  <sheetData>
    <row r="1" spans="1:24" ht="16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W1" s="2"/>
      <c r="X1" s="147" t="s">
        <v>96</v>
      </c>
    </row>
    <row r="2" spans="1:24" ht="16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W2" s="2"/>
      <c r="X2" s="149" t="s">
        <v>97</v>
      </c>
    </row>
    <row r="3" spans="1:24" ht="16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W3" s="2"/>
      <c r="X3" s="149" t="s">
        <v>327</v>
      </c>
    </row>
    <row r="4" spans="1:24" ht="16.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4" ht="42" customHeight="1">
      <c r="A5" s="859" t="s">
        <v>98</v>
      </c>
      <c r="B5" s="859"/>
      <c r="C5" s="859"/>
      <c r="D5" s="859"/>
      <c r="E5" s="859"/>
      <c r="F5" s="859"/>
      <c r="G5" s="859"/>
      <c r="H5" s="859"/>
      <c r="I5" s="859"/>
      <c r="J5" s="859"/>
      <c r="K5" s="859"/>
      <c r="L5" s="859"/>
      <c r="M5" s="859"/>
      <c r="N5" s="859"/>
      <c r="O5" s="859"/>
      <c r="P5" s="859"/>
      <c r="Q5" s="859"/>
      <c r="R5" s="859"/>
      <c r="S5" s="859"/>
      <c r="T5" s="859"/>
      <c r="U5" s="859"/>
      <c r="V5" s="748"/>
      <c r="W5" s="748"/>
      <c r="X5" s="748"/>
    </row>
    <row r="6" spans="1:24" ht="21" customHeight="1">
      <c r="A6" s="150"/>
      <c r="B6" s="150"/>
      <c r="C6" s="150"/>
      <c r="D6" s="150"/>
      <c r="E6" s="150"/>
      <c r="F6" s="150"/>
      <c r="G6" s="150"/>
      <c r="H6" s="4"/>
      <c r="I6" s="4"/>
      <c r="J6" s="4"/>
      <c r="K6" s="4"/>
      <c r="L6" s="4"/>
      <c r="M6" s="4"/>
      <c r="N6" s="860" t="s">
        <v>350</v>
      </c>
      <c r="O6" s="860"/>
      <c r="P6" s="860"/>
      <c r="Q6" s="860"/>
      <c r="R6" s="860"/>
      <c r="S6" s="861"/>
      <c r="T6" s="861"/>
      <c r="U6" s="150"/>
    </row>
    <row r="7" spans="1:24" ht="21" customHeight="1">
      <c r="A7" s="858" t="s">
        <v>99</v>
      </c>
      <c r="B7" s="858"/>
      <c r="C7" s="858"/>
      <c r="D7" s="858"/>
      <c r="E7" s="4"/>
      <c r="F7" s="4"/>
      <c r="G7" s="4"/>
      <c r="H7" s="4"/>
      <c r="I7" s="4"/>
      <c r="J7" s="4"/>
      <c r="K7" s="4"/>
      <c r="L7" s="4"/>
      <c r="M7" s="4"/>
      <c r="N7" s="846" t="str">
        <f>'Данные '!I5</f>
        <v>Заявитель: Чупахина Алла Анатольевна, Объект: Жилой дом. Адрес: Российская Федерация, Московская область, муниципальный округ Серебряные Пруды, село Узуново, территория садоводческого некоммерческого товарищество "Узуново-2", дом 112, кадастровый номер жилого дома: 50:39:0020204:310; кадастровый номер земельного участка: 50:39:0020204:195.</v>
      </c>
      <c r="O7" s="846"/>
      <c r="P7" s="846"/>
      <c r="Q7" s="846"/>
      <c r="R7" s="846"/>
      <c r="S7" s="846"/>
      <c r="T7" s="846"/>
      <c r="U7" s="846"/>
    </row>
    <row r="8" spans="1:24" ht="6" customHeight="1">
      <c r="A8" s="858"/>
      <c r="B8" s="858"/>
      <c r="C8" s="858"/>
      <c r="D8" s="858"/>
      <c r="E8" s="4"/>
      <c r="F8" s="4"/>
      <c r="G8" s="4"/>
      <c r="H8" s="4"/>
      <c r="I8" s="4"/>
      <c r="J8" s="4"/>
      <c r="K8" s="4"/>
      <c r="L8" s="4"/>
      <c r="M8" s="4"/>
      <c r="N8" s="846"/>
      <c r="O8" s="846"/>
      <c r="P8" s="846"/>
      <c r="Q8" s="846"/>
      <c r="R8" s="846"/>
      <c r="S8" s="846"/>
      <c r="T8" s="846"/>
      <c r="U8" s="846"/>
    </row>
    <row r="9" spans="1:24" ht="24.75" customHeight="1">
      <c r="A9" s="846" t="s">
        <v>100</v>
      </c>
      <c r="B9" s="846"/>
      <c r="C9" s="846"/>
      <c r="D9" s="846"/>
      <c r="E9" s="846"/>
      <c r="F9" s="846"/>
      <c r="G9" s="846"/>
      <c r="H9" s="846"/>
      <c r="I9" s="846"/>
      <c r="J9" s="846"/>
      <c r="K9" s="846"/>
      <c r="L9" s="846"/>
      <c r="M9" s="846"/>
      <c r="N9" s="846"/>
      <c r="O9" s="846"/>
      <c r="P9" s="846"/>
      <c r="Q9" s="1" t="str">
        <f>'Данные '!I20</f>
        <v>МО</v>
      </c>
      <c r="R9" s="151"/>
      <c r="S9" s="151"/>
      <c r="T9" s="151"/>
      <c r="U9" s="151"/>
    </row>
    <row r="10" spans="1:24" ht="12.75" customHeight="1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"/>
      <c r="R10" s="151"/>
      <c r="S10" s="151"/>
      <c r="T10" s="151"/>
      <c r="U10" s="151"/>
    </row>
    <row r="11" spans="1:24" ht="24" customHeight="1">
      <c r="A11" s="847" t="s">
        <v>101</v>
      </c>
      <c r="B11" s="848" t="s">
        <v>102</v>
      </c>
      <c r="C11" s="848" t="s">
        <v>103</v>
      </c>
      <c r="D11" s="848" t="s">
        <v>104</v>
      </c>
      <c r="E11" s="848" t="s">
        <v>105</v>
      </c>
      <c r="F11" s="849" t="s">
        <v>106</v>
      </c>
      <c r="G11" s="850"/>
      <c r="H11" s="850"/>
      <c r="I11" s="850"/>
      <c r="J11" s="850"/>
      <c r="K11" s="850"/>
      <c r="L11" s="850"/>
      <c r="M11" s="851"/>
      <c r="N11" s="856" t="s">
        <v>107</v>
      </c>
      <c r="O11" s="856"/>
      <c r="P11" s="856"/>
      <c r="Q11" s="856"/>
      <c r="R11" s="856"/>
      <c r="S11" s="856"/>
      <c r="T11" s="856"/>
      <c r="U11" s="856"/>
      <c r="V11" s="857"/>
      <c r="W11" s="857"/>
      <c r="X11" s="857"/>
    </row>
    <row r="12" spans="1:24" ht="29.25" customHeight="1">
      <c r="A12" s="847"/>
      <c r="B12" s="848"/>
      <c r="C12" s="848"/>
      <c r="D12" s="848"/>
      <c r="E12" s="848"/>
      <c r="F12" s="852" t="s">
        <v>108</v>
      </c>
      <c r="G12" s="853"/>
      <c r="H12" s="853"/>
      <c r="I12" s="854"/>
      <c r="J12" s="852" t="s">
        <v>109</v>
      </c>
      <c r="K12" s="853"/>
      <c r="L12" s="853"/>
      <c r="M12" s="854"/>
      <c r="N12" s="855" t="s">
        <v>364</v>
      </c>
      <c r="O12" s="855"/>
      <c r="P12" s="855"/>
      <c r="Q12" s="855"/>
      <c r="R12" s="855"/>
      <c r="S12" s="855"/>
      <c r="T12" s="855"/>
      <c r="U12" s="855"/>
      <c r="V12" s="855"/>
      <c r="W12" s="855"/>
      <c r="X12" s="855"/>
    </row>
    <row r="13" spans="1:24" ht="81.75" customHeight="1">
      <c r="A13" s="847"/>
      <c r="B13" s="848"/>
      <c r="C13" s="848"/>
      <c r="D13" s="848"/>
      <c r="E13" s="848"/>
      <c r="F13" s="153" t="s">
        <v>110</v>
      </c>
      <c r="G13" s="153" t="s">
        <v>111</v>
      </c>
      <c r="H13" s="153" t="s">
        <v>112</v>
      </c>
      <c r="I13" s="153" t="s">
        <v>113</v>
      </c>
      <c r="J13" s="153" t="s">
        <v>114</v>
      </c>
      <c r="K13" s="153" t="s">
        <v>115</v>
      </c>
      <c r="L13" s="153" t="s">
        <v>116</v>
      </c>
      <c r="M13" s="154" t="s">
        <v>117</v>
      </c>
      <c r="N13" s="463" t="s">
        <v>110</v>
      </c>
      <c r="O13" s="463" t="s">
        <v>111</v>
      </c>
      <c r="P13" s="463" t="s">
        <v>112</v>
      </c>
      <c r="Q13" s="463" t="s">
        <v>365</v>
      </c>
      <c r="R13" s="463" t="s">
        <v>114</v>
      </c>
      <c r="S13" s="463" t="s">
        <v>366</v>
      </c>
      <c r="T13" s="463" t="s">
        <v>342</v>
      </c>
      <c r="U13" s="463" t="s">
        <v>343</v>
      </c>
      <c r="V13" s="463" t="s">
        <v>344</v>
      </c>
      <c r="W13" s="463" t="s">
        <v>116</v>
      </c>
      <c r="X13" s="464" t="s">
        <v>367</v>
      </c>
    </row>
    <row r="14" spans="1:24" ht="15.75">
      <c r="A14" s="155" t="s">
        <v>118</v>
      </c>
      <c r="B14" s="155" t="s">
        <v>119</v>
      </c>
      <c r="C14" s="155" t="s">
        <v>120</v>
      </c>
      <c r="D14" s="155" t="s">
        <v>121</v>
      </c>
      <c r="E14" s="155" t="s">
        <v>122</v>
      </c>
      <c r="F14" s="155" t="s">
        <v>123</v>
      </c>
      <c r="G14" s="155" t="s">
        <v>124</v>
      </c>
      <c r="H14" s="155" t="s">
        <v>125</v>
      </c>
      <c r="I14" s="155" t="s">
        <v>126</v>
      </c>
      <c r="J14" s="155" t="s">
        <v>127</v>
      </c>
      <c r="K14" s="155" t="s">
        <v>128</v>
      </c>
      <c r="L14" s="155" t="s">
        <v>129</v>
      </c>
      <c r="M14" s="155" t="s">
        <v>130</v>
      </c>
      <c r="N14" s="155" t="s">
        <v>131</v>
      </c>
      <c r="O14" s="155" t="s">
        <v>132</v>
      </c>
      <c r="P14" s="155" t="s">
        <v>133</v>
      </c>
      <c r="Q14" s="155" t="s">
        <v>134</v>
      </c>
      <c r="R14" s="155" t="s">
        <v>135</v>
      </c>
      <c r="S14" s="473" t="s">
        <v>136</v>
      </c>
      <c r="T14" s="473" t="s">
        <v>137</v>
      </c>
      <c r="U14" s="473" t="s">
        <v>138</v>
      </c>
      <c r="V14" s="473" t="s">
        <v>345</v>
      </c>
      <c r="W14" s="473" t="s">
        <v>346</v>
      </c>
      <c r="X14" s="473" t="s">
        <v>347</v>
      </c>
    </row>
    <row r="15" spans="1:24" s="156" customFormat="1" ht="42.75" customHeight="1">
      <c r="A15" s="465"/>
      <c r="B15" s="452"/>
      <c r="C15" s="452"/>
      <c r="D15" s="453"/>
      <c r="E15" s="452"/>
      <c r="F15" s="452"/>
      <c r="G15" s="452"/>
      <c r="H15" s="452"/>
      <c r="I15" s="452"/>
      <c r="J15" s="452"/>
      <c r="K15" s="452"/>
      <c r="L15" s="452"/>
      <c r="M15" s="452"/>
      <c r="N15" s="466"/>
      <c r="O15" s="467"/>
      <c r="P15" s="467"/>
      <c r="Q15" s="467"/>
      <c r="R15" s="467"/>
      <c r="S15" s="474"/>
      <c r="T15" s="468"/>
      <c r="U15" s="468"/>
      <c r="V15" s="485"/>
      <c r="W15" s="485"/>
      <c r="X15" s="485"/>
    </row>
    <row r="16" spans="1:24" s="156" customFormat="1" ht="42.75" customHeight="1">
      <c r="A16" s="469"/>
      <c r="B16" s="461"/>
      <c r="C16" s="461"/>
      <c r="D16" s="462"/>
      <c r="E16" s="461"/>
      <c r="F16" s="461"/>
      <c r="G16" s="461"/>
      <c r="H16" s="461"/>
      <c r="I16" s="461"/>
      <c r="J16" s="461"/>
      <c r="K16" s="461"/>
      <c r="L16" s="461"/>
      <c r="M16" s="461"/>
      <c r="N16" s="470"/>
      <c r="O16" s="471"/>
      <c r="P16" s="471"/>
      <c r="Q16" s="471"/>
      <c r="R16" s="471"/>
      <c r="S16" s="475"/>
      <c r="T16" s="468"/>
      <c r="U16" s="468"/>
      <c r="V16" s="485"/>
      <c r="W16" s="485"/>
      <c r="X16" s="485"/>
    </row>
    <row r="17" spans="1:25" s="156" customFormat="1" ht="42.75" customHeight="1">
      <c r="A17" s="469"/>
      <c r="B17" s="461"/>
      <c r="C17" s="461"/>
      <c r="D17" s="462"/>
      <c r="E17" s="461"/>
      <c r="F17" s="461"/>
      <c r="G17" s="461"/>
      <c r="H17" s="461"/>
      <c r="I17" s="461"/>
      <c r="J17" s="461"/>
      <c r="K17" s="461"/>
      <c r="L17" s="461"/>
      <c r="M17" s="461"/>
      <c r="N17" s="470"/>
      <c r="O17" s="471"/>
      <c r="P17" s="471"/>
      <c r="Q17" s="471"/>
      <c r="R17" s="471"/>
      <c r="S17" s="475"/>
      <c r="T17" s="468"/>
      <c r="U17" s="468"/>
      <c r="V17" s="485"/>
      <c r="W17" s="485"/>
      <c r="X17" s="485"/>
    </row>
    <row r="18" spans="1:25" s="156" customFormat="1" ht="42.75" customHeight="1">
      <c r="A18" s="469"/>
      <c r="B18" s="461"/>
      <c r="C18" s="461"/>
      <c r="D18" s="462"/>
      <c r="E18" s="461"/>
      <c r="F18" s="461"/>
      <c r="G18" s="461"/>
      <c r="H18" s="461"/>
      <c r="I18" s="461"/>
      <c r="J18" s="461"/>
      <c r="K18" s="461"/>
      <c r="L18" s="461"/>
      <c r="M18" s="461"/>
      <c r="N18" s="470"/>
      <c r="O18" s="471"/>
      <c r="P18" s="471"/>
      <c r="Q18" s="471"/>
      <c r="R18" s="471"/>
      <c r="S18" s="475"/>
      <c r="T18" s="468"/>
      <c r="U18" s="468"/>
      <c r="V18" s="485"/>
      <c r="W18" s="485"/>
      <c r="X18" s="485"/>
    </row>
    <row r="19" spans="1:25" s="156" customFormat="1" ht="42.75" customHeight="1">
      <c r="A19" s="469"/>
      <c r="B19" s="461"/>
      <c r="C19" s="461"/>
      <c r="D19" s="462"/>
      <c r="E19" s="461"/>
      <c r="F19" s="461"/>
      <c r="G19" s="461"/>
      <c r="H19" s="461"/>
      <c r="I19" s="461"/>
      <c r="J19" s="461"/>
      <c r="K19" s="461"/>
      <c r="L19" s="461"/>
      <c r="M19" s="461"/>
      <c r="N19" s="470"/>
      <c r="O19" s="471"/>
      <c r="P19" s="471"/>
      <c r="Q19" s="471"/>
      <c r="R19" s="471"/>
      <c r="S19" s="475"/>
      <c r="T19" s="468"/>
      <c r="U19" s="468"/>
      <c r="V19" s="485"/>
      <c r="W19" s="485"/>
      <c r="X19" s="485"/>
    </row>
    <row r="20" spans="1:25" s="156" customFormat="1" ht="42.75" customHeight="1">
      <c r="A20" s="469"/>
      <c r="B20" s="461"/>
      <c r="C20" s="461"/>
      <c r="D20" s="462"/>
      <c r="E20" s="461"/>
      <c r="F20" s="461"/>
      <c r="G20" s="461"/>
      <c r="H20" s="461"/>
      <c r="I20" s="461"/>
      <c r="J20" s="461"/>
      <c r="K20" s="461"/>
      <c r="L20" s="461"/>
      <c r="M20" s="461"/>
      <c r="N20" s="470"/>
      <c r="O20" s="471"/>
      <c r="P20" s="471"/>
      <c r="Q20" s="471"/>
      <c r="R20" s="471"/>
      <c r="S20" s="475"/>
      <c r="T20" s="468"/>
      <c r="U20" s="468"/>
      <c r="V20" s="485"/>
      <c r="W20" s="485"/>
      <c r="X20" s="485"/>
    </row>
    <row r="21" spans="1:25" s="156" customFormat="1" ht="42.75" customHeight="1">
      <c r="A21" s="469"/>
      <c r="B21" s="461"/>
      <c r="C21" s="461"/>
      <c r="D21" s="462"/>
      <c r="E21" s="461"/>
      <c r="F21" s="461"/>
      <c r="G21" s="461"/>
      <c r="H21" s="461"/>
      <c r="I21" s="461"/>
      <c r="J21" s="461"/>
      <c r="K21" s="461"/>
      <c r="L21" s="461"/>
      <c r="M21" s="461"/>
      <c r="N21" s="470"/>
      <c r="O21" s="471"/>
      <c r="P21" s="471"/>
      <c r="Q21" s="471"/>
      <c r="R21" s="471"/>
      <c r="S21" s="475"/>
      <c r="T21" s="468"/>
      <c r="U21" s="468"/>
      <c r="V21" s="485"/>
      <c r="W21" s="485"/>
      <c r="X21" s="485"/>
    </row>
    <row r="22" spans="1:25" ht="51" customHeight="1">
      <c r="A22" s="477"/>
      <c r="B22" s="157"/>
      <c r="C22" s="157"/>
      <c r="D22" s="158" t="s">
        <v>139</v>
      </c>
      <c r="E22" s="158" t="s">
        <v>139</v>
      </c>
      <c r="F22" s="157"/>
      <c r="G22" s="157"/>
      <c r="H22" s="157"/>
      <c r="I22" s="157"/>
      <c r="J22" s="157"/>
      <c r="K22" s="157"/>
      <c r="L22" s="157"/>
      <c r="M22" s="157"/>
      <c r="N22" s="157" t="s">
        <v>142</v>
      </c>
      <c r="O22" s="157" t="s">
        <v>140</v>
      </c>
      <c r="P22" s="157">
        <v>1</v>
      </c>
      <c r="Q22" s="157" t="s">
        <v>140</v>
      </c>
      <c r="R22" s="159">
        <f>IF(Y22&gt;1501000,"П6-15",IF(Y22&gt;1001000,"П6-14",IF(Y22&gt;501000,"П6-13",IF(Y22&gt;301000,"П6-12",IF(Y22&gt;151000,"П6-11",IF(Y22&gt;51000,"П6-10",IF(Y22&gt;21000,"П6-09",IF(Y22&gt;11000,"П6-08",IF(Y22&gt;6000,"П6-07",IF(Y22&gt;1100,"П6-06",IF(Y22&gt;600,"П6-05",IF(Y22&gt;200,"П6-04",IF(Y22&gt;51,"П6-03",IF(Y22&gt;31,"П6-02",IF(Y22&gt;3,"П6-01",0)))))))))))))))</f>
        <v>0</v>
      </c>
      <c r="S22" s="476">
        <f>IF(Y22&gt;1501000,"141833,70",IF(Y22&gt;1001000,"106375,28",IF(Y22&gt;501000,"70916,85",IF(Y22&gt;301000,"35458,43",IF(Y22&gt;151000,"21275,06",IF(Y22&gt;51000,"10637,53",IF(Y22&gt;21000,"4255,01",IF(Y22&gt;11000,"2127,51",IF(Y22&gt;6000,"709,17",IF(Y22&gt;1100,"425,50",IF(Y22&gt;600,"99,28",IF(Y22&gt;200,"56,73",IF(Y22&gt;51,"14,18",IF(Y22&gt;31,"7,09",IF(Y22&gt;3,"4,26",0)))))))))))))))</f>
        <v>0</v>
      </c>
      <c r="T22" s="476">
        <v>1</v>
      </c>
      <c r="U22" s="472">
        <v>1</v>
      </c>
      <c r="V22" s="486">
        <v>1</v>
      </c>
      <c r="W22" s="486">
        <v>1</v>
      </c>
      <c r="X22" s="486">
        <f>S22*T22*U22*V22*W22</f>
        <v>0</v>
      </c>
      <c r="Y22" s="160">
        <f>SUM(Y15:Y21)</f>
        <v>0</v>
      </c>
    </row>
    <row r="23" spans="1:25" ht="51" customHeight="1">
      <c r="A23" s="478"/>
      <c r="B23" s="479"/>
      <c r="C23" s="480"/>
      <c r="D23" s="481" t="s">
        <v>141</v>
      </c>
      <c r="E23" s="482" t="s">
        <v>142</v>
      </c>
      <c r="F23" s="482" t="s">
        <v>142</v>
      </c>
      <c r="G23" s="482" t="s">
        <v>142</v>
      </c>
      <c r="H23" s="482" t="s">
        <v>142</v>
      </c>
      <c r="I23" s="482" t="s">
        <v>142</v>
      </c>
      <c r="J23" s="482" t="s">
        <v>142</v>
      </c>
      <c r="K23" s="482" t="s">
        <v>142</v>
      </c>
      <c r="L23" s="482" t="s">
        <v>142</v>
      </c>
      <c r="M23" s="483"/>
      <c r="N23" s="482" t="s">
        <v>142</v>
      </c>
      <c r="O23" s="482" t="s">
        <v>142</v>
      </c>
      <c r="P23" s="482" t="s">
        <v>142</v>
      </c>
      <c r="Q23" s="482" t="s">
        <v>142</v>
      </c>
      <c r="R23" s="482" t="s">
        <v>142</v>
      </c>
      <c r="S23" s="482" t="s">
        <v>142</v>
      </c>
      <c r="T23" s="482" t="s">
        <v>142</v>
      </c>
      <c r="U23" s="482" t="s">
        <v>142</v>
      </c>
      <c r="V23" s="482" t="s">
        <v>142</v>
      </c>
      <c r="W23" s="482" t="s">
        <v>142</v>
      </c>
      <c r="X23" s="484">
        <f>SUM(X15:X22)</f>
        <v>0</v>
      </c>
    </row>
    <row r="24" spans="1:25" ht="51" customHeight="1"/>
    <row r="25" spans="1:25" ht="35.25" customHeight="1"/>
    <row r="27" spans="1:25" ht="44.25" customHeight="1"/>
    <row r="28" spans="1:25" ht="44.25" customHeight="1"/>
    <row r="29" spans="1:25" ht="44.25" customHeight="1"/>
    <row r="30" spans="1:25" ht="44.25" customHeight="1"/>
    <row r="31" spans="1:25" ht="44.25" customHeight="1"/>
    <row r="32" spans="1:25" ht="44.25" customHeight="1"/>
    <row r="33" ht="44.25" customHeight="1"/>
    <row r="34" ht="44.25" customHeight="1"/>
    <row r="35" ht="44.25" customHeight="1"/>
    <row r="36" ht="44.25" customHeight="1"/>
    <row r="37" ht="44.25" customHeight="1"/>
    <row r="38" ht="42" customHeight="1"/>
  </sheetData>
  <mergeCells count="17">
    <mergeCell ref="A7:D7"/>
    <mergeCell ref="N7:U7"/>
    <mergeCell ref="A8:D8"/>
    <mergeCell ref="N8:U8"/>
    <mergeCell ref="A5:X5"/>
    <mergeCell ref="N6:T6"/>
    <mergeCell ref="A9:P9"/>
    <mergeCell ref="A11:A13"/>
    <mergeCell ref="B11:B13"/>
    <mergeCell ref="C11:C13"/>
    <mergeCell ref="D11:D13"/>
    <mergeCell ref="E11:E13"/>
    <mergeCell ref="F11:M11"/>
    <mergeCell ref="F12:I12"/>
    <mergeCell ref="J12:M12"/>
    <mergeCell ref="N12:X12"/>
    <mergeCell ref="N11:X11"/>
  </mergeCells>
  <pageMargins left="0.23622047244094491" right="0.23622047244094491" top="0.23622047244094491" bottom="0.23622047244094491" header="0.31496062992125984" footer="0.31496062992125984"/>
  <pageSetup paperSize="9" scale="33" fitToHeight="0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25"/>
  <sheetViews>
    <sheetView view="pageBreakPreview" zoomScale="60" zoomScaleNormal="80" workbookViewId="0">
      <selection activeCell="E19" sqref="E19"/>
    </sheetView>
  </sheetViews>
  <sheetFormatPr defaultRowHeight="15"/>
  <cols>
    <col min="1" max="1" width="12.5703125" customWidth="1"/>
    <col min="2" max="2" width="48" customWidth="1"/>
    <col min="3" max="3" width="23.42578125" customWidth="1"/>
    <col min="4" max="4" width="26.7109375" customWidth="1"/>
    <col min="5" max="5" width="15.85546875" customWidth="1"/>
    <col min="6" max="6" width="19.140625" customWidth="1"/>
    <col min="7" max="8" width="23.28515625" customWidth="1"/>
  </cols>
  <sheetData>
    <row r="1" spans="1:8" ht="15.75">
      <c r="A1" s="162"/>
      <c r="B1" s="163"/>
      <c r="C1" s="164"/>
      <c r="D1" s="165"/>
      <c r="E1" s="166"/>
      <c r="F1" s="166"/>
      <c r="G1" s="167"/>
      <c r="H1" s="168"/>
    </row>
    <row r="2" spans="1:8" ht="29.25" customHeight="1">
      <c r="A2" s="862" t="s">
        <v>143</v>
      </c>
      <c r="B2" s="862"/>
      <c r="C2" s="862"/>
      <c r="D2" s="862"/>
      <c r="E2" s="863"/>
      <c r="F2" s="863"/>
      <c r="G2" s="863"/>
      <c r="H2" s="863"/>
    </row>
    <row r="3" spans="1:8" ht="63">
      <c r="A3" s="169" t="s">
        <v>101</v>
      </c>
      <c r="B3" s="170" t="s">
        <v>144</v>
      </c>
      <c r="C3" s="171" t="s">
        <v>106</v>
      </c>
      <c r="D3" s="161" t="s">
        <v>107</v>
      </c>
      <c r="E3" s="171" t="s">
        <v>106</v>
      </c>
      <c r="F3" s="161" t="s">
        <v>107</v>
      </c>
      <c r="G3" s="171" t="s">
        <v>106</v>
      </c>
      <c r="H3" s="161" t="s">
        <v>107</v>
      </c>
    </row>
    <row r="4" spans="1:8" ht="15.75">
      <c r="A4" s="172">
        <v>1</v>
      </c>
      <c r="B4" s="173">
        <v>2</v>
      </c>
      <c r="C4" s="172">
        <v>3</v>
      </c>
      <c r="D4" s="173">
        <v>4</v>
      </c>
      <c r="E4" s="172">
        <v>5</v>
      </c>
      <c r="F4" s="173">
        <v>6</v>
      </c>
      <c r="G4" s="172">
        <v>7</v>
      </c>
      <c r="H4" s="173">
        <v>8</v>
      </c>
    </row>
    <row r="5" spans="1:8" ht="74.25" customHeight="1">
      <c r="A5" s="174">
        <v>1</v>
      </c>
      <c r="B5" s="175" t="s">
        <v>145</v>
      </c>
      <c r="C5" s="176" t="s">
        <v>142</v>
      </c>
      <c r="D5" s="176" t="str">
        <f>'Ф20 '!U23</f>
        <v>нд</v>
      </c>
      <c r="E5" s="161" t="s">
        <v>142</v>
      </c>
      <c r="F5" s="161" t="s">
        <v>142</v>
      </c>
      <c r="G5" s="161" t="s">
        <v>142</v>
      </c>
      <c r="H5" s="161" t="s">
        <v>142</v>
      </c>
    </row>
    <row r="6" spans="1:8" ht="22.5" customHeight="1">
      <c r="A6" s="174">
        <v>2</v>
      </c>
      <c r="B6" s="175" t="s">
        <v>146</v>
      </c>
      <c r="C6" s="176" t="s">
        <v>142</v>
      </c>
      <c r="D6" s="176" t="e">
        <f>ROUND(D5*F6,2)</f>
        <v>#VALUE!</v>
      </c>
      <c r="E6" s="177">
        <v>0.18</v>
      </c>
      <c r="F6" s="177">
        <v>0.2</v>
      </c>
      <c r="G6" s="161" t="s">
        <v>142</v>
      </c>
      <c r="H6" s="161" t="s">
        <v>142</v>
      </c>
    </row>
    <row r="7" spans="1:8" ht="78.75">
      <c r="A7" s="174">
        <v>3</v>
      </c>
      <c r="B7" s="175" t="s">
        <v>147</v>
      </c>
      <c r="C7" s="176" t="s">
        <v>142</v>
      </c>
      <c r="D7" s="176" t="e">
        <f>D5+D6</f>
        <v>#VALUE!</v>
      </c>
      <c r="E7" s="161" t="s">
        <v>142</v>
      </c>
      <c r="F7" s="161" t="s">
        <v>142</v>
      </c>
      <c r="G7" s="161" t="s">
        <v>142</v>
      </c>
      <c r="H7" s="161" t="s">
        <v>142</v>
      </c>
    </row>
    <row r="8" spans="1:8" ht="47.25">
      <c r="A8" s="178">
        <v>4</v>
      </c>
      <c r="B8" s="179" t="s">
        <v>148</v>
      </c>
      <c r="C8" s="176" t="s">
        <v>142</v>
      </c>
      <c r="D8" s="180">
        <v>0</v>
      </c>
      <c r="E8" s="161" t="s">
        <v>142</v>
      </c>
      <c r="F8" s="161" t="s">
        <v>142</v>
      </c>
      <c r="G8" s="161" t="s">
        <v>142</v>
      </c>
      <c r="H8" s="161" t="s">
        <v>142</v>
      </c>
    </row>
    <row r="9" spans="1:8" ht="31.5">
      <c r="A9" s="178">
        <v>5</v>
      </c>
      <c r="B9" s="179" t="s">
        <v>149</v>
      </c>
      <c r="C9" s="176" t="s">
        <v>142</v>
      </c>
      <c r="D9" s="181" t="e">
        <f>D7-D8</f>
        <v>#VALUE!</v>
      </c>
      <c r="E9" s="161" t="s">
        <v>142</v>
      </c>
      <c r="F9" s="161" t="s">
        <v>142</v>
      </c>
      <c r="G9" s="161" t="s">
        <v>142</v>
      </c>
      <c r="H9" s="161" t="s">
        <v>142</v>
      </c>
    </row>
    <row r="10" spans="1:8" ht="47.25">
      <c r="A10" s="178">
        <v>6</v>
      </c>
      <c r="B10" s="179" t="s">
        <v>150</v>
      </c>
      <c r="C10" s="176" t="s">
        <v>142</v>
      </c>
      <c r="D10" s="181">
        <f>SUM(D11:D22)</f>
        <v>0</v>
      </c>
      <c r="E10" s="161" t="s">
        <v>142</v>
      </c>
      <c r="F10" s="161" t="s">
        <v>142</v>
      </c>
      <c r="G10" s="161" t="s">
        <v>142</v>
      </c>
      <c r="H10" s="161" t="s">
        <v>142</v>
      </c>
    </row>
    <row r="11" spans="1:8" ht="15.75">
      <c r="A11" s="178" t="s">
        <v>151</v>
      </c>
      <c r="B11" s="182" t="s">
        <v>152</v>
      </c>
      <c r="C11" s="176" t="s">
        <v>142</v>
      </c>
      <c r="D11" s="183">
        <v>0</v>
      </c>
      <c r="E11" s="184">
        <v>2015</v>
      </c>
      <c r="F11" s="184">
        <v>2018</v>
      </c>
      <c r="G11" s="185">
        <v>114.309722609321</v>
      </c>
      <c r="H11" s="186">
        <f>Дефляторы!G3</f>
        <v>105.2557</v>
      </c>
    </row>
    <row r="12" spans="1:8" ht="15.75">
      <c r="A12" s="178" t="s">
        <v>153</v>
      </c>
      <c r="B12" s="182" t="s">
        <v>154</v>
      </c>
      <c r="C12" s="176" t="s">
        <v>142</v>
      </c>
      <c r="D12" s="183">
        <v>0</v>
      </c>
      <c r="E12" s="184">
        <v>2016</v>
      </c>
      <c r="F12" s="184">
        <v>2019</v>
      </c>
      <c r="G12" s="187">
        <v>106.3005726762904</v>
      </c>
      <c r="H12" s="186">
        <f>Дефляторы!H3</f>
        <v>106.826398641827</v>
      </c>
    </row>
    <row r="13" spans="1:8" ht="15.75">
      <c r="A13" s="178" t="s">
        <v>155</v>
      </c>
      <c r="B13" s="182" t="s">
        <v>156</v>
      </c>
      <c r="C13" s="176" t="s">
        <v>142</v>
      </c>
      <c r="D13" s="183">
        <v>0</v>
      </c>
      <c r="E13" s="184">
        <v>2017</v>
      </c>
      <c r="F13" s="184">
        <v>2020</v>
      </c>
      <c r="G13" s="188">
        <v>103.69498560435535</v>
      </c>
      <c r="H13" s="186">
        <f>Дефляторы!I3</f>
        <v>105.56188522495653</v>
      </c>
    </row>
    <row r="14" spans="1:8" ht="15.75">
      <c r="A14" s="178" t="s">
        <v>157</v>
      </c>
      <c r="B14" s="182" t="s">
        <v>158</v>
      </c>
      <c r="C14" s="176" t="s">
        <v>142</v>
      </c>
      <c r="D14" s="183">
        <v>0</v>
      </c>
      <c r="E14" s="184">
        <v>2018</v>
      </c>
      <c r="F14" s="184">
        <v>2021</v>
      </c>
      <c r="G14" s="188">
        <f>H11</f>
        <v>105.2557</v>
      </c>
      <c r="H14" s="186">
        <f>Дефляторы!J3</f>
        <v>104.9354</v>
      </c>
    </row>
    <row r="15" spans="1:8" ht="15.75">
      <c r="A15" s="178" t="s">
        <v>159</v>
      </c>
      <c r="B15" s="182" t="s">
        <v>160</v>
      </c>
      <c r="C15" s="176" t="s">
        <v>142</v>
      </c>
      <c r="D15" s="183">
        <v>0</v>
      </c>
      <c r="E15" s="184">
        <v>2019</v>
      </c>
      <c r="F15" s="184">
        <v>2022</v>
      </c>
      <c r="G15" s="188">
        <f t="shared" ref="G15:G22" si="0">H12</f>
        <v>106.826398641827</v>
      </c>
      <c r="H15" s="186">
        <f>Дефляторы!K3</f>
        <v>114.63142733059361</v>
      </c>
    </row>
    <row r="16" spans="1:8" ht="15.75">
      <c r="A16" s="178" t="s">
        <v>161</v>
      </c>
      <c r="B16" s="182" t="s">
        <v>162</v>
      </c>
      <c r="C16" s="176" t="s">
        <v>142</v>
      </c>
      <c r="D16" s="183">
        <v>0</v>
      </c>
      <c r="E16" s="184">
        <v>2020</v>
      </c>
      <c r="F16" s="184">
        <v>2023</v>
      </c>
      <c r="G16" s="188">
        <f t="shared" si="0"/>
        <v>105.56188522495653</v>
      </c>
      <c r="H16" s="186">
        <f>Дефляторы!L3</f>
        <v>109.09646626082731</v>
      </c>
    </row>
    <row r="17" spans="1:8" ht="15.75">
      <c r="A17" s="178" t="s">
        <v>163</v>
      </c>
      <c r="B17" s="182" t="s">
        <v>164</v>
      </c>
      <c r="C17" s="176" t="s">
        <v>142</v>
      </c>
      <c r="D17" s="183">
        <v>0</v>
      </c>
      <c r="E17" s="184">
        <v>2021</v>
      </c>
      <c r="F17" s="184">
        <v>2024</v>
      </c>
      <c r="G17" s="188">
        <f t="shared" si="0"/>
        <v>104.9354</v>
      </c>
      <c r="H17" s="186">
        <f>Дефляторы!M3</f>
        <v>108.14</v>
      </c>
    </row>
    <row r="18" spans="1:8" ht="15.75">
      <c r="A18" s="178" t="s">
        <v>165</v>
      </c>
      <c r="B18" s="182" t="s">
        <v>166</v>
      </c>
      <c r="C18" s="176" t="s">
        <v>142</v>
      </c>
      <c r="D18" s="183">
        <v>0</v>
      </c>
      <c r="E18" s="184">
        <v>2022</v>
      </c>
      <c r="F18" s="184">
        <v>2025</v>
      </c>
      <c r="G18" s="188">
        <f t="shared" si="0"/>
        <v>114.63142733059361</v>
      </c>
      <c r="H18" s="186">
        <f>Дефляторы!N3</f>
        <v>107.4</v>
      </c>
    </row>
    <row r="19" spans="1:8" ht="15.75">
      <c r="A19" s="178" t="s">
        <v>167</v>
      </c>
      <c r="B19" s="182" t="s">
        <v>168</v>
      </c>
      <c r="C19" s="176" t="s">
        <v>142</v>
      </c>
      <c r="D19" s="183">
        <v>0</v>
      </c>
      <c r="E19" s="184">
        <v>2023</v>
      </c>
      <c r="F19" s="184">
        <v>2026</v>
      </c>
      <c r="G19" s="188">
        <f t="shared" si="0"/>
        <v>109.09646626082731</v>
      </c>
      <c r="H19" s="186">
        <f>Дефляторы!O3</f>
        <v>105.5</v>
      </c>
    </row>
    <row r="20" spans="1:8" ht="15.75">
      <c r="A20" s="178" t="s">
        <v>169</v>
      </c>
      <c r="B20" s="182" t="s">
        <v>170</v>
      </c>
      <c r="C20" s="176" t="s">
        <v>142</v>
      </c>
      <c r="D20" s="183">
        <v>0</v>
      </c>
      <c r="E20" s="184">
        <v>2024</v>
      </c>
      <c r="F20" s="184">
        <v>2027</v>
      </c>
      <c r="G20" s="188">
        <f t="shared" si="0"/>
        <v>108.14</v>
      </c>
      <c r="H20" s="186">
        <f>Дефляторы!P3</f>
        <v>104.1</v>
      </c>
    </row>
    <row r="21" spans="1:8" ht="15.75">
      <c r="A21" s="178" t="s">
        <v>171</v>
      </c>
      <c r="B21" s="182" t="s">
        <v>172</v>
      </c>
      <c r="C21" s="176" t="s">
        <v>142</v>
      </c>
      <c r="D21" s="183">
        <v>0</v>
      </c>
      <c r="E21" s="184">
        <v>2025</v>
      </c>
      <c r="F21" s="184">
        <v>2028</v>
      </c>
      <c r="G21" s="188">
        <f t="shared" si="0"/>
        <v>107.4</v>
      </c>
      <c r="H21" s="186">
        <f>Дефляторы!Q3</f>
        <v>104.1</v>
      </c>
    </row>
    <row r="22" spans="1:8" ht="15.75">
      <c r="A22" s="178" t="s">
        <v>173</v>
      </c>
      <c r="B22" s="182" t="s">
        <v>174</v>
      </c>
      <c r="C22" s="176" t="s">
        <v>142</v>
      </c>
      <c r="D22" s="183">
        <v>0</v>
      </c>
      <c r="E22" s="184">
        <v>2026</v>
      </c>
      <c r="F22" s="184">
        <v>2029</v>
      </c>
      <c r="G22" s="188">
        <f t="shared" si="0"/>
        <v>105.5</v>
      </c>
      <c r="H22" s="186">
        <f>Дефляторы!R3</f>
        <v>104.1</v>
      </c>
    </row>
    <row r="23" spans="1:8" ht="31.5">
      <c r="A23" s="178">
        <v>8</v>
      </c>
      <c r="B23" s="189" t="s">
        <v>175</v>
      </c>
      <c r="C23" s="176" t="s">
        <v>142</v>
      </c>
      <c r="D23" s="181" t="s">
        <v>142</v>
      </c>
      <c r="E23" s="161" t="s">
        <v>142</v>
      </c>
      <c r="F23" s="161" t="s">
        <v>142</v>
      </c>
      <c r="G23" s="161" t="s">
        <v>142</v>
      </c>
      <c r="H23" s="161" t="s">
        <v>142</v>
      </c>
    </row>
    <row r="24" spans="1:8" ht="78.75">
      <c r="A24" s="178" t="s">
        <v>126</v>
      </c>
      <c r="B24" s="189" t="s">
        <v>176</v>
      </c>
      <c r="C24" s="176" t="s">
        <v>142</v>
      </c>
      <c r="D24" s="180">
        <f t="shared" ref="D24" si="1">C27</f>
        <v>0</v>
      </c>
      <c r="E24" s="161" t="s">
        <v>142</v>
      </c>
      <c r="F24" s="161" t="s">
        <v>142</v>
      </c>
      <c r="G24" s="161" t="s">
        <v>142</v>
      </c>
      <c r="H24" s="161" t="s">
        <v>142</v>
      </c>
    </row>
    <row r="25" spans="1:8" ht="110.25">
      <c r="A25" s="178" t="s">
        <v>127</v>
      </c>
      <c r="B25" s="189" t="s">
        <v>177</v>
      </c>
      <c r="C25" s="176" t="s">
        <v>142</v>
      </c>
      <c r="D25" s="190" t="s">
        <v>142</v>
      </c>
      <c r="E25" s="161" t="s">
        <v>142</v>
      </c>
      <c r="F25" s="161" t="s">
        <v>142</v>
      </c>
      <c r="G25" s="161" t="s">
        <v>142</v>
      </c>
      <c r="H25" s="161" t="s">
        <v>142</v>
      </c>
    </row>
  </sheetData>
  <mergeCells count="1">
    <mergeCell ref="A2:H2"/>
  </mergeCells>
  <pageMargins left="0.7" right="0.7" top="0.75" bottom="0.75" header="0.3" footer="0.3"/>
  <pageSetup paperSize="9" scale="45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32"/>
  <sheetViews>
    <sheetView view="pageBreakPreview" zoomScale="70" zoomScaleNormal="50" zoomScaleSheetLayoutView="70" workbookViewId="0">
      <selection activeCell="F30" sqref="F30"/>
    </sheetView>
  </sheetViews>
  <sheetFormatPr defaultRowHeight="15"/>
  <cols>
    <col min="1" max="1" width="54.28515625" customWidth="1"/>
    <col min="2" max="2" width="18.42578125" customWidth="1"/>
    <col min="3" max="6" width="17.140625" customWidth="1"/>
    <col min="7" max="7" width="20.28515625" customWidth="1"/>
    <col min="8" max="9" width="17.140625" customWidth="1"/>
    <col min="10" max="10" width="20.140625" customWidth="1"/>
    <col min="11" max="11" width="21.85546875" customWidth="1"/>
    <col min="12" max="14" width="17.140625" customWidth="1"/>
  </cols>
  <sheetData>
    <row r="1" spans="1:19" ht="30.75" customHeight="1">
      <c r="A1" s="870" t="s">
        <v>178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  <c r="N1" s="752"/>
    </row>
    <row r="2" spans="1:19" ht="23.25" customHeight="1">
      <c r="A2" s="874" t="s">
        <v>329</v>
      </c>
      <c r="B2" s="874"/>
      <c r="C2" s="874"/>
      <c r="D2" s="440">
        <f>'Данные '!E15</f>
        <v>2026</v>
      </c>
      <c r="E2" s="441"/>
      <c r="F2" s="439"/>
      <c r="G2" s="439"/>
      <c r="H2" s="439"/>
      <c r="I2" s="439"/>
      <c r="J2" s="439"/>
      <c r="K2" s="439"/>
      <c r="L2" s="442"/>
      <c r="M2" s="442"/>
      <c r="N2" s="442"/>
      <c r="O2" s="442"/>
      <c r="P2" s="442"/>
      <c r="Q2" s="438"/>
      <c r="R2" s="438"/>
      <c r="S2" s="438"/>
    </row>
    <row r="3" spans="1:19" ht="42" customHeight="1">
      <c r="A3" s="871" t="s">
        <v>2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3"/>
    </row>
    <row r="4" spans="1:19" ht="6.75" customHeight="1"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</row>
    <row r="5" spans="1:19" ht="20.100000000000001" customHeight="1">
      <c r="A5" s="867" t="s">
        <v>179</v>
      </c>
      <c r="B5" s="868"/>
      <c r="C5" s="868"/>
      <c r="D5" s="868"/>
      <c r="E5" s="868"/>
      <c r="F5" s="869"/>
      <c r="G5" s="192">
        <f>'Прогнозная стоимость РСС ИП '!J20*1000</f>
        <v>13851121.960548002</v>
      </c>
      <c r="H5" s="191"/>
      <c r="I5" s="191"/>
      <c r="J5" s="191"/>
      <c r="K5" s="191"/>
      <c r="L5" s="191"/>
      <c r="M5" s="191"/>
      <c r="N5" s="191"/>
    </row>
    <row r="6" spans="1:19" ht="20.100000000000001" customHeight="1">
      <c r="A6" s="867" t="s">
        <v>180</v>
      </c>
      <c r="B6" s="868"/>
      <c r="C6" s="868"/>
      <c r="D6" s="868"/>
      <c r="E6" s="868"/>
      <c r="F6" s="869"/>
      <c r="G6" s="192">
        <f>'Прогнозная стоимость РСС ИП '!J22*1000</f>
        <v>16898368.79186856</v>
      </c>
      <c r="H6" s="193"/>
      <c r="J6" s="194"/>
      <c r="K6" s="191"/>
      <c r="L6" s="191"/>
      <c r="M6" s="191"/>
      <c r="N6" s="191"/>
    </row>
    <row r="7" spans="1:19" ht="6" customHeight="1">
      <c r="A7" s="195"/>
      <c r="B7" s="195"/>
      <c r="C7" s="196"/>
      <c r="D7" s="197"/>
      <c r="E7" s="198"/>
      <c r="F7" s="198"/>
      <c r="G7" s="199"/>
      <c r="H7" s="193"/>
      <c r="I7" s="193"/>
      <c r="J7" s="193"/>
      <c r="K7" s="191"/>
      <c r="L7" s="191"/>
      <c r="M7" s="191"/>
      <c r="N7" s="191"/>
    </row>
    <row r="8" spans="1:19" ht="20.100000000000001" customHeight="1">
      <c r="A8" s="864" t="s">
        <v>181</v>
      </c>
      <c r="B8" s="865"/>
      <c r="C8" s="865"/>
      <c r="D8" s="865"/>
      <c r="E8" s="865"/>
      <c r="F8" s="866"/>
      <c r="G8" s="200">
        <f>G9/1.2</f>
        <v>0</v>
      </c>
      <c r="H8" s="193"/>
      <c r="I8" s="193"/>
      <c r="J8" s="193"/>
      <c r="K8" s="191"/>
      <c r="L8" s="191"/>
      <c r="M8" s="191"/>
      <c r="N8" s="191"/>
    </row>
    <row r="9" spans="1:19" ht="20.100000000000001" customHeight="1">
      <c r="A9" s="864" t="s">
        <v>182</v>
      </c>
      <c r="B9" s="865"/>
      <c r="C9" s="865"/>
      <c r="D9" s="865"/>
      <c r="E9" s="865"/>
      <c r="F9" s="866"/>
      <c r="G9" s="200">
        <f>'Ф20 '!X23*1.2*1000</f>
        <v>0</v>
      </c>
      <c r="H9" s="193"/>
      <c r="I9" s="193"/>
      <c r="J9" s="193"/>
      <c r="K9" s="191"/>
      <c r="L9" s="191"/>
      <c r="M9" s="191"/>
      <c r="N9" s="191"/>
    </row>
    <row r="10" spans="1:19" ht="20.100000000000001" customHeight="1">
      <c r="A10" s="876" t="s">
        <v>183</v>
      </c>
      <c r="B10" s="877"/>
      <c r="C10" s="877"/>
      <c r="D10" s="877"/>
      <c r="E10" s="877"/>
      <c r="F10" s="878"/>
      <c r="G10" s="201">
        <f>G11/1.2</f>
        <v>0</v>
      </c>
      <c r="H10" s="193"/>
      <c r="I10" s="879" t="s">
        <v>184</v>
      </c>
      <c r="J10" s="879"/>
      <c r="K10" s="202">
        <f>ROUND(K11/1.2,0)</f>
        <v>12552</v>
      </c>
      <c r="L10" s="203" t="s">
        <v>185</v>
      </c>
      <c r="M10" s="203" t="s">
        <v>186</v>
      </c>
      <c r="N10" s="203" t="s">
        <v>26</v>
      </c>
    </row>
    <row r="11" spans="1:19" ht="20.100000000000001" customHeight="1">
      <c r="A11" s="876" t="s">
        <v>187</v>
      </c>
      <c r="B11" s="877"/>
      <c r="C11" s="877"/>
      <c r="D11" s="877"/>
      <c r="E11" s="877"/>
      <c r="F11" s="878"/>
      <c r="G11" s="201">
        <f>$B$17+($G$9-$B$17)*(C17/($K$17-$B$17)*(100+C18)/200
+D17/($K$17-$B$17)*(100+D18)/200*C18/100
+E17/($K$17-$B$17)*(100+E18)/200*D18/100*C18/100
+F17/($K$17-$B$17)*(100+F18)/200*E18/100*D18/100*C18/100
+G17/($K$17-$B$17)*(100+G18)/200*F18/100*E18/100*D18/100*C18/100
+H17/($K$17-$B$17)*(100+H18)/200*G18/100*F18/100*E18/100*D18/100*C18/100
+I17/($K$17-$B$17)*(100+I18)/200*H18/100*G18/100*F18/100*E18/100*D18/100*C18/100
+J17/($K$17-$B$17)*(100+J18)/200*I18/100*H18/100*G18/100*F18/100*E18/100*D18/100*C18/100)</f>
        <v>0</v>
      </c>
      <c r="H11" s="193"/>
      <c r="I11" s="879" t="s">
        <v>188</v>
      </c>
      <c r="J11" s="879"/>
      <c r="K11" s="202">
        <f>ROUND(SUM('ССР позиции '!Y3:Y8)*1.2,0)</f>
        <v>15062</v>
      </c>
      <c r="L11" s="204">
        <f>'ССР '!AQ13</f>
        <v>0.85877538426694489</v>
      </c>
      <c r="M11" s="204">
        <f>'ССР '!AR13</f>
        <v>0</v>
      </c>
      <c r="N11" s="204">
        <f>'ССР '!AS13</f>
        <v>0.1412246157330552</v>
      </c>
    </row>
    <row r="12" spans="1:19" ht="30" customHeight="1">
      <c r="A12" s="880" t="s">
        <v>189</v>
      </c>
      <c r="B12" s="881"/>
      <c r="C12" s="881"/>
      <c r="D12" s="881"/>
      <c r="E12" s="881"/>
      <c r="F12" s="882"/>
      <c r="G12" s="205">
        <f>G11-G6</f>
        <v>-16898368.79186856</v>
      </c>
      <c r="H12" s="193"/>
      <c r="I12" s="883" t="str">
        <f>IF(K11=K12,"","несоответствие")</f>
        <v/>
      </c>
      <c r="J12" s="884"/>
      <c r="K12" s="206">
        <f>ROUND('Прогнозная стоимость РСС ИП '!C18*1.2*1000,0)</f>
        <v>15062</v>
      </c>
      <c r="L12" s="191"/>
      <c r="M12" s="191"/>
      <c r="N12" s="191"/>
    </row>
    <row r="13" spans="1:19" ht="15" customHeight="1">
      <c r="A13" s="207"/>
      <c r="B13" s="207"/>
      <c r="C13" s="208"/>
      <c r="D13" s="68"/>
      <c r="E13" s="209"/>
      <c r="F13" s="198"/>
      <c r="G13" s="195"/>
      <c r="H13" s="193"/>
      <c r="I13" s="193"/>
      <c r="J13" s="193"/>
      <c r="K13" s="191"/>
      <c r="L13" s="191"/>
      <c r="M13" s="191"/>
      <c r="N13" s="191"/>
    </row>
    <row r="14" spans="1:19" s="438" customFormat="1" ht="15" customHeight="1">
      <c r="A14" s="207"/>
      <c r="B14" s="207"/>
      <c r="C14" s="208"/>
      <c r="D14" s="68"/>
      <c r="E14" s="209"/>
      <c r="F14" s="198"/>
      <c r="G14" s="195"/>
      <c r="H14" s="193"/>
      <c r="I14" s="193"/>
      <c r="J14" s="193"/>
      <c r="K14" s="191"/>
      <c r="L14" s="191"/>
      <c r="M14" s="191"/>
      <c r="N14" s="191"/>
    </row>
    <row r="15" spans="1:19" ht="15" customHeight="1">
      <c r="A15" s="875"/>
      <c r="B15" s="875"/>
      <c r="C15" s="875"/>
      <c r="D15" s="875"/>
      <c r="E15" s="875"/>
      <c r="F15" s="875"/>
      <c r="G15" s="875"/>
      <c r="H15" s="875"/>
      <c r="I15" s="875"/>
      <c r="J15" s="875"/>
      <c r="K15" s="875"/>
      <c r="L15" s="875"/>
      <c r="M15" s="875"/>
      <c r="N15" s="875"/>
    </row>
    <row r="16" spans="1:19" ht="31.5" customHeight="1">
      <c r="A16" s="211" t="s">
        <v>191</v>
      </c>
      <c r="B16" s="212" t="s">
        <v>325</v>
      </c>
      <c r="C16" s="213">
        <v>2023</v>
      </c>
      <c r="D16" s="213">
        <v>2024</v>
      </c>
      <c r="E16" s="213">
        <v>2025</v>
      </c>
      <c r="F16" s="213">
        <v>2026</v>
      </c>
      <c r="G16" s="213">
        <v>2027</v>
      </c>
      <c r="H16" s="213">
        <v>2028</v>
      </c>
      <c r="I16" s="213">
        <v>2029</v>
      </c>
      <c r="J16" s="213">
        <v>2030</v>
      </c>
      <c r="K16" s="214" t="s">
        <v>190</v>
      </c>
    </row>
    <row r="17" spans="1:14" ht="31.5" customHeight="1">
      <c r="A17" s="215" t="s">
        <v>192</v>
      </c>
      <c r="B17" s="216">
        <v>0</v>
      </c>
      <c r="C17" s="217">
        <f>IF(C16=$D$2,100,0)</f>
        <v>0</v>
      </c>
      <c r="D17" s="217">
        <f t="shared" ref="D17:J17" si="0">IF(D16=$D$2,100,0)</f>
        <v>0</v>
      </c>
      <c r="E17" s="217">
        <f t="shared" si="0"/>
        <v>0</v>
      </c>
      <c r="F17" s="217">
        <f t="shared" si="0"/>
        <v>100</v>
      </c>
      <c r="G17" s="217">
        <f t="shared" si="0"/>
        <v>0</v>
      </c>
      <c r="H17" s="217">
        <f t="shared" si="0"/>
        <v>0</v>
      </c>
      <c r="I17" s="217">
        <f t="shared" si="0"/>
        <v>0</v>
      </c>
      <c r="J17" s="217">
        <f t="shared" si="0"/>
        <v>0</v>
      </c>
      <c r="K17" s="218">
        <f>SUM(C17:J17)+B17</f>
        <v>100</v>
      </c>
    </row>
    <row r="18" spans="1:14" ht="31.5" customHeight="1">
      <c r="A18" s="219" t="s">
        <v>193</v>
      </c>
      <c r="B18" s="210"/>
      <c r="C18" s="220">
        <f>Дефляторы!L3</f>
        <v>109.09646626082731</v>
      </c>
      <c r="D18" s="220">
        <f>Дефляторы!M3</f>
        <v>108.14</v>
      </c>
      <c r="E18" s="220">
        <f>Дефляторы!N3</f>
        <v>107.4</v>
      </c>
      <c r="F18" s="220">
        <f>Дефляторы!O3</f>
        <v>105.5</v>
      </c>
      <c r="G18" s="220">
        <f>Дефляторы!P3</f>
        <v>104.1</v>
      </c>
      <c r="H18" s="220">
        <f>Дефляторы!Q3</f>
        <v>104.1</v>
      </c>
      <c r="I18" s="220">
        <f>Дефляторы!R3</f>
        <v>104.1</v>
      </c>
      <c r="J18" s="220">
        <f>Дефляторы!S3</f>
        <v>104.1</v>
      </c>
      <c r="K18" s="221" t="s">
        <v>194</v>
      </c>
    </row>
    <row r="19" spans="1:14" ht="15.75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</row>
    <row r="20" spans="1:14" ht="15.75">
      <c r="A20" s="191"/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</row>
    <row r="24" spans="1:14" ht="15.75">
      <c r="A24" s="191"/>
    </row>
    <row r="26" spans="1:14" ht="15.75" customHeight="1">
      <c r="A26" s="191"/>
    </row>
    <row r="27" spans="1:14" ht="15.75" customHeight="1">
      <c r="A27" s="222"/>
    </row>
    <row r="28" spans="1:14" ht="15.75" customHeight="1"/>
    <row r="29" spans="1:14" ht="32.25" customHeight="1"/>
    <row r="30" spans="1:14" ht="27.75" customHeight="1"/>
    <row r="32" spans="1:14" ht="41.25" customHeight="1"/>
  </sheetData>
  <mergeCells count="14">
    <mergeCell ref="A15:N15"/>
    <mergeCell ref="A9:F9"/>
    <mergeCell ref="A10:F10"/>
    <mergeCell ref="I10:J10"/>
    <mergeCell ref="A11:F11"/>
    <mergeCell ref="I11:J11"/>
    <mergeCell ref="A12:F12"/>
    <mergeCell ref="I12:J12"/>
    <mergeCell ref="A8:F8"/>
    <mergeCell ref="A5:F5"/>
    <mergeCell ref="A6:F6"/>
    <mergeCell ref="A1:N1"/>
    <mergeCell ref="A3:N3"/>
    <mergeCell ref="A2:C2"/>
  </mergeCells>
  <conditionalFormatting sqref="N11">
    <cfRule type="cellIs" dxfId="2" priority="2" operator="greaterThan">
      <formula>0.3</formula>
    </cfRule>
  </conditionalFormatting>
  <conditionalFormatting sqref="K11">
    <cfRule type="cellIs" dxfId="1" priority="3" operator="notEqual">
      <formula>$K$12</formula>
    </cfRule>
  </conditionalFormatting>
  <conditionalFormatting sqref="K12">
    <cfRule type="cellIs" dxfId="0" priority="1" operator="notEqual">
      <formula>$K$11</formula>
    </cfRule>
  </conditionalFormatting>
  <pageMargins left="0.25" right="0.25" top="0.75" bottom="0.75" header="0.3" footer="0.3"/>
  <pageSetup paperSize="9" scale="49" orientation="landscape" horizont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Z14"/>
  <sheetViews>
    <sheetView zoomScaleNormal="100" workbookViewId="0">
      <selection activeCell="Y9" sqref="Y9"/>
    </sheetView>
  </sheetViews>
  <sheetFormatPr defaultRowHeight="15" outlineLevelCol="1"/>
  <cols>
    <col min="1" max="2" width="9.140625" style="223"/>
    <col min="3" max="4" width="9.140625" style="224"/>
    <col min="5" max="5" width="13.42578125" style="223" customWidth="1"/>
    <col min="6" max="6" width="35.5703125" style="223" customWidth="1"/>
    <col min="7" max="7" width="17.140625" style="223" hidden="1" customWidth="1" outlineLevel="1"/>
    <col min="8" max="8" width="14.140625" style="223" hidden="1" customWidth="1" outlineLevel="1"/>
    <col min="9" max="9" width="15.28515625" style="223" hidden="1" customWidth="1" outlineLevel="1"/>
    <col min="10" max="10" width="15.140625" style="223" hidden="1" customWidth="1" outlineLevel="1"/>
    <col min="11" max="11" width="13" style="223" hidden="1" customWidth="1" outlineLevel="1"/>
    <col min="12" max="12" width="14.140625" style="223" hidden="1" customWidth="1" outlineLevel="1"/>
    <col min="13" max="13" width="14" style="223" hidden="1" customWidth="1" outlineLevel="1"/>
    <col min="14" max="14" width="12.85546875" style="223" hidden="1" customWidth="1" outlineLevel="1"/>
    <col min="15" max="15" width="16.7109375" style="223" customWidth="1" collapsed="1"/>
    <col min="16" max="21" width="16.7109375" style="223" customWidth="1"/>
    <col min="22" max="22" width="14.140625" style="223" bestFit="1" customWidth="1"/>
    <col min="23" max="23" width="3.42578125" style="223" customWidth="1"/>
    <col min="24" max="24" width="14.7109375" style="223" hidden="1" customWidth="1" outlineLevel="1"/>
    <col min="25" max="25" width="16.42578125" style="223" customWidth="1" collapsed="1"/>
    <col min="26" max="26" width="18.28515625" style="223" customWidth="1"/>
    <col min="27" max="16384" width="9.140625" style="223"/>
  </cols>
  <sheetData>
    <row r="1" spans="1:26">
      <c r="G1" s="885" t="s">
        <v>195</v>
      </c>
      <c r="H1" s="885"/>
      <c r="I1" s="885"/>
      <c r="J1" s="885"/>
      <c r="K1" s="885"/>
      <c r="L1" s="885"/>
      <c r="M1" s="885"/>
      <c r="N1" s="885"/>
      <c r="O1" s="886" t="s">
        <v>360</v>
      </c>
      <c r="P1" s="886"/>
      <c r="Q1" s="886"/>
      <c r="R1" s="886"/>
      <c r="S1" s="886"/>
      <c r="T1" s="886"/>
      <c r="U1" s="886"/>
      <c r="V1" s="886"/>
      <c r="X1" s="225" t="s">
        <v>196</v>
      </c>
      <c r="Y1" s="226"/>
    </row>
    <row r="2" spans="1:26" ht="60">
      <c r="A2" s="227" t="s">
        <v>197</v>
      </c>
      <c r="B2" s="228" t="s">
        <v>198</v>
      </c>
      <c r="C2" s="229" t="s">
        <v>199</v>
      </c>
      <c r="D2" s="229" t="s">
        <v>200</v>
      </c>
      <c r="E2" s="229" t="s">
        <v>201</v>
      </c>
      <c r="F2" s="229" t="s">
        <v>202</v>
      </c>
      <c r="G2" s="230" t="s">
        <v>203</v>
      </c>
      <c r="H2" s="230" t="s">
        <v>204</v>
      </c>
      <c r="I2" s="230" t="s">
        <v>205</v>
      </c>
      <c r="J2" s="231" t="s">
        <v>206</v>
      </c>
      <c r="K2" s="231" t="s">
        <v>207</v>
      </c>
      <c r="L2" s="231" t="s">
        <v>36</v>
      </c>
      <c r="M2" s="231" t="s">
        <v>208</v>
      </c>
      <c r="N2" s="231" t="s">
        <v>209</v>
      </c>
      <c r="O2" s="232" t="s">
        <v>210</v>
      </c>
      <c r="P2" s="233" t="s">
        <v>204</v>
      </c>
      <c r="Q2" s="233" t="s">
        <v>205</v>
      </c>
      <c r="R2" s="232" t="s">
        <v>206</v>
      </c>
      <c r="S2" s="232" t="s">
        <v>207</v>
      </c>
      <c r="T2" s="232" t="s">
        <v>36</v>
      </c>
      <c r="U2" s="232" t="s">
        <v>208</v>
      </c>
      <c r="V2" s="232" t="s">
        <v>209</v>
      </c>
      <c r="X2" s="234" t="s">
        <v>211</v>
      </c>
      <c r="Y2" s="234" t="s">
        <v>212</v>
      </c>
    </row>
    <row r="3" spans="1:26">
      <c r="A3" s="235" t="s">
        <v>213</v>
      </c>
      <c r="B3" s="236"/>
      <c r="C3" s="237">
        <v>2</v>
      </c>
      <c r="D3" s="237">
        <f t="shared" ref="D3:D9" si="0">IF(A3=A2,D2+1,1)</f>
        <v>1</v>
      </c>
      <c r="E3" s="235" t="s">
        <v>214</v>
      </c>
      <c r="F3" s="235" t="s">
        <v>215</v>
      </c>
      <c r="G3" s="238" t="s">
        <v>194</v>
      </c>
      <c r="H3" s="238" t="s">
        <v>194</v>
      </c>
      <c r="I3" s="238" t="s">
        <v>194</v>
      </c>
      <c r="J3" s="238" t="s">
        <v>194</v>
      </c>
      <c r="K3" s="238" t="s">
        <v>194</v>
      </c>
      <c r="L3" s="238" t="s">
        <v>194</v>
      </c>
      <c r="M3" s="238" t="s">
        <v>194</v>
      </c>
      <c r="N3" s="238" t="s">
        <v>194</v>
      </c>
      <c r="O3" s="238">
        <f>ROUND('Прогнозная стоимость РСС ИП '!C11*1000,2)</f>
        <v>10465.200000000001</v>
      </c>
      <c r="P3" s="238">
        <v>0</v>
      </c>
      <c r="Q3" s="238">
        <f>ROUND('Прогнозная стоимость РСС ИП '!C12*1000,2)</f>
        <v>0</v>
      </c>
      <c r="R3" s="238">
        <v>0</v>
      </c>
      <c r="S3" s="238">
        <v>0</v>
      </c>
      <c r="T3" s="238">
        <v>0</v>
      </c>
      <c r="U3" s="238">
        <v>0</v>
      </c>
      <c r="V3" s="238">
        <v>0</v>
      </c>
      <c r="X3" s="239">
        <f t="shared" ref="X3:X9" si="1">SUM(G3:N3)</f>
        <v>0</v>
      </c>
      <c r="Y3" s="239">
        <f t="shared" ref="Y3:Y9" si="2">SUM(O3:V3)</f>
        <v>10465.200000000001</v>
      </c>
    </row>
    <row r="4" spans="1:26">
      <c r="A4" s="235" t="s">
        <v>213</v>
      </c>
      <c r="B4" s="236"/>
      <c r="C4" s="237">
        <v>9</v>
      </c>
      <c r="D4" s="237">
        <f t="shared" si="0"/>
        <v>2</v>
      </c>
      <c r="E4" s="235" t="s">
        <v>214</v>
      </c>
      <c r="F4" s="235" t="s">
        <v>216</v>
      </c>
      <c r="G4" s="238" t="s">
        <v>194</v>
      </c>
      <c r="H4" s="238" t="s">
        <v>194</v>
      </c>
      <c r="I4" s="238" t="s">
        <v>194</v>
      </c>
      <c r="J4" s="238" t="s">
        <v>194</v>
      </c>
      <c r="K4" s="238" t="s">
        <v>194</v>
      </c>
      <c r="L4" s="238" t="s">
        <v>194</v>
      </c>
      <c r="M4" s="238" t="s">
        <v>194</v>
      </c>
      <c r="N4" s="238" t="s">
        <v>194</v>
      </c>
      <c r="O4" s="238">
        <v>0</v>
      </c>
      <c r="P4" s="238">
        <v>0</v>
      </c>
      <c r="Q4" s="238">
        <v>0</v>
      </c>
      <c r="R4" s="238">
        <f>ROUND('Прогнозная стоимость РСС ИП '!C17*1000,2)</f>
        <v>0</v>
      </c>
      <c r="S4" s="238">
        <f>ROUND('Прогнозная стоимость РСС ИП '!C13*1000,2)</f>
        <v>242.4</v>
      </c>
      <c r="T4" s="238">
        <v>0</v>
      </c>
      <c r="U4" s="238">
        <v>0</v>
      </c>
      <c r="V4" s="238">
        <v>0</v>
      </c>
      <c r="X4" s="239">
        <f t="shared" si="1"/>
        <v>0</v>
      </c>
      <c r="Y4" s="239">
        <f t="shared" si="2"/>
        <v>242.4</v>
      </c>
    </row>
    <row r="5" spans="1:26">
      <c r="A5" s="235" t="s">
        <v>213</v>
      </c>
      <c r="B5" s="236"/>
      <c r="C5" s="237">
        <v>10</v>
      </c>
      <c r="D5" s="237">
        <f t="shared" si="0"/>
        <v>3</v>
      </c>
      <c r="E5" s="235" t="s">
        <v>214</v>
      </c>
      <c r="F5" s="235" t="s">
        <v>217</v>
      </c>
      <c r="G5" s="238" t="s">
        <v>194</v>
      </c>
      <c r="H5" s="238" t="s">
        <v>194</v>
      </c>
      <c r="I5" s="238" t="s">
        <v>194</v>
      </c>
      <c r="J5" s="238" t="s">
        <v>194</v>
      </c>
      <c r="K5" s="238" t="s">
        <v>194</v>
      </c>
      <c r="L5" s="238" t="s">
        <v>194</v>
      </c>
      <c r="M5" s="238" t="s">
        <v>194</v>
      </c>
      <c r="N5" s="238" t="s">
        <v>194</v>
      </c>
      <c r="O5" s="238">
        <v>0</v>
      </c>
      <c r="P5" s="238">
        <v>0</v>
      </c>
      <c r="Q5" s="238">
        <v>0</v>
      </c>
      <c r="R5" s="238">
        <v>0</v>
      </c>
      <c r="S5" s="238">
        <v>0</v>
      </c>
      <c r="T5" s="238">
        <f>ROUND('Прогнозная стоимость РСС ИП '!C14*1000,2)</f>
        <v>452.2</v>
      </c>
      <c r="U5" s="238">
        <v>0</v>
      </c>
      <c r="V5" s="238">
        <v>0</v>
      </c>
      <c r="X5" s="239">
        <f t="shared" si="1"/>
        <v>0</v>
      </c>
      <c r="Y5" s="239">
        <f t="shared" si="2"/>
        <v>452.2</v>
      </c>
    </row>
    <row r="6" spans="1:26">
      <c r="A6" s="235" t="s">
        <v>213</v>
      </c>
      <c r="B6" s="236"/>
      <c r="C6" s="237">
        <v>10</v>
      </c>
      <c r="D6" s="237">
        <f t="shared" si="0"/>
        <v>4</v>
      </c>
      <c r="E6" s="235" t="s">
        <v>214</v>
      </c>
      <c r="F6" s="240" t="s">
        <v>33</v>
      </c>
      <c r="G6" s="238" t="s">
        <v>194</v>
      </c>
      <c r="H6" s="238" t="s">
        <v>194</v>
      </c>
      <c r="I6" s="238" t="s">
        <v>194</v>
      </c>
      <c r="J6" s="238" t="s">
        <v>194</v>
      </c>
      <c r="K6" s="238" t="s">
        <v>194</v>
      </c>
      <c r="L6" s="238" t="s">
        <v>194</v>
      </c>
      <c r="M6" s="238" t="s">
        <v>194</v>
      </c>
      <c r="N6" s="238" t="s">
        <v>194</v>
      </c>
      <c r="O6" s="238">
        <v>0</v>
      </c>
      <c r="P6" s="238">
        <v>0</v>
      </c>
      <c r="Q6" s="238">
        <v>0</v>
      </c>
      <c r="R6" s="238">
        <f>ROUND('Прогнозная стоимость РСС ИП '!C15*1000,2)</f>
        <v>229.2</v>
      </c>
      <c r="S6" s="238">
        <v>0</v>
      </c>
      <c r="T6" s="238">
        <v>0</v>
      </c>
      <c r="U6" s="238">
        <v>0</v>
      </c>
      <c r="V6" s="238">
        <v>0</v>
      </c>
      <c r="X6" s="239"/>
      <c r="Y6" s="239">
        <f t="shared" si="2"/>
        <v>229.2</v>
      </c>
    </row>
    <row r="7" spans="1:26">
      <c r="A7" s="235" t="s">
        <v>213</v>
      </c>
      <c r="B7" s="236"/>
      <c r="C7" s="237">
        <v>12</v>
      </c>
      <c r="D7" s="237">
        <f>IF(A7=A6,D6+1,1)</f>
        <v>5</v>
      </c>
      <c r="E7" s="235" t="s">
        <v>214</v>
      </c>
      <c r="F7" s="235" t="s">
        <v>8</v>
      </c>
      <c r="G7" s="238" t="s">
        <v>194</v>
      </c>
      <c r="H7" s="238" t="s">
        <v>194</v>
      </c>
      <c r="I7" s="238" t="s">
        <v>194</v>
      </c>
      <c r="J7" s="238" t="s">
        <v>194</v>
      </c>
      <c r="K7" s="238" t="s">
        <v>194</v>
      </c>
      <c r="L7" s="238" t="s">
        <v>194</v>
      </c>
      <c r="M7" s="238" t="s">
        <v>194</v>
      </c>
      <c r="N7" s="238" t="s">
        <v>194</v>
      </c>
      <c r="O7" s="238">
        <v>0</v>
      </c>
      <c r="P7" s="238">
        <v>0</v>
      </c>
      <c r="Q7" s="238">
        <v>0</v>
      </c>
      <c r="R7" s="238">
        <v>0</v>
      </c>
      <c r="S7" s="238">
        <v>0</v>
      </c>
      <c r="T7" s="238">
        <v>0</v>
      </c>
      <c r="U7" s="238">
        <f>ROUND('Прогнозная стоимость РСС ИП '!C10*1000,2)</f>
        <v>797.19</v>
      </c>
      <c r="V7" s="238">
        <v>0</v>
      </c>
      <c r="X7" s="239">
        <f t="shared" si="1"/>
        <v>0</v>
      </c>
      <c r="Y7" s="239">
        <f t="shared" si="2"/>
        <v>797.19</v>
      </c>
    </row>
    <row r="8" spans="1:26">
      <c r="A8" s="235" t="s">
        <v>213</v>
      </c>
      <c r="B8" s="236"/>
      <c r="C8" s="237">
        <v>13</v>
      </c>
      <c r="D8" s="237">
        <f t="shared" si="0"/>
        <v>6</v>
      </c>
      <c r="E8" s="235" t="s">
        <v>214</v>
      </c>
      <c r="F8" s="235" t="s">
        <v>218</v>
      </c>
      <c r="G8" s="238" t="s">
        <v>194</v>
      </c>
      <c r="H8" s="238" t="s">
        <v>194</v>
      </c>
      <c r="I8" s="241" t="s">
        <v>194</v>
      </c>
      <c r="J8" s="238" t="s">
        <v>194</v>
      </c>
      <c r="K8" s="238" t="s">
        <v>194</v>
      </c>
      <c r="L8" s="238" t="s">
        <v>194</v>
      </c>
      <c r="M8" s="238" t="s">
        <v>194</v>
      </c>
      <c r="N8" s="238" t="s">
        <v>194</v>
      </c>
      <c r="O8" s="238">
        <v>0</v>
      </c>
      <c r="P8" s="238">
        <v>0</v>
      </c>
      <c r="Q8" s="238">
        <v>0</v>
      </c>
      <c r="R8" s="238">
        <f>ROUND('Прогнозная стоимость РСС ИП '!C16*1000,2)</f>
        <v>365.4</v>
      </c>
      <c r="S8" s="238">
        <v>0</v>
      </c>
      <c r="T8" s="238">
        <v>0</v>
      </c>
      <c r="U8" s="238">
        <v>0</v>
      </c>
      <c r="V8" s="238">
        <v>0</v>
      </c>
      <c r="X8" s="239">
        <f t="shared" si="1"/>
        <v>0</v>
      </c>
      <c r="Y8" s="239">
        <f t="shared" si="2"/>
        <v>365.4</v>
      </c>
      <c r="Z8" s="242"/>
    </row>
    <row r="9" spans="1:26" ht="30">
      <c r="A9" s="235" t="s">
        <v>213</v>
      </c>
      <c r="B9" s="236"/>
      <c r="C9" s="237">
        <v>14</v>
      </c>
      <c r="D9" s="237">
        <f t="shared" si="0"/>
        <v>7</v>
      </c>
      <c r="E9" s="589" t="s">
        <v>787</v>
      </c>
      <c r="F9" s="243" t="s">
        <v>220</v>
      </c>
      <c r="G9" s="244" t="s">
        <v>194</v>
      </c>
      <c r="H9" s="244" t="s">
        <v>194</v>
      </c>
      <c r="I9" s="244" t="s">
        <v>194</v>
      </c>
      <c r="J9" s="244" t="s">
        <v>194</v>
      </c>
      <c r="K9" s="244" t="s">
        <v>194</v>
      </c>
      <c r="L9" s="244" t="s">
        <v>194</v>
      </c>
      <c r="M9" s="244" t="s">
        <v>194</v>
      </c>
      <c r="N9" s="244" t="s">
        <v>194</v>
      </c>
      <c r="O9" s="244">
        <f t="shared" ref="O9:V9" si="3">ROUND(SUMIFS(O$3:O$300001,$A$3:$A$300001,$A9,$C$3:$C$300001,"&lt;&gt;14")*0.22,2)</f>
        <v>2302.34</v>
      </c>
      <c r="P9" s="244">
        <f t="shared" si="3"/>
        <v>0</v>
      </c>
      <c r="Q9" s="244">
        <f t="shared" si="3"/>
        <v>0</v>
      </c>
      <c r="R9" s="244">
        <f t="shared" si="3"/>
        <v>130.81</v>
      </c>
      <c r="S9" s="244">
        <f t="shared" si="3"/>
        <v>53.33</v>
      </c>
      <c r="T9" s="244">
        <f t="shared" si="3"/>
        <v>99.48</v>
      </c>
      <c r="U9" s="244">
        <f t="shared" si="3"/>
        <v>175.38</v>
      </c>
      <c r="V9" s="244">
        <f t="shared" si="3"/>
        <v>0</v>
      </c>
      <c r="W9"/>
      <c r="X9" s="239">
        <f t="shared" si="1"/>
        <v>0</v>
      </c>
      <c r="Y9" s="239">
        <f t="shared" si="2"/>
        <v>2761.34</v>
      </c>
    </row>
    <row r="10" spans="1:26">
      <c r="Q10" s="242"/>
    </row>
    <row r="11" spans="1:26">
      <c r="Y11" s="240" t="s">
        <v>221</v>
      </c>
      <c r="Z11" s="245">
        <f>Y3+Y4+Y5+Y6+Y7+Y8</f>
        <v>12551.590000000002</v>
      </c>
    </row>
    <row r="12" spans="1:26">
      <c r="Y12" s="240" t="s">
        <v>222</v>
      </c>
      <c r="Z12" s="245">
        <f>Z11+Y9</f>
        <v>15312.930000000002</v>
      </c>
    </row>
    <row r="13" spans="1:26">
      <c r="O13" s="242"/>
      <c r="P13" s="242"/>
      <c r="Q13" s="242"/>
      <c r="R13" s="242"/>
      <c r="S13" s="242"/>
      <c r="T13" s="242"/>
      <c r="U13" s="242"/>
    </row>
    <row r="14" spans="1:26">
      <c r="O14" s="242"/>
      <c r="P14" s="242"/>
      <c r="Q14" s="242"/>
      <c r="R14" s="242"/>
      <c r="S14" s="242"/>
      <c r="T14" s="242"/>
      <c r="U14" s="242"/>
    </row>
  </sheetData>
  <mergeCells count="2">
    <mergeCell ref="G1:N1"/>
    <mergeCell ref="O1:V1"/>
  </mergeCells>
  <pageMargins left="0.25" right="0.25" top="0.75" bottom="0.75" header="0.3" footer="0.3"/>
  <pageSetup paperSize="9" scale="55" orientation="landscape" horizont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'W:\Users\dudkinpa\AppData\Local\Microsoft\Windows\INetCache\Content.Outlook\S6U5KSIK\[Шаблон массовой загрузки ССР_пример.xlsx]справочник'!#REF!</xm:f>
          </x14:formula1>
          <xm:sqref>C3:C8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S42"/>
  <sheetViews>
    <sheetView view="pageBreakPreview" zoomScale="60" zoomScaleNormal="80" workbookViewId="0">
      <selection activeCell="R21" sqref="R21"/>
    </sheetView>
  </sheetViews>
  <sheetFormatPr defaultRowHeight="12.75"/>
  <cols>
    <col min="1" max="1" width="7" style="272" customWidth="1"/>
    <col min="2" max="2" width="38.140625" style="251" customWidth="1"/>
    <col min="3" max="3" width="50.5703125" style="251" customWidth="1"/>
    <col min="4" max="6" width="20.42578125" style="251" customWidth="1"/>
    <col min="7" max="7" width="20.42578125" style="346" customWidth="1"/>
    <col min="8" max="8" width="9.140625" style="251"/>
    <col min="9" max="9" width="18.28515625" style="251" customWidth="1"/>
    <col min="10" max="10" width="10.140625" style="251" bestFit="1" customWidth="1"/>
    <col min="11" max="255" width="9.140625" style="251"/>
    <col min="256" max="256" width="7" style="251" customWidth="1"/>
    <col min="257" max="257" width="32.42578125" style="251" customWidth="1"/>
    <col min="258" max="258" width="50.5703125" style="251" customWidth="1"/>
    <col min="259" max="259" width="13.85546875" style="251" customWidth="1"/>
    <col min="260" max="260" width="13.28515625" style="251" customWidth="1"/>
    <col min="261" max="261" width="12.42578125" style="251" customWidth="1"/>
    <col min="262" max="262" width="14" style="251" customWidth="1"/>
    <col min="263" max="263" width="15.7109375" style="251" customWidth="1"/>
    <col min="264" max="264" width="9.140625" style="251"/>
    <col min="265" max="265" width="18.28515625" style="251" customWidth="1"/>
    <col min="266" max="266" width="10.140625" style="251" bestFit="1" customWidth="1"/>
    <col min="267" max="511" width="9.140625" style="251"/>
    <col min="512" max="512" width="7" style="251" customWidth="1"/>
    <col min="513" max="513" width="32.42578125" style="251" customWidth="1"/>
    <col min="514" max="514" width="50.5703125" style="251" customWidth="1"/>
    <col min="515" max="515" width="13.85546875" style="251" customWidth="1"/>
    <col min="516" max="516" width="13.28515625" style="251" customWidth="1"/>
    <col min="517" max="517" width="12.42578125" style="251" customWidth="1"/>
    <col min="518" max="518" width="14" style="251" customWidth="1"/>
    <col min="519" max="519" width="15.7109375" style="251" customWidth="1"/>
    <col min="520" max="520" width="9.140625" style="251"/>
    <col min="521" max="521" width="18.28515625" style="251" customWidth="1"/>
    <col min="522" max="522" width="10.140625" style="251" bestFit="1" customWidth="1"/>
    <col min="523" max="767" width="9.140625" style="251"/>
    <col min="768" max="768" width="7" style="251" customWidth="1"/>
    <col min="769" max="769" width="32.42578125" style="251" customWidth="1"/>
    <col min="770" max="770" width="50.5703125" style="251" customWidth="1"/>
    <col min="771" max="771" width="13.85546875" style="251" customWidth="1"/>
    <col min="772" max="772" width="13.28515625" style="251" customWidth="1"/>
    <col min="773" max="773" width="12.42578125" style="251" customWidth="1"/>
    <col min="774" max="774" width="14" style="251" customWidth="1"/>
    <col min="775" max="775" width="15.7109375" style="251" customWidth="1"/>
    <col min="776" max="776" width="9.140625" style="251"/>
    <col min="777" max="777" width="18.28515625" style="251" customWidth="1"/>
    <col min="778" max="778" width="10.140625" style="251" bestFit="1" customWidth="1"/>
    <col min="779" max="1023" width="9.140625" style="251"/>
    <col min="1024" max="1024" width="7" style="251" customWidth="1"/>
    <col min="1025" max="1025" width="32.42578125" style="251" customWidth="1"/>
    <col min="1026" max="1026" width="50.5703125" style="251" customWidth="1"/>
    <col min="1027" max="1027" width="13.85546875" style="251" customWidth="1"/>
    <col min="1028" max="1028" width="13.28515625" style="251" customWidth="1"/>
    <col min="1029" max="1029" width="12.42578125" style="251" customWidth="1"/>
    <col min="1030" max="1030" width="14" style="251" customWidth="1"/>
    <col min="1031" max="1031" width="15.7109375" style="251" customWidth="1"/>
    <col min="1032" max="1032" width="9.140625" style="251"/>
    <col min="1033" max="1033" width="18.28515625" style="251" customWidth="1"/>
    <col min="1034" max="1034" width="10.140625" style="251" bestFit="1" customWidth="1"/>
    <col min="1035" max="1279" width="9.140625" style="251"/>
    <col min="1280" max="1280" width="7" style="251" customWidth="1"/>
    <col min="1281" max="1281" width="32.42578125" style="251" customWidth="1"/>
    <col min="1282" max="1282" width="50.5703125" style="251" customWidth="1"/>
    <col min="1283" max="1283" width="13.85546875" style="251" customWidth="1"/>
    <col min="1284" max="1284" width="13.28515625" style="251" customWidth="1"/>
    <col min="1285" max="1285" width="12.42578125" style="251" customWidth="1"/>
    <col min="1286" max="1286" width="14" style="251" customWidth="1"/>
    <col min="1287" max="1287" width="15.7109375" style="251" customWidth="1"/>
    <col min="1288" max="1288" width="9.140625" style="251"/>
    <col min="1289" max="1289" width="18.28515625" style="251" customWidth="1"/>
    <col min="1290" max="1290" width="10.140625" style="251" bestFit="1" customWidth="1"/>
    <col min="1291" max="1535" width="9.140625" style="251"/>
    <col min="1536" max="1536" width="7" style="251" customWidth="1"/>
    <col min="1537" max="1537" width="32.42578125" style="251" customWidth="1"/>
    <col min="1538" max="1538" width="50.5703125" style="251" customWidth="1"/>
    <col min="1539" max="1539" width="13.85546875" style="251" customWidth="1"/>
    <col min="1540" max="1540" width="13.28515625" style="251" customWidth="1"/>
    <col min="1541" max="1541" width="12.42578125" style="251" customWidth="1"/>
    <col min="1542" max="1542" width="14" style="251" customWidth="1"/>
    <col min="1543" max="1543" width="15.7109375" style="251" customWidth="1"/>
    <col min="1544" max="1544" width="9.140625" style="251"/>
    <col min="1545" max="1545" width="18.28515625" style="251" customWidth="1"/>
    <col min="1546" max="1546" width="10.140625" style="251" bestFit="1" customWidth="1"/>
    <col min="1547" max="1791" width="9.140625" style="251"/>
    <col min="1792" max="1792" width="7" style="251" customWidth="1"/>
    <col min="1793" max="1793" width="32.42578125" style="251" customWidth="1"/>
    <col min="1794" max="1794" width="50.5703125" style="251" customWidth="1"/>
    <col min="1795" max="1795" width="13.85546875" style="251" customWidth="1"/>
    <col min="1796" max="1796" width="13.28515625" style="251" customWidth="1"/>
    <col min="1797" max="1797" width="12.42578125" style="251" customWidth="1"/>
    <col min="1798" max="1798" width="14" style="251" customWidth="1"/>
    <col min="1799" max="1799" width="15.7109375" style="251" customWidth="1"/>
    <col min="1800" max="1800" width="9.140625" style="251"/>
    <col min="1801" max="1801" width="18.28515625" style="251" customWidth="1"/>
    <col min="1802" max="1802" width="10.140625" style="251" bestFit="1" customWidth="1"/>
    <col min="1803" max="2047" width="9.140625" style="251"/>
    <col min="2048" max="2048" width="7" style="251" customWidth="1"/>
    <col min="2049" max="2049" width="32.42578125" style="251" customWidth="1"/>
    <col min="2050" max="2050" width="50.5703125" style="251" customWidth="1"/>
    <col min="2051" max="2051" width="13.85546875" style="251" customWidth="1"/>
    <col min="2052" max="2052" width="13.28515625" style="251" customWidth="1"/>
    <col min="2053" max="2053" width="12.42578125" style="251" customWidth="1"/>
    <col min="2054" max="2054" width="14" style="251" customWidth="1"/>
    <col min="2055" max="2055" width="15.7109375" style="251" customWidth="1"/>
    <col min="2056" max="2056" width="9.140625" style="251"/>
    <col min="2057" max="2057" width="18.28515625" style="251" customWidth="1"/>
    <col min="2058" max="2058" width="10.140625" style="251" bestFit="1" customWidth="1"/>
    <col min="2059" max="2303" width="9.140625" style="251"/>
    <col min="2304" max="2304" width="7" style="251" customWidth="1"/>
    <col min="2305" max="2305" width="32.42578125" style="251" customWidth="1"/>
    <col min="2306" max="2306" width="50.5703125" style="251" customWidth="1"/>
    <col min="2307" max="2307" width="13.85546875" style="251" customWidth="1"/>
    <col min="2308" max="2308" width="13.28515625" style="251" customWidth="1"/>
    <col min="2309" max="2309" width="12.42578125" style="251" customWidth="1"/>
    <col min="2310" max="2310" width="14" style="251" customWidth="1"/>
    <col min="2311" max="2311" width="15.7109375" style="251" customWidth="1"/>
    <col min="2312" max="2312" width="9.140625" style="251"/>
    <col min="2313" max="2313" width="18.28515625" style="251" customWidth="1"/>
    <col min="2314" max="2314" width="10.140625" style="251" bestFit="1" customWidth="1"/>
    <col min="2315" max="2559" width="9.140625" style="251"/>
    <col min="2560" max="2560" width="7" style="251" customWidth="1"/>
    <col min="2561" max="2561" width="32.42578125" style="251" customWidth="1"/>
    <col min="2562" max="2562" width="50.5703125" style="251" customWidth="1"/>
    <col min="2563" max="2563" width="13.85546875" style="251" customWidth="1"/>
    <col min="2564" max="2564" width="13.28515625" style="251" customWidth="1"/>
    <col min="2565" max="2565" width="12.42578125" style="251" customWidth="1"/>
    <col min="2566" max="2566" width="14" style="251" customWidth="1"/>
    <col min="2567" max="2567" width="15.7109375" style="251" customWidth="1"/>
    <col min="2568" max="2568" width="9.140625" style="251"/>
    <col min="2569" max="2569" width="18.28515625" style="251" customWidth="1"/>
    <col min="2570" max="2570" width="10.140625" style="251" bestFit="1" customWidth="1"/>
    <col min="2571" max="2815" width="9.140625" style="251"/>
    <col min="2816" max="2816" width="7" style="251" customWidth="1"/>
    <col min="2817" max="2817" width="32.42578125" style="251" customWidth="1"/>
    <col min="2818" max="2818" width="50.5703125" style="251" customWidth="1"/>
    <col min="2819" max="2819" width="13.85546875" style="251" customWidth="1"/>
    <col min="2820" max="2820" width="13.28515625" style="251" customWidth="1"/>
    <col min="2821" max="2821" width="12.42578125" style="251" customWidth="1"/>
    <col min="2822" max="2822" width="14" style="251" customWidth="1"/>
    <col min="2823" max="2823" width="15.7109375" style="251" customWidth="1"/>
    <col min="2824" max="2824" width="9.140625" style="251"/>
    <col min="2825" max="2825" width="18.28515625" style="251" customWidth="1"/>
    <col min="2826" max="2826" width="10.140625" style="251" bestFit="1" customWidth="1"/>
    <col min="2827" max="3071" width="9.140625" style="251"/>
    <col min="3072" max="3072" width="7" style="251" customWidth="1"/>
    <col min="3073" max="3073" width="32.42578125" style="251" customWidth="1"/>
    <col min="3074" max="3074" width="50.5703125" style="251" customWidth="1"/>
    <col min="3075" max="3075" width="13.85546875" style="251" customWidth="1"/>
    <col min="3076" max="3076" width="13.28515625" style="251" customWidth="1"/>
    <col min="3077" max="3077" width="12.42578125" style="251" customWidth="1"/>
    <col min="3078" max="3078" width="14" style="251" customWidth="1"/>
    <col min="3079" max="3079" width="15.7109375" style="251" customWidth="1"/>
    <col min="3080" max="3080" width="9.140625" style="251"/>
    <col min="3081" max="3081" width="18.28515625" style="251" customWidth="1"/>
    <col min="3082" max="3082" width="10.140625" style="251" bestFit="1" customWidth="1"/>
    <col min="3083" max="3327" width="9.140625" style="251"/>
    <col min="3328" max="3328" width="7" style="251" customWidth="1"/>
    <col min="3329" max="3329" width="32.42578125" style="251" customWidth="1"/>
    <col min="3330" max="3330" width="50.5703125" style="251" customWidth="1"/>
    <col min="3331" max="3331" width="13.85546875" style="251" customWidth="1"/>
    <col min="3332" max="3332" width="13.28515625" style="251" customWidth="1"/>
    <col min="3333" max="3333" width="12.42578125" style="251" customWidth="1"/>
    <col min="3334" max="3334" width="14" style="251" customWidth="1"/>
    <col min="3335" max="3335" width="15.7109375" style="251" customWidth="1"/>
    <col min="3336" max="3336" width="9.140625" style="251"/>
    <col min="3337" max="3337" width="18.28515625" style="251" customWidth="1"/>
    <col min="3338" max="3338" width="10.140625" style="251" bestFit="1" customWidth="1"/>
    <col min="3339" max="3583" width="9.140625" style="251"/>
    <col min="3584" max="3584" width="7" style="251" customWidth="1"/>
    <col min="3585" max="3585" width="32.42578125" style="251" customWidth="1"/>
    <col min="3586" max="3586" width="50.5703125" style="251" customWidth="1"/>
    <col min="3587" max="3587" width="13.85546875" style="251" customWidth="1"/>
    <col min="3588" max="3588" width="13.28515625" style="251" customWidth="1"/>
    <col min="3589" max="3589" width="12.42578125" style="251" customWidth="1"/>
    <col min="3590" max="3590" width="14" style="251" customWidth="1"/>
    <col min="3591" max="3591" width="15.7109375" style="251" customWidth="1"/>
    <col min="3592" max="3592" width="9.140625" style="251"/>
    <col min="3593" max="3593" width="18.28515625" style="251" customWidth="1"/>
    <col min="3594" max="3594" width="10.140625" style="251" bestFit="1" customWidth="1"/>
    <col min="3595" max="3839" width="9.140625" style="251"/>
    <col min="3840" max="3840" width="7" style="251" customWidth="1"/>
    <col min="3841" max="3841" width="32.42578125" style="251" customWidth="1"/>
    <col min="3842" max="3842" width="50.5703125" style="251" customWidth="1"/>
    <col min="3843" max="3843" width="13.85546875" style="251" customWidth="1"/>
    <col min="3844" max="3844" width="13.28515625" style="251" customWidth="1"/>
    <col min="3845" max="3845" width="12.42578125" style="251" customWidth="1"/>
    <col min="3846" max="3846" width="14" style="251" customWidth="1"/>
    <col min="3847" max="3847" width="15.7109375" style="251" customWidth="1"/>
    <col min="3848" max="3848" width="9.140625" style="251"/>
    <col min="3849" max="3849" width="18.28515625" style="251" customWidth="1"/>
    <col min="3850" max="3850" width="10.140625" style="251" bestFit="1" customWidth="1"/>
    <col min="3851" max="4095" width="9.140625" style="251"/>
    <col min="4096" max="4096" width="7" style="251" customWidth="1"/>
    <col min="4097" max="4097" width="32.42578125" style="251" customWidth="1"/>
    <col min="4098" max="4098" width="50.5703125" style="251" customWidth="1"/>
    <col min="4099" max="4099" width="13.85546875" style="251" customWidth="1"/>
    <col min="4100" max="4100" width="13.28515625" style="251" customWidth="1"/>
    <col min="4101" max="4101" width="12.42578125" style="251" customWidth="1"/>
    <col min="4102" max="4102" width="14" style="251" customWidth="1"/>
    <col min="4103" max="4103" width="15.7109375" style="251" customWidth="1"/>
    <col min="4104" max="4104" width="9.140625" style="251"/>
    <col min="4105" max="4105" width="18.28515625" style="251" customWidth="1"/>
    <col min="4106" max="4106" width="10.140625" style="251" bestFit="1" customWidth="1"/>
    <col min="4107" max="4351" width="9.140625" style="251"/>
    <col min="4352" max="4352" width="7" style="251" customWidth="1"/>
    <col min="4353" max="4353" width="32.42578125" style="251" customWidth="1"/>
    <col min="4354" max="4354" width="50.5703125" style="251" customWidth="1"/>
    <col min="4355" max="4355" width="13.85546875" style="251" customWidth="1"/>
    <col min="4356" max="4356" width="13.28515625" style="251" customWidth="1"/>
    <col min="4357" max="4357" width="12.42578125" style="251" customWidth="1"/>
    <col min="4358" max="4358" width="14" style="251" customWidth="1"/>
    <col min="4359" max="4359" width="15.7109375" style="251" customWidth="1"/>
    <col min="4360" max="4360" width="9.140625" style="251"/>
    <col min="4361" max="4361" width="18.28515625" style="251" customWidth="1"/>
    <col min="4362" max="4362" width="10.140625" style="251" bestFit="1" customWidth="1"/>
    <col min="4363" max="4607" width="9.140625" style="251"/>
    <col min="4608" max="4608" width="7" style="251" customWidth="1"/>
    <col min="4609" max="4609" width="32.42578125" style="251" customWidth="1"/>
    <col min="4610" max="4610" width="50.5703125" style="251" customWidth="1"/>
    <col min="4611" max="4611" width="13.85546875" style="251" customWidth="1"/>
    <col min="4612" max="4612" width="13.28515625" style="251" customWidth="1"/>
    <col min="4613" max="4613" width="12.42578125" style="251" customWidth="1"/>
    <col min="4614" max="4614" width="14" style="251" customWidth="1"/>
    <col min="4615" max="4615" width="15.7109375" style="251" customWidth="1"/>
    <col min="4616" max="4616" width="9.140625" style="251"/>
    <col min="4617" max="4617" width="18.28515625" style="251" customWidth="1"/>
    <col min="4618" max="4618" width="10.140625" style="251" bestFit="1" customWidth="1"/>
    <col min="4619" max="4863" width="9.140625" style="251"/>
    <col min="4864" max="4864" width="7" style="251" customWidth="1"/>
    <col min="4865" max="4865" width="32.42578125" style="251" customWidth="1"/>
    <col min="4866" max="4866" width="50.5703125" style="251" customWidth="1"/>
    <col min="4867" max="4867" width="13.85546875" style="251" customWidth="1"/>
    <col min="4868" max="4868" width="13.28515625" style="251" customWidth="1"/>
    <col min="4869" max="4869" width="12.42578125" style="251" customWidth="1"/>
    <col min="4870" max="4870" width="14" style="251" customWidth="1"/>
    <col min="4871" max="4871" width="15.7109375" style="251" customWidth="1"/>
    <col min="4872" max="4872" width="9.140625" style="251"/>
    <col min="4873" max="4873" width="18.28515625" style="251" customWidth="1"/>
    <col min="4874" max="4874" width="10.140625" style="251" bestFit="1" customWidth="1"/>
    <col min="4875" max="5119" width="9.140625" style="251"/>
    <col min="5120" max="5120" width="7" style="251" customWidth="1"/>
    <col min="5121" max="5121" width="32.42578125" style="251" customWidth="1"/>
    <col min="5122" max="5122" width="50.5703125" style="251" customWidth="1"/>
    <col min="5123" max="5123" width="13.85546875" style="251" customWidth="1"/>
    <col min="5124" max="5124" width="13.28515625" style="251" customWidth="1"/>
    <col min="5125" max="5125" width="12.42578125" style="251" customWidth="1"/>
    <col min="5126" max="5126" width="14" style="251" customWidth="1"/>
    <col min="5127" max="5127" width="15.7109375" style="251" customWidth="1"/>
    <col min="5128" max="5128" width="9.140625" style="251"/>
    <col min="5129" max="5129" width="18.28515625" style="251" customWidth="1"/>
    <col min="5130" max="5130" width="10.140625" style="251" bestFit="1" customWidth="1"/>
    <col min="5131" max="5375" width="9.140625" style="251"/>
    <col min="5376" max="5376" width="7" style="251" customWidth="1"/>
    <col min="5377" max="5377" width="32.42578125" style="251" customWidth="1"/>
    <col min="5378" max="5378" width="50.5703125" style="251" customWidth="1"/>
    <col min="5379" max="5379" width="13.85546875" style="251" customWidth="1"/>
    <col min="5380" max="5380" width="13.28515625" style="251" customWidth="1"/>
    <col min="5381" max="5381" width="12.42578125" style="251" customWidth="1"/>
    <col min="5382" max="5382" width="14" style="251" customWidth="1"/>
    <col min="5383" max="5383" width="15.7109375" style="251" customWidth="1"/>
    <col min="5384" max="5384" width="9.140625" style="251"/>
    <col min="5385" max="5385" width="18.28515625" style="251" customWidth="1"/>
    <col min="5386" max="5386" width="10.140625" style="251" bestFit="1" customWidth="1"/>
    <col min="5387" max="5631" width="9.140625" style="251"/>
    <col min="5632" max="5632" width="7" style="251" customWidth="1"/>
    <col min="5633" max="5633" width="32.42578125" style="251" customWidth="1"/>
    <col min="5634" max="5634" width="50.5703125" style="251" customWidth="1"/>
    <col min="5635" max="5635" width="13.85546875" style="251" customWidth="1"/>
    <col min="5636" max="5636" width="13.28515625" style="251" customWidth="1"/>
    <col min="5637" max="5637" width="12.42578125" style="251" customWidth="1"/>
    <col min="5638" max="5638" width="14" style="251" customWidth="1"/>
    <col min="5639" max="5639" width="15.7109375" style="251" customWidth="1"/>
    <col min="5640" max="5640" width="9.140625" style="251"/>
    <col min="5641" max="5641" width="18.28515625" style="251" customWidth="1"/>
    <col min="5642" max="5642" width="10.140625" style="251" bestFit="1" customWidth="1"/>
    <col min="5643" max="5887" width="9.140625" style="251"/>
    <col min="5888" max="5888" width="7" style="251" customWidth="1"/>
    <col min="5889" max="5889" width="32.42578125" style="251" customWidth="1"/>
    <col min="5890" max="5890" width="50.5703125" style="251" customWidth="1"/>
    <col min="5891" max="5891" width="13.85546875" style="251" customWidth="1"/>
    <col min="5892" max="5892" width="13.28515625" style="251" customWidth="1"/>
    <col min="5893" max="5893" width="12.42578125" style="251" customWidth="1"/>
    <col min="5894" max="5894" width="14" style="251" customWidth="1"/>
    <col min="5895" max="5895" width="15.7109375" style="251" customWidth="1"/>
    <col min="5896" max="5896" width="9.140625" style="251"/>
    <col min="5897" max="5897" width="18.28515625" style="251" customWidth="1"/>
    <col min="5898" max="5898" width="10.140625" style="251" bestFit="1" customWidth="1"/>
    <col min="5899" max="6143" width="9.140625" style="251"/>
    <col min="6144" max="6144" width="7" style="251" customWidth="1"/>
    <col min="6145" max="6145" width="32.42578125" style="251" customWidth="1"/>
    <col min="6146" max="6146" width="50.5703125" style="251" customWidth="1"/>
    <col min="6147" max="6147" width="13.85546875" style="251" customWidth="1"/>
    <col min="6148" max="6148" width="13.28515625" style="251" customWidth="1"/>
    <col min="6149" max="6149" width="12.42578125" style="251" customWidth="1"/>
    <col min="6150" max="6150" width="14" style="251" customWidth="1"/>
    <col min="6151" max="6151" width="15.7109375" style="251" customWidth="1"/>
    <col min="6152" max="6152" width="9.140625" style="251"/>
    <col min="6153" max="6153" width="18.28515625" style="251" customWidth="1"/>
    <col min="6154" max="6154" width="10.140625" style="251" bestFit="1" customWidth="1"/>
    <col min="6155" max="6399" width="9.140625" style="251"/>
    <col min="6400" max="6400" width="7" style="251" customWidth="1"/>
    <col min="6401" max="6401" width="32.42578125" style="251" customWidth="1"/>
    <col min="6402" max="6402" width="50.5703125" style="251" customWidth="1"/>
    <col min="6403" max="6403" width="13.85546875" style="251" customWidth="1"/>
    <col min="6404" max="6404" width="13.28515625" style="251" customWidth="1"/>
    <col min="6405" max="6405" width="12.42578125" style="251" customWidth="1"/>
    <col min="6406" max="6406" width="14" style="251" customWidth="1"/>
    <col min="6407" max="6407" width="15.7109375" style="251" customWidth="1"/>
    <col min="6408" max="6408" width="9.140625" style="251"/>
    <col min="6409" max="6409" width="18.28515625" style="251" customWidth="1"/>
    <col min="6410" max="6410" width="10.140625" style="251" bestFit="1" customWidth="1"/>
    <col min="6411" max="6655" width="9.140625" style="251"/>
    <col min="6656" max="6656" width="7" style="251" customWidth="1"/>
    <col min="6657" max="6657" width="32.42578125" style="251" customWidth="1"/>
    <col min="6658" max="6658" width="50.5703125" style="251" customWidth="1"/>
    <col min="6659" max="6659" width="13.85546875" style="251" customWidth="1"/>
    <col min="6660" max="6660" width="13.28515625" style="251" customWidth="1"/>
    <col min="6661" max="6661" width="12.42578125" style="251" customWidth="1"/>
    <col min="6662" max="6662" width="14" style="251" customWidth="1"/>
    <col min="6663" max="6663" width="15.7109375" style="251" customWidth="1"/>
    <col min="6664" max="6664" width="9.140625" style="251"/>
    <col min="6665" max="6665" width="18.28515625" style="251" customWidth="1"/>
    <col min="6666" max="6666" width="10.140625" style="251" bestFit="1" customWidth="1"/>
    <col min="6667" max="6911" width="9.140625" style="251"/>
    <col min="6912" max="6912" width="7" style="251" customWidth="1"/>
    <col min="6913" max="6913" width="32.42578125" style="251" customWidth="1"/>
    <col min="6914" max="6914" width="50.5703125" style="251" customWidth="1"/>
    <col min="6915" max="6915" width="13.85546875" style="251" customWidth="1"/>
    <col min="6916" max="6916" width="13.28515625" style="251" customWidth="1"/>
    <col min="6917" max="6917" width="12.42578125" style="251" customWidth="1"/>
    <col min="6918" max="6918" width="14" style="251" customWidth="1"/>
    <col min="6919" max="6919" width="15.7109375" style="251" customWidth="1"/>
    <col min="6920" max="6920" width="9.140625" style="251"/>
    <col min="6921" max="6921" width="18.28515625" style="251" customWidth="1"/>
    <col min="6922" max="6922" width="10.140625" style="251" bestFit="1" customWidth="1"/>
    <col min="6923" max="7167" width="9.140625" style="251"/>
    <col min="7168" max="7168" width="7" style="251" customWidth="1"/>
    <col min="7169" max="7169" width="32.42578125" style="251" customWidth="1"/>
    <col min="7170" max="7170" width="50.5703125" style="251" customWidth="1"/>
    <col min="7171" max="7171" width="13.85546875" style="251" customWidth="1"/>
    <col min="7172" max="7172" width="13.28515625" style="251" customWidth="1"/>
    <col min="7173" max="7173" width="12.42578125" style="251" customWidth="1"/>
    <col min="7174" max="7174" width="14" style="251" customWidth="1"/>
    <col min="7175" max="7175" width="15.7109375" style="251" customWidth="1"/>
    <col min="7176" max="7176" width="9.140625" style="251"/>
    <col min="7177" max="7177" width="18.28515625" style="251" customWidth="1"/>
    <col min="7178" max="7178" width="10.140625" style="251" bestFit="1" customWidth="1"/>
    <col min="7179" max="7423" width="9.140625" style="251"/>
    <col min="7424" max="7424" width="7" style="251" customWidth="1"/>
    <col min="7425" max="7425" width="32.42578125" style="251" customWidth="1"/>
    <col min="7426" max="7426" width="50.5703125" style="251" customWidth="1"/>
    <col min="7427" max="7427" width="13.85546875" style="251" customWidth="1"/>
    <col min="7428" max="7428" width="13.28515625" style="251" customWidth="1"/>
    <col min="7429" max="7429" width="12.42578125" style="251" customWidth="1"/>
    <col min="7430" max="7430" width="14" style="251" customWidth="1"/>
    <col min="7431" max="7431" width="15.7109375" style="251" customWidth="1"/>
    <col min="7432" max="7432" width="9.140625" style="251"/>
    <col min="7433" max="7433" width="18.28515625" style="251" customWidth="1"/>
    <col min="7434" max="7434" width="10.140625" style="251" bestFit="1" customWidth="1"/>
    <col min="7435" max="7679" width="9.140625" style="251"/>
    <col min="7680" max="7680" width="7" style="251" customWidth="1"/>
    <col min="7681" max="7681" width="32.42578125" style="251" customWidth="1"/>
    <col min="7682" max="7682" width="50.5703125" style="251" customWidth="1"/>
    <col min="7683" max="7683" width="13.85546875" style="251" customWidth="1"/>
    <col min="7684" max="7684" width="13.28515625" style="251" customWidth="1"/>
    <col min="7685" max="7685" width="12.42578125" style="251" customWidth="1"/>
    <col min="7686" max="7686" width="14" style="251" customWidth="1"/>
    <col min="7687" max="7687" width="15.7109375" style="251" customWidth="1"/>
    <col min="7688" max="7688" width="9.140625" style="251"/>
    <col min="7689" max="7689" width="18.28515625" style="251" customWidth="1"/>
    <col min="7690" max="7690" width="10.140625" style="251" bestFit="1" customWidth="1"/>
    <col min="7691" max="7935" width="9.140625" style="251"/>
    <col min="7936" max="7936" width="7" style="251" customWidth="1"/>
    <col min="7937" max="7937" width="32.42578125" style="251" customWidth="1"/>
    <col min="7938" max="7938" width="50.5703125" style="251" customWidth="1"/>
    <col min="7939" max="7939" width="13.85546875" style="251" customWidth="1"/>
    <col min="7940" max="7940" width="13.28515625" style="251" customWidth="1"/>
    <col min="7941" max="7941" width="12.42578125" style="251" customWidth="1"/>
    <col min="7942" max="7942" width="14" style="251" customWidth="1"/>
    <col min="7943" max="7943" width="15.7109375" style="251" customWidth="1"/>
    <col min="7944" max="7944" width="9.140625" style="251"/>
    <col min="7945" max="7945" width="18.28515625" style="251" customWidth="1"/>
    <col min="7946" max="7946" width="10.140625" style="251" bestFit="1" customWidth="1"/>
    <col min="7947" max="8191" width="9.140625" style="251"/>
    <col min="8192" max="8192" width="7" style="251" customWidth="1"/>
    <col min="8193" max="8193" width="32.42578125" style="251" customWidth="1"/>
    <col min="8194" max="8194" width="50.5703125" style="251" customWidth="1"/>
    <col min="8195" max="8195" width="13.85546875" style="251" customWidth="1"/>
    <col min="8196" max="8196" width="13.28515625" style="251" customWidth="1"/>
    <col min="8197" max="8197" width="12.42578125" style="251" customWidth="1"/>
    <col min="8198" max="8198" width="14" style="251" customWidth="1"/>
    <col min="8199" max="8199" width="15.7109375" style="251" customWidth="1"/>
    <col min="8200" max="8200" width="9.140625" style="251"/>
    <col min="8201" max="8201" width="18.28515625" style="251" customWidth="1"/>
    <col min="8202" max="8202" width="10.140625" style="251" bestFit="1" customWidth="1"/>
    <col min="8203" max="8447" width="9.140625" style="251"/>
    <col min="8448" max="8448" width="7" style="251" customWidth="1"/>
    <col min="8449" max="8449" width="32.42578125" style="251" customWidth="1"/>
    <col min="8450" max="8450" width="50.5703125" style="251" customWidth="1"/>
    <col min="8451" max="8451" width="13.85546875" style="251" customWidth="1"/>
    <col min="8452" max="8452" width="13.28515625" style="251" customWidth="1"/>
    <col min="8453" max="8453" width="12.42578125" style="251" customWidth="1"/>
    <col min="8454" max="8454" width="14" style="251" customWidth="1"/>
    <col min="8455" max="8455" width="15.7109375" style="251" customWidth="1"/>
    <col min="8456" max="8456" width="9.140625" style="251"/>
    <col min="8457" max="8457" width="18.28515625" style="251" customWidth="1"/>
    <col min="8458" max="8458" width="10.140625" style="251" bestFit="1" customWidth="1"/>
    <col min="8459" max="8703" width="9.140625" style="251"/>
    <col min="8704" max="8704" width="7" style="251" customWidth="1"/>
    <col min="8705" max="8705" width="32.42578125" style="251" customWidth="1"/>
    <col min="8706" max="8706" width="50.5703125" style="251" customWidth="1"/>
    <col min="8707" max="8707" width="13.85546875" style="251" customWidth="1"/>
    <col min="8708" max="8708" width="13.28515625" style="251" customWidth="1"/>
    <col min="8709" max="8709" width="12.42578125" style="251" customWidth="1"/>
    <col min="8710" max="8710" width="14" style="251" customWidth="1"/>
    <col min="8711" max="8711" width="15.7109375" style="251" customWidth="1"/>
    <col min="8712" max="8712" width="9.140625" style="251"/>
    <col min="8713" max="8713" width="18.28515625" style="251" customWidth="1"/>
    <col min="8714" max="8714" width="10.140625" style="251" bestFit="1" customWidth="1"/>
    <col min="8715" max="8959" width="9.140625" style="251"/>
    <col min="8960" max="8960" width="7" style="251" customWidth="1"/>
    <col min="8961" max="8961" width="32.42578125" style="251" customWidth="1"/>
    <col min="8962" max="8962" width="50.5703125" style="251" customWidth="1"/>
    <col min="8963" max="8963" width="13.85546875" style="251" customWidth="1"/>
    <col min="8964" max="8964" width="13.28515625" style="251" customWidth="1"/>
    <col min="8965" max="8965" width="12.42578125" style="251" customWidth="1"/>
    <col min="8966" max="8966" width="14" style="251" customWidth="1"/>
    <col min="8967" max="8967" width="15.7109375" style="251" customWidth="1"/>
    <col min="8968" max="8968" width="9.140625" style="251"/>
    <col min="8969" max="8969" width="18.28515625" style="251" customWidth="1"/>
    <col min="8970" max="8970" width="10.140625" style="251" bestFit="1" customWidth="1"/>
    <col min="8971" max="9215" width="9.140625" style="251"/>
    <col min="9216" max="9216" width="7" style="251" customWidth="1"/>
    <col min="9217" max="9217" width="32.42578125" style="251" customWidth="1"/>
    <col min="9218" max="9218" width="50.5703125" style="251" customWidth="1"/>
    <col min="9219" max="9219" width="13.85546875" style="251" customWidth="1"/>
    <col min="9220" max="9220" width="13.28515625" style="251" customWidth="1"/>
    <col min="9221" max="9221" width="12.42578125" style="251" customWidth="1"/>
    <col min="9222" max="9222" width="14" style="251" customWidth="1"/>
    <col min="9223" max="9223" width="15.7109375" style="251" customWidth="1"/>
    <col min="9224" max="9224" width="9.140625" style="251"/>
    <col min="9225" max="9225" width="18.28515625" style="251" customWidth="1"/>
    <col min="9226" max="9226" width="10.140625" style="251" bestFit="1" customWidth="1"/>
    <col min="9227" max="9471" width="9.140625" style="251"/>
    <col min="9472" max="9472" width="7" style="251" customWidth="1"/>
    <col min="9473" max="9473" width="32.42578125" style="251" customWidth="1"/>
    <col min="9474" max="9474" width="50.5703125" style="251" customWidth="1"/>
    <col min="9475" max="9475" width="13.85546875" style="251" customWidth="1"/>
    <col min="9476" max="9476" width="13.28515625" style="251" customWidth="1"/>
    <col min="9477" max="9477" width="12.42578125" style="251" customWidth="1"/>
    <col min="9478" max="9478" width="14" style="251" customWidth="1"/>
    <col min="9479" max="9479" width="15.7109375" style="251" customWidth="1"/>
    <col min="9480" max="9480" width="9.140625" style="251"/>
    <col min="9481" max="9481" width="18.28515625" style="251" customWidth="1"/>
    <col min="9482" max="9482" width="10.140625" style="251" bestFit="1" customWidth="1"/>
    <col min="9483" max="9727" width="9.140625" style="251"/>
    <col min="9728" max="9728" width="7" style="251" customWidth="1"/>
    <col min="9729" max="9729" width="32.42578125" style="251" customWidth="1"/>
    <col min="9730" max="9730" width="50.5703125" style="251" customWidth="1"/>
    <col min="9731" max="9731" width="13.85546875" style="251" customWidth="1"/>
    <col min="9732" max="9732" width="13.28515625" style="251" customWidth="1"/>
    <col min="9733" max="9733" width="12.42578125" style="251" customWidth="1"/>
    <col min="9734" max="9734" width="14" style="251" customWidth="1"/>
    <col min="9735" max="9735" width="15.7109375" style="251" customWidth="1"/>
    <col min="9736" max="9736" width="9.140625" style="251"/>
    <col min="9737" max="9737" width="18.28515625" style="251" customWidth="1"/>
    <col min="9738" max="9738" width="10.140625" style="251" bestFit="1" customWidth="1"/>
    <col min="9739" max="9983" width="9.140625" style="251"/>
    <col min="9984" max="9984" width="7" style="251" customWidth="1"/>
    <col min="9985" max="9985" width="32.42578125" style="251" customWidth="1"/>
    <col min="9986" max="9986" width="50.5703125" style="251" customWidth="1"/>
    <col min="9987" max="9987" width="13.85546875" style="251" customWidth="1"/>
    <col min="9988" max="9988" width="13.28515625" style="251" customWidth="1"/>
    <col min="9989" max="9989" width="12.42578125" style="251" customWidth="1"/>
    <col min="9990" max="9990" width="14" style="251" customWidth="1"/>
    <col min="9991" max="9991" width="15.7109375" style="251" customWidth="1"/>
    <col min="9992" max="9992" width="9.140625" style="251"/>
    <col min="9993" max="9993" width="18.28515625" style="251" customWidth="1"/>
    <col min="9994" max="9994" width="10.140625" style="251" bestFit="1" customWidth="1"/>
    <col min="9995" max="10239" width="9.140625" style="251"/>
    <col min="10240" max="10240" width="7" style="251" customWidth="1"/>
    <col min="10241" max="10241" width="32.42578125" style="251" customWidth="1"/>
    <col min="10242" max="10242" width="50.5703125" style="251" customWidth="1"/>
    <col min="10243" max="10243" width="13.85546875" style="251" customWidth="1"/>
    <col min="10244" max="10244" width="13.28515625" style="251" customWidth="1"/>
    <col min="10245" max="10245" width="12.42578125" style="251" customWidth="1"/>
    <col min="10246" max="10246" width="14" style="251" customWidth="1"/>
    <col min="10247" max="10247" width="15.7109375" style="251" customWidth="1"/>
    <col min="10248" max="10248" width="9.140625" style="251"/>
    <col min="10249" max="10249" width="18.28515625" style="251" customWidth="1"/>
    <col min="10250" max="10250" width="10.140625" style="251" bestFit="1" customWidth="1"/>
    <col min="10251" max="10495" width="9.140625" style="251"/>
    <col min="10496" max="10496" width="7" style="251" customWidth="1"/>
    <col min="10497" max="10497" width="32.42578125" style="251" customWidth="1"/>
    <col min="10498" max="10498" width="50.5703125" style="251" customWidth="1"/>
    <col min="10499" max="10499" width="13.85546875" style="251" customWidth="1"/>
    <col min="10500" max="10500" width="13.28515625" style="251" customWidth="1"/>
    <col min="10501" max="10501" width="12.42578125" style="251" customWidth="1"/>
    <col min="10502" max="10502" width="14" style="251" customWidth="1"/>
    <col min="10503" max="10503" width="15.7109375" style="251" customWidth="1"/>
    <col min="10504" max="10504" width="9.140625" style="251"/>
    <col min="10505" max="10505" width="18.28515625" style="251" customWidth="1"/>
    <col min="10506" max="10506" width="10.140625" style="251" bestFit="1" customWidth="1"/>
    <col min="10507" max="10751" width="9.140625" style="251"/>
    <col min="10752" max="10752" width="7" style="251" customWidth="1"/>
    <col min="10753" max="10753" width="32.42578125" style="251" customWidth="1"/>
    <col min="10754" max="10754" width="50.5703125" style="251" customWidth="1"/>
    <col min="10755" max="10755" width="13.85546875" style="251" customWidth="1"/>
    <col min="10756" max="10756" width="13.28515625" style="251" customWidth="1"/>
    <col min="10757" max="10757" width="12.42578125" style="251" customWidth="1"/>
    <col min="10758" max="10758" width="14" style="251" customWidth="1"/>
    <col min="10759" max="10759" width="15.7109375" style="251" customWidth="1"/>
    <col min="10760" max="10760" width="9.140625" style="251"/>
    <col min="10761" max="10761" width="18.28515625" style="251" customWidth="1"/>
    <col min="10762" max="10762" width="10.140625" style="251" bestFit="1" customWidth="1"/>
    <col min="10763" max="11007" width="9.140625" style="251"/>
    <col min="11008" max="11008" width="7" style="251" customWidth="1"/>
    <col min="11009" max="11009" width="32.42578125" style="251" customWidth="1"/>
    <col min="11010" max="11010" width="50.5703125" style="251" customWidth="1"/>
    <col min="11011" max="11011" width="13.85546875" style="251" customWidth="1"/>
    <col min="11012" max="11012" width="13.28515625" style="251" customWidth="1"/>
    <col min="11013" max="11013" width="12.42578125" style="251" customWidth="1"/>
    <col min="11014" max="11014" width="14" style="251" customWidth="1"/>
    <col min="11015" max="11015" width="15.7109375" style="251" customWidth="1"/>
    <col min="11016" max="11016" width="9.140625" style="251"/>
    <col min="11017" max="11017" width="18.28515625" style="251" customWidth="1"/>
    <col min="11018" max="11018" width="10.140625" style="251" bestFit="1" customWidth="1"/>
    <col min="11019" max="11263" width="9.140625" style="251"/>
    <col min="11264" max="11264" width="7" style="251" customWidth="1"/>
    <col min="11265" max="11265" width="32.42578125" style="251" customWidth="1"/>
    <col min="11266" max="11266" width="50.5703125" style="251" customWidth="1"/>
    <col min="11267" max="11267" width="13.85546875" style="251" customWidth="1"/>
    <col min="11268" max="11268" width="13.28515625" style="251" customWidth="1"/>
    <col min="11269" max="11269" width="12.42578125" style="251" customWidth="1"/>
    <col min="11270" max="11270" width="14" style="251" customWidth="1"/>
    <col min="11271" max="11271" width="15.7109375" style="251" customWidth="1"/>
    <col min="11272" max="11272" width="9.140625" style="251"/>
    <col min="11273" max="11273" width="18.28515625" style="251" customWidth="1"/>
    <col min="11274" max="11274" width="10.140625" style="251" bestFit="1" customWidth="1"/>
    <col min="11275" max="11519" width="9.140625" style="251"/>
    <col min="11520" max="11520" width="7" style="251" customWidth="1"/>
    <col min="11521" max="11521" width="32.42578125" style="251" customWidth="1"/>
    <col min="11522" max="11522" width="50.5703125" style="251" customWidth="1"/>
    <col min="11523" max="11523" width="13.85546875" style="251" customWidth="1"/>
    <col min="11524" max="11524" width="13.28515625" style="251" customWidth="1"/>
    <col min="11525" max="11525" width="12.42578125" style="251" customWidth="1"/>
    <col min="11526" max="11526" width="14" style="251" customWidth="1"/>
    <col min="11527" max="11527" width="15.7109375" style="251" customWidth="1"/>
    <col min="11528" max="11528" width="9.140625" style="251"/>
    <col min="11529" max="11529" width="18.28515625" style="251" customWidth="1"/>
    <col min="11530" max="11530" width="10.140625" style="251" bestFit="1" customWidth="1"/>
    <col min="11531" max="11775" width="9.140625" style="251"/>
    <col min="11776" max="11776" width="7" style="251" customWidth="1"/>
    <col min="11777" max="11777" width="32.42578125" style="251" customWidth="1"/>
    <col min="11778" max="11778" width="50.5703125" style="251" customWidth="1"/>
    <col min="11779" max="11779" width="13.85546875" style="251" customWidth="1"/>
    <col min="11780" max="11780" width="13.28515625" style="251" customWidth="1"/>
    <col min="11781" max="11781" width="12.42578125" style="251" customWidth="1"/>
    <col min="11782" max="11782" width="14" style="251" customWidth="1"/>
    <col min="11783" max="11783" width="15.7109375" style="251" customWidth="1"/>
    <col min="11784" max="11784" width="9.140625" style="251"/>
    <col min="11785" max="11785" width="18.28515625" style="251" customWidth="1"/>
    <col min="11786" max="11786" width="10.140625" style="251" bestFit="1" customWidth="1"/>
    <col min="11787" max="12031" width="9.140625" style="251"/>
    <col min="12032" max="12032" width="7" style="251" customWidth="1"/>
    <col min="12033" max="12033" width="32.42578125" style="251" customWidth="1"/>
    <col min="12034" max="12034" width="50.5703125" style="251" customWidth="1"/>
    <col min="12035" max="12035" width="13.85546875" style="251" customWidth="1"/>
    <col min="12036" max="12036" width="13.28515625" style="251" customWidth="1"/>
    <col min="12037" max="12037" width="12.42578125" style="251" customWidth="1"/>
    <col min="12038" max="12038" width="14" style="251" customWidth="1"/>
    <col min="12039" max="12039" width="15.7109375" style="251" customWidth="1"/>
    <col min="12040" max="12040" width="9.140625" style="251"/>
    <col min="12041" max="12041" width="18.28515625" style="251" customWidth="1"/>
    <col min="12042" max="12042" width="10.140625" style="251" bestFit="1" customWidth="1"/>
    <col min="12043" max="12287" width="9.140625" style="251"/>
    <col min="12288" max="12288" width="7" style="251" customWidth="1"/>
    <col min="12289" max="12289" width="32.42578125" style="251" customWidth="1"/>
    <col min="12290" max="12290" width="50.5703125" style="251" customWidth="1"/>
    <col min="12291" max="12291" width="13.85546875" style="251" customWidth="1"/>
    <col min="12292" max="12292" width="13.28515625" style="251" customWidth="1"/>
    <col min="12293" max="12293" width="12.42578125" style="251" customWidth="1"/>
    <col min="12294" max="12294" width="14" style="251" customWidth="1"/>
    <col min="12295" max="12295" width="15.7109375" style="251" customWidth="1"/>
    <col min="12296" max="12296" width="9.140625" style="251"/>
    <col min="12297" max="12297" width="18.28515625" style="251" customWidth="1"/>
    <col min="12298" max="12298" width="10.140625" style="251" bestFit="1" customWidth="1"/>
    <col min="12299" max="12543" width="9.140625" style="251"/>
    <col min="12544" max="12544" width="7" style="251" customWidth="1"/>
    <col min="12545" max="12545" width="32.42578125" style="251" customWidth="1"/>
    <col min="12546" max="12546" width="50.5703125" style="251" customWidth="1"/>
    <col min="12547" max="12547" width="13.85546875" style="251" customWidth="1"/>
    <col min="12548" max="12548" width="13.28515625" style="251" customWidth="1"/>
    <col min="12549" max="12549" width="12.42578125" style="251" customWidth="1"/>
    <col min="12550" max="12550" width="14" style="251" customWidth="1"/>
    <col min="12551" max="12551" width="15.7109375" style="251" customWidth="1"/>
    <col min="12552" max="12552" width="9.140625" style="251"/>
    <col min="12553" max="12553" width="18.28515625" style="251" customWidth="1"/>
    <col min="12554" max="12554" width="10.140625" style="251" bestFit="1" customWidth="1"/>
    <col min="12555" max="12799" width="9.140625" style="251"/>
    <col min="12800" max="12800" width="7" style="251" customWidth="1"/>
    <col min="12801" max="12801" width="32.42578125" style="251" customWidth="1"/>
    <col min="12802" max="12802" width="50.5703125" style="251" customWidth="1"/>
    <col min="12803" max="12803" width="13.85546875" style="251" customWidth="1"/>
    <col min="12804" max="12804" width="13.28515625" style="251" customWidth="1"/>
    <col min="12805" max="12805" width="12.42578125" style="251" customWidth="1"/>
    <col min="12806" max="12806" width="14" style="251" customWidth="1"/>
    <col min="12807" max="12807" width="15.7109375" style="251" customWidth="1"/>
    <col min="12808" max="12808" width="9.140625" style="251"/>
    <col min="12809" max="12809" width="18.28515625" style="251" customWidth="1"/>
    <col min="12810" max="12810" width="10.140625" style="251" bestFit="1" customWidth="1"/>
    <col min="12811" max="13055" width="9.140625" style="251"/>
    <col min="13056" max="13056" width="7" style="251" customWidth="1"/>
    <col min="13057" max="13057" width="32.42578125" style="251" customWidth="1"/>
    <col min="13058" max="13058" width="50.5703125" style="251" customWidth="1"/>
    <col min="13059" max="13059" width="13.85546875" style="251" customWidth="1"/>
    <col min="13060" max="13060" width="13.28515625" style="251" customWidth="1"/>
    <col min="13061" max="13061" width="12.42578125" style="251" customWidth="1"/>
    <col min="13062" max="13062" width="14" style="251" customWidth="1"/>
    <col min="13063" max="13063" width="15.7109375" style="251" customWidth="1"/>
    <col min="13064" max="13064" width="9.140625" style="251"/>
    <col min="13065" max="13065" width="18.28515625" style="251" customWidth="1"/>
    <col min="13066" max="13066" width="10.140625" style="251" bestFit="1" customWidth="1"/>
    <col min="13067" max="13311" width="9.140625" style="251"/>
    <col min="13312" max="13312" width="7" style="251" customWidth="1"/>
    <col min="13313" max="13313" width="32.42578125" style="251" customWidth="1"/>
    <col min="13314" max="13314" width="50.5703125" style="251" customWidth="1"/>
    <col min="13315" max="13315" width="13.85546875" style="251" customWidth="1"/>
    <col min="13316" max="13316" width="13.28515625" style="251" customWidth="1"/>
    <col min="13317" max="13317" width="12.42578125" style="251" customWidth="1"/>
    <col min="13318" max="13318" width="14" style="251" customWidth="1"/>
    <col min="13319" max="13319" width="15.7109375" style="251" customWidth="1"/>
    <col min="13320" max="13320" width="9.140625" style="251"/>
    <col min="13321" max="13321" width="18.28515625" style="251" customWidth="1"/>
    <col min="13322" max="13322" width="10.140625" style="251" bestFit="1" customWidth="1"/>
    <col min="13323" max="13567" width="9.140625" style="251"/>
    <col min="13568" max="13568" width="7" style="251" customWidth="1"/>
    <col min="13569" max="13569" width="32.42578125" style="251" customWidth="1"/>
    <col min="13570" max="13570" width="50.5703125" style="251" customWidth="1"/>
    <col min="13571" max="13571" width="13.85546875" style="251" customWidth="1"/>
    <col min="13572" max="13572" width="13.28515625" style="251" customWidth="1"/>
    <col min="13573" max="13573" width="12.42578125" style="251" customWidth="1"/>
    <col min="13574" max="13574" width="14" style="251" customWidth="1"/>
    <col min="13575" max="13575" width="15.7109375" style="251" customWidth="1"/>
    <col min="13576" max="13576" width="9.140625" style="251"/>
    <col min="13577" max="13577" width="18.28515625" style="251" customWidth="1"/>
    <col min="13578" max="13578" width="10.140625" style="251" bestFit="1" customWidth="1"/>
    <col min="13579" max="13823" width="9.140625" style="251"/>
    <col min="13824" max="13824" width="7" style="251" customWidth="1"/>
    <col min="13825" max="13825" width="32.42578125" style="251" customWidth="1"/>
    <col min="13826" max="13826" width="50.5703125" style="251" customWidth="1"/>
    <col min="13827" max="13827" width="13.85546875" style="251" customWidth="1"/>
    <col min="13828" max="13828" width="13.28515625" style="251" customWidth="1"/>
    <col min="13829" max="13829" width="12.42578125" style="251" customWidth="1"/>
    <col min="13830" max="13830" width="14" style="251" customWidth="1"/>
    <col min="13831" max="13831" width="15.7109375" style="251" customWidth="1"/>
    <col min="13832" max="13832" width="9.140625" style="251"/>
    <col min="13833" max="13833" width="18.28515625" style="251" customWidth="1"/>
    <col min="13834" max="13834" width="10.140625" style="251" bestFit="1" customWidth="1"/>
    <col min="13835" max="14079" width="9.140625" style="251"/>
    <col min="14080" max="14080" width="7" style="251" customWidth="1"/>
    <col min="14081" max="14081" width="32.42578125" style="251" customWidth="1"/>
    <col min="14082" max="14082" width="50.5703125" style="251" customWidth="1"/>
    <col min="14083" max="14083" width="13.85546875" style="251" customWidth="1"/>
    <col min="14084" max="14084" width="13.28515625" style="251" customWidth="1"/>
    <col min="14085" max="14085" width="12.42578125" style="251" customWidth="1"/>
    <col min="14086" max="14086" width="14" style="251" customWidth="1"/>
    <col min="14087" max="14087" width="15.7109375" style="251" customWidth="1"/>
    <col min="14088" max="14088" width="9.140625" style="251"/>
    <col min="14089" max="14089" width="18.28515625" style="251" customWidth="1"/>
    <col min="14090" max="14090" width="10.140625" style="251" bestFit="1" customWidth="1"/>
    <col min="14091" max="14335" width="9.140625" style="251"/>
    <col min="14336" max="14336" width="7" style="251" customWidth="1"/>
    <col min="14337" max="14337" width="32.42578125" style="251" customWidth="1"/>
    <col min="14338" max="14338" width="50.5703125" style="251" customWidth="1"/>
    <col min="14339" max="14339" width="13.85546875" style="251" customWidth="1"/>
    <col min="14340" max="14340" width="13.28515625" style="251" customWidth="1"/>
    <col min="14341" max="14341" width="12.42578125" style="251" customWidth="1"/>
    <col min="14342" max="14342" width="14" style="251" customWidth="1"/>
    <col min="14343" max="14343" width="15.7109375" style="251" customWidth="1"/>
    <col min="14344" max="14344" width="9.140625" style="251"/>
    <col min="14345" max="14345" width="18.28515625" style="251" customWidth="1"/>
    <col min="14346" max="14346" width="10.140625" style="251" bestFit="1" customWidth="1"/>
    <col min="14347" max="14591" width="9.140625" style="251"/>
    <col min="14592" max="14592" width="7" style="251" customWidth="1"/>
    <col min="14593" max="14593" width="32.42578125" style="251" customWidth="1"/>
    <col min="14594" max="14594" width="50.5703125" style="251" customWidth="1"/>
    <col min="14595" max="14595" width="13.85546875" style="251" customWidth="1"/>
    <col min="14596" max="14596" width="13.28515625" style="251" customWidth="1"/>
    <col min="14597" max="14597" width="12.42578125" style="251" customWidth="1"/>
    <col min="14598" max="14598" width="14" style="251" customWidth="1"/>
    <col min="14599" max="14599" width="15.7109375" style="251" customWidth="1"/>
    <col min="14600" max="14600" width="9.140625" style="251"/>
    <col min="14601" max="14601" width="18.28515625" style="251" customWidth="1"/>
    <col min="14602" max="14602" width="10.140625" style="251" bestFit="1" customWidth="1"/>
    <col min="14603" max="14847" width="9.140625" style="251"/>
    <col min="14848" max="14848" width="7" style="251" customWidth="1"/>
    <col min="14849" max="14849" width="32.42578125" style="251" customWidth="1"/>
    <col min="14850" max="14850" width="50.5703125" style="251" customWidth="1"/>
    <col min="14851" max="14851" width="13.85546875" style="251" customWidth="1"/>
    <col min="14852" max="14852" width="13.28515625" style="251" customWidth="1"/>
    <col min="14853" max="14853" width="12.42578125" style="251" customWidth="1"/>
    <col min="14854" max="14854" width="14" style="251" customWidth="1"/>
    <col min="14855" max="14855" width="15.7109375" style="251" customWidth="1"/>
    <col min="14856" max="14856" width="9.140625" style="251"/>
    <col min="14857" max="14857" width="18.28515625" style="251" customWidth="1"/>
    <col min="14858" max="14858" width="10.140625" style="251" bestFit="1" customWidth="1"/>
    <col min="14859" max="15103" width="9.140625" style="251"/>
    <col min="15104" max="15104" width="7" style="251" customWidth="1"/>
    <col min="15105" max="15105" width="32.42578125" style="251" customWidth="1"/>
    <col min="15106" max="15106" width="50.5703125" style="251" customWidth="1"/>
    <col min="15107" max="15107" width="13.85546875" style="251" customWidth="1"/>
    <col min="15108" max="15108" width="13.28515625" style="251" customWidth="1"/>
    <col min="15109" max="15109" width="12.42578125" style="251" customWidth="1"/>
    <col min="15110" max="15110" width="14" style="251" customWidth="1"/>
    <col min="15111" max="15111" width="15.7109375" style="251" customWidth="1"/>
    <col min="15112" max="15112" width="9.140625" style="251"/>
    <col min="15113" max="15113" width="18.28515625" style="251" customWidth="1"/>
    <col min="15114" max="15114" width="10.140625" style="251" bestFit="1" customWidth="1"/>
    <col min="15115" max="15359" width="9.140625" style="251"/>
    <col min="15360" max="15360" width="7" style="251" customWidth="1"/>
    <col min="15361" max="15361" width="32.42578125" style="251" customWidth="1"/>
    <col min="15362" max="15362" width="50.5703125" style="251" customWidth="1"/>
    <col min="15363" max="15363" width="13.85546875" style="251" customWidth="1"/>
    <col min="15364" max="15364" width="13.28515625" style="251" customWidth="1"/>
    <col min="15365" max="15365" width="12.42578125" style="251" customWidth="1"/>
    <col min="15366" max="15366" width="14" style="251" customWidth="1"/>
    <col min="15367" max="15367" width="15.7109375" style="251" customWidth="1"/>
    <col min="15368" max="15368" width="9.140625" style="251"/>
    <col min="15369" max="15369" width="18.28515625" style="251" customWidth="1"/>
    <col min="15370" max="15370" width="10.140625" style="251" bestFit="1" customWidth="1"/>
    <col min="15371" max="15615" width="9.140625" style="251"/>
    <col min="15616" max="15616" width="7" style="251" customWidth="1"/>
    <col min="15617" max="15617" width="32.42578125" style="251" customWidth="1"/>
    <col min="15618" max="15618" width="50.5703125" style="251" customWidth="1"/>
    <col min="15619" max="15619" width="13.85546875" style="251" customWidth="1"/>
    <col min="15620" max="15620" width="13.28515625" style="251" customWidth="1"/>
    <col min="15621" max="15621" width="12.42578125" style="251" customWidth="1"/>
    <col min="15622" max="15622" width="14" style="251" customWidth="1"/>
    <col min="15623" max="15623" width="15.7109375" style="251" customWidth="1"/>
    <col min="15624" max="15624" width="9.140625" style="251"/>
    <col min="15625" max="15625" width="18.28515625" style="251" customWidth="1"/>
    <col min="15626" max="15626" width="10.140625" style="251" bestFit="1" customWidth="1"/>
    <col min="15627" max="15871" width="9.140625" style="251"/>
    <col min="15872" max="15872" width="7" style="251" customWidth="1"/>
    <col min="15873" max="15873" width="32.42578125" style="251" customWidth="1"/>
    <col min="15874" max="15874" width="50.5703125" style="251" customWidth="1"/>
    <col min="15875" max="15875" width="13.85546875" style="251" customWidth="1"/>
    <col min="15876" max="15876" width="13.28515625" style="251" customWidth="1"/>
    <col min="15877" max="15877" width="12.42578125" style="251" customWidth="1"/>
    <col min="15878" max="15878" width="14" style="251" customWidth="1"/>
    <col min="15879" max="15879" width="15.7109375" style="251" customWidth="1"/>
    <col min="15880" max="15880" width="9.140625" style="251"/>
    <col min="15881" max="15881" width="18.28515625" style="251" customWidth="1"/>
    <col min="15882" max="15882" width="10.140625" style="251" bestFit="1" customWidth="1"/>
    <col min="15883" max="16127" width="9.140625" style="251"/>
    <col min="16128" max="16128" width="7" style="251" customWidth="1"/>
    <col min="16129" max="16129" width="32.42578125" style="251" customWidth="1"/>
    <col min="16130" max="16130" width="50.5703125" style="251" customWidth="1"/>
    <col min="16131" max="16131" width="13.85546875" style="251" customWidth="1"/>
    <col min="16132" max="16132" width="13.28515625" style="251" customWidth="1"/>
    <col min="16133" max="16133" width="12.42578125" style="251" customWidth="1"/>
    <col min="16134" max="16134" width="14" style="251" customWidth="1"/>
    <col min="16135" max="16135" width="15.7109375" style="251" customWidth="1"/>
    <col min="16136" max="16136" width="9.140625" style="251"/>
    <col min="16137" max="16137" width="18.28515625" style="251" customWidth="1"/>
    <col min="16138" max="16138" width="10.140625" style="251" bestFit="1" customWidth="1"/>
    <col min="16139" max="16384" width="9.140625" style="251"/>
  </cols>
  <sheetData>
    <row r="1" spans="1:45" ht="20.25" customHeight="1">
      <c r="A1" s="246" t="s">
        <v>223</v>
      </c>
      <c r="B1" s="246"/>
      <c r="C1" s="247"/>
      <c r="D1" s="248">
        <f>G28</f>
        <v>15.061590000000001</v>
      </c>
      <c r="E1" s="249" t="s">
        <v>224</v>
      </c>
      <c r="F1" s="247"/>
      <c r="G1" s="250"/>
    </row>
    <row r="2" spans="1:45" ht="15">
      <c r="A2" s="252"/>
      <c r="B2" s="253"/>
      <c r="C2" s="253"/>
      <c r="D2" s="253"/>
      <c r="E2" s="253"/>
      <c r="F2" s="253"/>
      <c r="G2" s="254"/>
    </row>
    <row r="3" spans="1:45" ht="15.75">
      <c r="A3" s="890" t="s">
        <v>225</v>
      </c>
      <c r="B3" s="890"/>
      <c r="C3" s="890"/>
      <c r="D3" s="890"/>
      <c r="E3" s="890"/>
      <c r="F3" s="890"/>
      <c r="G3" s="890"/>
    </row>
    <row r="4" spans="1:45" ht="9.75" customHeight="1">
      <c r="A4" s="252"/>
      <c r="B4" s="253"/>
      <c r="C4" s="255"/>
      <c r="D4" s="256"/>
      <c r="E4" s="253"/>
      <c r="F4" s="253"/>
      <c r="G4" s="257"/>
    </row>
    <row r="5" spans="1:45" ht="31.9" customHeight="1">
      <c r="A5" s="891" t="str">
        <f>'Данные '!D5</f>
        <v>Расчет сметной стоимости инвестиционного проекта по титулу:</v>
      </c>
      <c r="B5" s="891"/>
      <c r="C5" s="891"/>
      <c r="D5" s="891"/>
      <c r="E5" s="891"/>
      <c r="F5" s="891"/>
      <c r="G5" s="891"/>
    </row>
    <row r="6" spans="1:45" ht="8.25" customHeight="1">
      <c r="A6" s="252"/>
      <c r="B6" s="258"/>
      <c r="C6" s="259"/>
      <c r="D6" s="259"/>
      <c r="E6" s="259"/>
      <c r="F6" s="259"/>
      <c r="G6" s="260"/>
    </row>
    <row r="7" spans="1:45" s="265" customFormat="1" ht="15.75" thickBot="1">
      <c r="A7" s="892" t="s">
        <v>361</v>
      </c>
      <c r="B7" s="893"/>
      <c r="C7" s="893"/>
      <c r="D7" s="261"/>
      <c r="E7" s="262"/>
      <c r="F7" s="263"/>
      <c r="G7" s="264"/>
    </row>
    <row r="8" spans="1:45" ht="16.5" customHeight="1">
      <c r="A8" s="894" t="s">
        <v>101</v>
      </c>
      <c r="B8" s="896" t="s">
        <v>17</v>
      </c>
      <c r="C8" s="898" t="s">
        <v>226</v>
      </c>
      <c r="D8" s="900" t="s">
        <v>227</v>
      </c>
      <c r="E8" s="901"/>
      <c r="F8" s="901"/>
      <c r="G8" s="902"/>
    </row>
    <row r="9" spans="1:45" ht="62.25" customHeight="1">
      <c r="A9" s="895"/>
      <c r="B9" s="897"/>
      <c r="C9" s="899"/>
      <c r="D9" s="266" t="s">
        <v>228</v>
      </c>
      <c r="E9" s="266" t="s">
        <v>229</v>
      </c>
      <c r="F9" s="266" t="s">
        <v>230</v>
      </c>
      <c r="G9" s="267" t="s">
        <v>231</v>
      </c>
    </row>
    <row r="10" spans="1:45" s="272" customFormat="1" ht="15.75" thickBot="1">
      <c r="A10" s="268">
        <v>1</v>
      </c>
      <c r="B10" s="269">
        <v>2</v>
      </c>
      <c r="C10" s="269">
        <v>3</v>
      </c>
      <c r="D10" s="270">
        <v>4</v>
      </c>
      <c r="E10" s="270">
        <v>6</v>
      </c>
      <c r="F10" s="270">
        <v>7</v>
      </c>
      <c r="G10" s="271">
        <v>8</v>
      </c>
    </row>
    <row r="11" spans="1:45" s="278" customFormat="1" ht="20.100000000000001" customHeight="1">
      <c r="A11" s="273"/>
      <c r="B11" s="274"/>
      <c r="C11" s="275" t="s">
        <v>232</v>
      </c>
      <c r="D11" s="276"/>
      <c r="E11" s="276"/>
      <c r="F11" s="276"/>
      <c r="G11" s="277"/>
    </row>
    <row r="12" spans="1:45" ht="63.75" customHeight="1">
      <c r="A12" s="279">
        <v>1</v>
      </c>
      <c r="B12" s="280" t="s">
        <v>233</v>
      </c>
      <c r="C12" s="281" t="str">
        <f>A5</f>
        <v>Расчет сметной стоимости инвестиционного проекта по титулу:</v>
      </c>
      <c r="D12" s="282">
        <f>'ССР позиции '!O3/1000</f>
        <v>10.465200000000001</v>
      </c>
      <c r="E12" s="282">
        <f>'ССР позиции '!Q3/1000</f>
        <v>0</v>
      </c>
      <c r="F12" s="283">
        <f>'ССР позиции '!R4/1000</f>
        <v>0</v>
      </c>
      <c r="G12" s="284">
        <f>SUM(D12:F12)</f>
        <v>10.465200000000001</v>
      </c>
    </row>
    <row r="13" spans="1:45" s="278" customFormat="1" ht="20.100000000000001" customHeight="1">
      <c r="A13" s="285"/>
      <c r="B13" s="286"/>
      <c r="C13" s="287" t="s">
        <v>234</v>
      </c>
      <c r="D13" s="288">
        <f>D12</f>
        <v>10.465200000000001</v>
      </c>
      <c r="E13" s="288">
        <f>E12</f>
        <v>0</v>
      </c>
      <c r="F13" s="288">
        <f>F12</f>
        <v>0</v>
      </c>
      <c r="G13" s="289">
        <f>SUM(D13:F13)</f>
        <v>10.465200000000001</v>
      </c>
      <c r="AQ13" s="290">
        <f>D26/G26</f>
        <v>0.85877538426694489</v>
      </c>
      <c r="AR13" s="290">
        <f>E26/G26</f>
        <v>0</v>
      </c>
      <c r="AS13" s="290">
        <f>F26/G26</f>
        <v>0.1412246157330552</v>
      </c>
    </row>
    <row r="14" spans="1:45" ht="20.100000000000001" customHeight="1">
      <c r="A14" s="291"/>
      <c r="B14" s="292"/>
      <c r="C14" s="293" t="s">
        <v>235</v>
      </c>
      <c r="D14" s="294"/>
      <c r="E14" s="295"/>
      <c r="F14" s="294"/>
      <c r="G14" s="296"/>
    </row>
    <row r="15" spans="1:45" ht="20.100000000000001" customHeight="1">
      <c r="A15" s="279">
        <v>2</v>
      </c>
      <c r="B15" s="280" t="s">
        <v>233</v>
      </c>
      <c r="C15" s="281" t="s">
        <v>50</v>
      </c>
      <c r="D15" s="283"/>
      <c r="E15" s="297"/>
      <c r="F15" s="283">
        <f>'ССР позиции '!S4/1000</f>
        <v>0.2424</v>
      </c>
      <c r="G15" s="284">
        <f>SUM(D15:F15)</f>
        <v>0.2424</v>
      </c>
    </row>
    <row r="16" spans="1:45" s="278" customFormat="1" ht="20.100000000000001" customHeight="1">
      <c r="A16" s="285"/>
      <c r="B16" s="286"/>
      <c r="C16" s="287" t="s">
        <v>236</v>
      </c>
      <c r="D16" s="298"/>
      <c r="E16" s="288"/>
      <c r="F16" s="298">
        <f>SUM(F14:F15)</f>
        <v>0.2424</v>
      </c>
      <c r="G16" s="289">
        <f>SUM(D16:F16)</f>
        <v>0.2424</v>
      </c>
    </row>
    <row r="17" spans="1:21" s="278" customFormat="1" ht="20.100000000000001" customHeight="1">
      <c r="A17" s="285"/>
      <c r="B17" s="286"/>
      <c r="C17" s="287" t="s">
        <v>237</v>
      </c>
      <c r="D17" s="288">
        <f>D16+D13</f>
        <v>10.465200000000001</v>
      </c>
      <c r="E17" s="288">
        <f>E16+E13</f>
        <v>0</v>
      </c>
      <c r="F17" s="288">
        <f>F16+F13</f>
        <v>0.2424</v>
      </c>
      <c r="G17" s="289">
        <f>SUM(D17:F17)</f>
        <v>10.707600000000001</v>
      </c>
    </row>
    <row r="18" spans="1:21" ht="31.5" customHeight="1">
      <c r="A18" s="291"/>
      <c r="B18" s="299"/>
      <c r="C18" s="293" t="s">
        <v>238</v>
      </c>
      <c r="D18" s="300"/>
      <c r="E18" s="301"/>
      <c r="F18" s="301"/>
      <c r="G18" s="302"/>
    </row>
    <row r="19" spans="1:21" ht="30.75" customHeight="1">
      <c r="A19" s="303">
        <v>3</v>
      </c>
      <c r="B19" s="280" t="s">
        <v>233</v>
      </c>
      <c r="C19" s="304" t="s">
        <v>239</v>
      </c>
      <c r="D19" s="305"/>
      <c r="E19" s="305"/>
      <c r="F19" s="305">
        <f>('ССР позиции '!R6+'ССР позиции '!T5)/1000</f>
        <v>0.68140000000000001</v>
      </c>
      <c r="G19" s="306">
        <f t="shared" ref="G19:G27" si="0">SUM(D19:F19)</f>
        <v>0.68140000000000001</v>
      </c>
    </row>
    <row r="20" spans="1:21" s="278" customFormat="1" ht="20.100000000000001" customHeight="1">
      <c r="A20" s="285"/>
      <c r="B20" s="286"/>
      <c r="C20" s="287" t="s">
        <v>240</v>
      </c>
      <c r="D20" s="288"/>
      <c r="E20" s="288"/>
      <c r="F20" s="288">
        <f>SUM(F19:F19)</f>
        <v>0.68140000000000001</v>
      </c>
      <c r="G20" s="307">
        <f t="shared" si="0"/>
        <v>0.68140000000000001</v>
      </c>
    </row>
    <row r="21" spans="1:21" ht="228.75" customHeight="1">
      <c r="A21" s="279"/>
      <c r="B21" s="308"/>
      <c r="C21" s="309" t="s">
        <v>241</v>
      </c>
      <c r="D21" s="310"/>
      <c r="E21" s="283"/>
      <c r="F21" s="283"/>
      <c r="G21" s="284"/>
    </row>
    <row r="22" spans="1:21" ht="20.25" customHeight="1">
      <c r="A22" s="291">
        <v>4</v>
      </c>
      <c r="B22" s="292" t="s">
        <v>233</v>
      </c>
      <c r="C22" s="311" t="s">
        <v>242</v>
      </c>
      <c r="D22" s="294"/>
      <c r="E22" s="294"/>
      <c r="F22" s="294">
        <f>'ССР позиции '!U7/1000</f>
        <v>0.79719000000000007</v>
      </c>
      <c r="G22" s="296">
        <f>SUM(D22:F22)</f>
        <v>0.79719000000000007</v>
      </c>
    </row>
    <row r="23" spans="1:21" s="278" customFormat="1" ht="20.100000000000001" customHeight="1">
      <c r="A23" s="285"/>
      <c r="B23" s="286"/>
      <c r="C23" s="287" t="s">
        <v>243</v>
      </c>
      <c r="D23" s="288"/>
      <c r="E23" s="288"/>
      <c r="F23" s="288">
        <f>SUM(F22:F22)</f>
        <v>0.79719000000000007</v>
      </c>
      <c r="G23" s="307">
        <f>SUM(D23:F23)</f>
        <v>0.79719000000000007</v>
      </c>
    </row>
    <row r="24" spans="1:21" s="278" customFormat="1" ht="20.100000000000001" customHeight="1">
      <c r="A24" s="285"/>
      <c r="B24" s="286"/>
      <c r="C24" s="312" t="s">
        <v>244</v>
      </c>
      <c r="D24" s="288">
        <f>D17+D20+D23</f>
        <v>10.465200000000001</v>
      </c>
      <c r="E24" s="288">
        <f>E17+E20+E23</f>
        <v>0</v>
      </c>
      <c r="F24" s="288">
        <f>F17+F20+F23</f>
        <v>1.72099</v>
      </c>
      <c r="G24" s="288">
        <f>G17+G20+G23</f>
        <v>12.186190000000002</v>
      </c>
    </row>
    <row r="25" spans="1:21" ht="32.25" customHeight="1" thickBot="1">
      <c r="A25" s="313">
        <v>5</v>
      </c>
      <c r="B25" s="314" t="s">
        <v>233</v>
      </c>
      <c r="C25" s="315" t="s">
        <v>245</v>
      </c>
      <c r="D25" s="316">
        <f>G25*(D24/G24)</f>
        <v>0.31379652541114161</v>
      </c>
      <c r="E25" s="316">
        <f>G25*(E24/G24)</f>
        <v>0</v>
      </c>
      <c r="F25" s="316">
        <f>G25*F24/G24</f>
        <v>5.1603474588858361E-2</v>
      </c>
      <c r="G25" s="317">
        <f>('ССР позиции '!O8+'ССР позиции '!Q8+'ССР позиции '!R8+'ССР позиции '!S8+'ССР позиции '!T8+'ССР позиции '!U8)/1000</f>
        <v>0.3654</v>
      </c>
      <c r="I25" s="318"/>
      <c r="J25" s="318"/>
      <c r="K25" s="318"/>
      <c r="L25" s="318"/>
      <c r="M25" s="318"/>
    </row>
    <row r="26" spans="1:21" s="278" customFormat="1" ht="20.100000000000001" customHeight="1">
      <c r="A26" s="319"/>
      <c r="B26" s="320"/>
      <c r="C26" s="321" t="s">
        <v>221</v>
      </c>
      <c r="D26" s="322">
        <f>D24+D25</f>
        <v>10.778996525411143</v>
      </c>
      <c r="E26" s="323">
        <f>E24+E25</f>
        <v>0</v>
      </c>
      <c r="F26" s="322">
        <f>F24+F25</f>
        <v>1.7725934745888583</v>
      </c>
      <c r="G26" s="324">
        <f t="shared" si="0"/>
        <v>12.551590000000001</v>
      </c>
    </row>
    <row r="27" spans="1:21" s="278" customFormat="1" ht="20.100000000000001" customHeight="1">
      <c r="A27" s="325">
        <v>6</v>
      </c>
      <c r="B27" s="326" t="s">
        <v>246</v>
      </c>
      <c r="C27" s="327" t="s">
        <v>219</v>
      </c>
      <c r="D27" s="288">
        <f>ROUND(D26*0.2,2)</f>
        <v>2.16</v>
      </c>
      <c r="E27" s="288">
        <f>ROUND(E26*0.2,2)</f>
        <v>0</v>
      </c>
      <c r="F27" s="288">
        <f>ROUND(F26*0.2,2)</f>
        <v>0.35</v>
      </c>
      <c r="G27" s="328">
        <f t="shared" si="0"/>
        <v>2.5100000000000002</v>
      </c>
    </row>
    <row r="28" spans="1:21" s="278" customFormat="1" ht="20.100000000000001" customHeight="1" thickBot="1">
      <c r="A28" s="329"/>
      <c r="B28" s="330"/>
      <c r="C28" s="331" t="s">
        <v>247</v>
      </c>
      <c r="D28" s="332"/>
      <c r="E28" s="332"/>
      <c r="F28" s="332"/>
      <c r="G28" s="333">
        <f>G27+G26</f>
        <v>15.061590000000001</v>
      </c>
    </row>
    <row r="29" spans="1:21" ht="27.75" hidden="1" customHeight="1">
      <c r="A29" s="334"/>
      <c r="B29" s="335"/>
      <c r="C29" s="336"/>
      <c r="D29" s="337"/>
      <c r="E29" s="337"/>
      <c r="F29" s="337"/>
      <c r="G29" s="338"/>
    </row>
    <row r="30" spans="1:21" ht="30" hidden="1" customHeight="1">
      <c r="A30" s="334"/>
      <c r="B30" s="335"/>
      <c r="C30" s="336"/>
      <c r="D30" s="337"/>
      <c r="E30" s="337"/>
      <c r="F30" s="337"/>
      <c r="G30" s="338"/>
    </row>
    <row r="31" spans="1:21" ht="16.5" customHeight="1">
      <c r="A31" s="249"/>
      <c r="B31" s="247"/>
      <c r="C31" s="247"/>
      <c r="D31" s="339"/>
      <c r="E31" s="339"/>
      <c r="F31" s="339"/>
      <c r="G31" s="340"/>
    </row>
    <row r="32" spans="1:21" customFormat="1" ht="60" customHeight="1">
      <c r="A32" s="341"/>
      <c r="B32" s="887" t="s">
        <v>248</v>
      </c>
      <c r="C32" s="887"/>
      <c r="D32" s="887"/>
      <c r="E32" s="342"/>
      <c r="F32" s="342"/>
      <c r="G32" s="342"/>
      <c r="M32" s="343"/>
      <c r="N32" s="343"/>
      <c r="O32" s="343"/>
      <c r="P32" s="343"/>
      <c r="S32" s="344"/>
      <c r="T32" s="345"/>
      <c r="U32" s="345"/>
    </row>
    <row r="33" spans="1:21" customFormat="1" ht="19.5" customHeight="1">
      <c r="A33" s="341"/>
      <c r="B33" s="344"/>
      <c r="C33" s="888" t="s">
        <v>249</v>
      </c>
      <c r="D33" s="888"/>
      <c r="E33" s="342"/>
      <c r="F33" s="342"/>
      <c r="G33" s="342"/>
      <c r="M33" s="343"/>
      <c r="N33" s="343"/>
      <c r="O33" s="343"/>
      <c r="P33" s="343"/>
      <c r="S33" s="344"/>
      <c r="T33" s="345"/>
      <c r="U33" s="345"/>
    </row>
    <row r="34" spans="1:21" customFormat="1" ht="65.25" customHeight="1">
      <c r="A34" s="341"/>
      <c r="B34" s="887" t="s">
        <v>250</v>
      </c>
      <c r="C34" s="887"/>
      <c r="D34" s="887"/>
      <c r="E34" s="342"/>
      <c r="F34" s="342"/>
      <c r="G34" s="342"/>
      <c r="S34" s="344"/>
      <c r="T34" s="345"/>
      <c r="U34" s="345"/>
    </row>
    <row r="35" spans="1:21" customFormat="1" ht="15.75">
      <c r="A35" s="342"/>
      <c r="B35" s="344"/>
      <c r="C35" s="889" t="s">
        <v>249</v>
      </c>
      <c r="D35" s="889"/>
      <c r="E35" s="342"/>
      <c r="F35" s="342"/>
      <c r="G35" s="342"/>
    </row>
    <row r="36" spans="1:21" hidden="1"/>
    <row r="37" spans="1:21" hidden="1"/>
    <row r="38" spans="1:21" hidden="1"/>
    <row r="39" spans="1:21" hidden="1"/>
    <row r="40" spans="1:21" hidden="1"/>
    <row r="41" spans="1:21" hidden="1"/>
    <row r="42" spans="1:21" hidden="1"/>
  </sheetData>
  <mergeCells count="11">
    <mergeCell ref="B32:D32"/>
    <mergeCell ref="C33:D33"/>
    <mergeCell ref="B34:D34"/>
    <mergeCell ref="C35:D35"/>
    <mergeCell ref="A3:G3"/>
    <mergeCell ref="A5:G5"/>
    <mergeCell ref="A7:C7"/>
    <mergeCell ref="A8:A9"/>
    <mergeCell ref="B8:B9"/>
    <mergeCell ref="C8:C9"/>
    <mergeCell ref="D8:G8"/>
  </mergeCells>
  <pageMargins left="0.7" right="0.7" top="0.75" bottom="0.75" header="0.3" footer="0.3"/>
  <pageSetup paperSize="9" scale="49" orientation="portrait" horizontalDpi="30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Данные </vt:lpstr>
      <vt:lpstr>РСС ИП </vt:lpstr>
      <vt:lpstr>Прогнозная стоимость РСС ИП </vt:lpstr>
      <vt:lpstr>УП </vt:lpstr>
      <vt:lpstr>Ф20 </vt:lpstr>
      <vt:lpstr>Т6 НС</vt:lpstr>
      <vt:lpstr>Контроль </vt:lpstr>
      <vt:lpstr>ССР позиции </vt:lpstr>
      <vt:lpstr>ССР </vt:lpstr>
      <vt:lpstr>Дефляторы</vt:lpstr>
      <vt:lpstr>Памятка </vt:lpstr>
      <vt:lpstr>Лот 1 </vt:lpstr>
      <vt:lpstr>'Контроль '!Область_печати</vt:lpstr>
      <vt:lpstr>'Прогнозная стоимость РСС ИП '!Область_печати</vt:lpstr>
      <vt:lpstr>'РСС ИП '!Область_печати</vt:lpstr>
      <vt:lpstr>'ССР '!Область_печати</vt:lpstr>
      <vt:lpstr>'УП '!Область_печати</vt:lpstr>
      <vt:lpstr>'Ф20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2026-06-08T11:24:46Z</dcterms:modified>
</cp:coreProperties>
</file>