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media/image1.png" ContentType="image/p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РЕМ 2026 реестр" sheetId="1" state="visible" r:id="rId2"/>
    <sheet name="позиции по ФССЦ (справочно)" sheetId="2" state="hidden" r:id="rId3"/>
    <sheet name="РЕМ 2027" sheetId="3" state="visible" r:id="rId4"/>
  </sheets>
  <definedNames>
    <definedName function="false" hidden="false" localSheetId="1" name="_xlnm.Print_Area" vbProcedure="false">'позиции по ФССЦ (справочно)'!$A$1:$AP$59</definedName>
    <definedName function="false" hidden="true" localSheetId="1" name="_xlnm._FilterDatabase" vbProcedure="false">'позиции по ФССЦ (справочно)'!$B$9:$AP$57</definedName>
    <definedName function="false" hidden="false" localSheetId="0" name="_xlnm.Print_Area" vbProcedure="false">'РЕМ 2026 реестр'!$A$1:$T$84</definedName>
    <definedName function="false" hidden="true" localSheetId="0" name="_xlnm._FilterDatabase" vbProcedure="false">'РЕМ 2026 реестр'!$E$9:$T$84</definedName>
    <definedName function="false" hidden="true" localSheetId="2" name="_xlnm._FilterDatabase" vbProcedure="false">'РЕМ 2027'!$A$9:$P$102</definedName>
    <definedName function="false" hidden="false" localSheetId="0" name="_ftnref1"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<sst xmlns="http://schemas.openxmlformats.org/spreadsheetml/2006/main" count="2123" uniqueCount="1034">
  <si>
    <t xml:space="preserve">Приложение №3</t>
  </si>
  <si>
    <t xml:space="preserve">к Требованиям к оформлению и составлению сметной документации на работы по программе ремонтов </t>
  </si>
  <si>
    <t xml:space="preserve">Приложение №1 </t>
  </si>
  <si>
    <t xml:space="preserve">Метод анализа ТКП </t>
  </si>
  <si>
    <t xml:space="preserve">№ п/п</t>
  </si>
  <si>
    <t xml:space="preserve">№ п.п.</t>
  </si>
  <si>
    <t xml:space="preserve">№ скрина ГТС</t>
  </si>
  <si>
    <t xml:space="preserve">Наименование планируемой к закупке продукции</t>
  </si>
  <si>
    <t xml:space="preserve">Единица изменения</t>
  </si>
  <si>
    <t xml:space="preserve">Требуемое количество</t>
  </si>
  <si>
    <t xml:space="preserve">Источник информации-1</t>
  </si>
  <si>
    <t xml:space="preserve">Источник информации-2</t>
  </si>
  <si>
    <t xml:space="preserve">Источник информации-3</t>
  </si>
  <si>
    <r>
      <rPr>
        <b val="true"/>
        <sz val="12"/>
        <rFont val="Arial"/>
        <family val="2"/>
        <charset val="1"/>
      </rPr>
      <t xml:space="preserve">Цена, руб. без НДС
</t>
    </r>
    <r>
      <rPr>
        <sz val="12"/>
        <rFont val="Arial"/>
        <family val="2"/>
        <charset val="1"/>
      </rPr>
      <t xml:space="preserve">(гр.6+гр.9+гр.12)/3,
где 3 – количество указанных источников ценовой информации </t>
    </r>
  </si>
  <si>
    <t xml:space="preserve">Стоимость продукции (за весь объем), руб. без НДС</t>
  </si>
  <si>
    <t xml:space="preserve">КОММЕНТАРИЙ</t>
  </si>
  <si>
    <t xml:space="preserve">% отклонения от среднеарифметической (не должен быть более 20%)</t>
  </si>
  <si>
    <t xml:space="preserve">Наименование источника информации</t>
  </si>
  <si>
    <t xml:space="preserve">Стоимость продукции (за единицу), руб. без НДС</t>
  </si>
  <si>
    <t xml:space="preserve">Стоимость продукции (за единицу) с учетом ценообразующих факторов, тыс. руб. без НДС</t>
  </si>
  <si>
    <t xml:space="preserve">Стоимость продукции (за весь объем) с учетом ценообразующих факторов, руб. без НДС</t>
  </si>
  <si>
    <t xml:space="preserve">ЦЕХ ТиГМО (2025)</t>
  </si>
  <si>
    <t xml:space="preserve">Очиститель промышленный 'ЭКОАКТИВ'</t>
  </si>
  <si>
    <t xml:space="preserve">л</t>
  </si>
  <si>
    <t xml:space="preserve">https://www.vseinstrumenti.ru/product/universalnoe-sredstvo-dlya-ochistki-ekoaktiv-50-4603784315009-1505506/</t>
  </si>
  <si>
    <t xml:space="preserve">https://garwin.ru/tovar/promyshlennyy-ochistitel-ekoaktiv-20-l</t>
  </si>
  <si>
    <t xml:space="preserve">https://www.chipdip.ru/product0/8011076829</t>
  </si>
  <si>
    <t xml:space="preserve">https://loctite.gluesale.ru/ind/anaerob/flange_fixation/142502/</t>
  </si>
  <si>
    <t xml:space="preserve">https://www.abc-nn.ru/autohimia/vysokotemperaturnye_germetiki/?aeID=20276</t>
  </si>
  <si>
    <t xml:space="preserve">https://svm24.ru/catalog/tekhnicheskaya_khimiya/germetik_prokladka_vysokotemperaturnyy_343_s_krasnyy_tyubik_85_gr_avk_345/</t>
  </si>
  <si>
    <t xml:space="preserve">Средство моющее техническое 'Лабомид-М',ТУ 2149-132-10968286-2001</t>
  </si>
  <si>
    <t xml:space="preserve">кг</t>
  </si>
  <si>
    <t xml:space="preserve">https://bpks.ru/product/labomid-m?yclid=5545745816781062143</t>
  </si>
  <si>
    <t xml:space="preserve">https://vetagro161.ru/shop/goods/moyuschee_sredstvo_labomid_m_-1199523053?ysclid=lvc2gleqh0552187812</t>
  </si>
  <si>
    <t xml:space="preserve">https://ugreaktiv-galvanika.ru/magazin-2/product/moyushchee-sredstvo-labomid-203-s-vysokoj-ochishchayushchej-sposobnostyu-1?ysclid=lvc2am6k3f983367692</t>
  </si>
  <si>
    <t xml:space="preserve">Синтетическое моющее средство 'НЕГА'</t>
  </si>
  <si>
    <t xml:space="preserve">https://nizhnij-novgorod.regtorg.ru/goods/t511475-negagel_universalnoe_mojuschee_sredstvo.htm</t>
  </si>
  <si>
    <t xml:space="preserve">ООО «Снабзапчасть-НН» КП №15 от 02.05.2024г</t>
  </si>
  <si>
    <t xml:space="preserve">https://fe-ltd.ru/catalog/khozyaystvennye-tovary/moyushchee-sredstvo-nega.html</t>
  </si>
  <si>
    <t xml:space="preserve">Смазка 'ЛИТА' ТУ 38.1011308-90</t>
  </si>
  <si>
    <t xml:space="preserve">https://npo-mhc.ru/product/smazka-lita/?ysclid=lvc32feni5920337600</t>
  </si>
  <si>
    <t xml:space="preserve">https://www.zarechie.ru/catalogue/lubricants/low-temperature/lita.html</t>
  </si>
  <si>
    <t xml:space="preserve">https://satom.ru/p/621118245-smazka-lita-5kg/?ysclid=lvc45fgdzw82950893</t>
  </si>
  <si>
    <t xml:space="preserve">Сменный элемент воздушного фильтра для компрессора Sauer (аналог).</t>
  </si>
  <si>
    <t xml:space="preserve">ШТ</t>
  </si>
  <si>
    <t xml:space="preserve">Компрессорное масло Shell Corena S2 P 100 (минеральное) Германия</t>
  </si>
  <si>
    <t xml:space="preserve">С уважением,
ООО "БестОйл"
Светлана Александровна
8 (831) 410-19-79
8-910-790-19-79
www: bestoil-nn.ru
</t>
  </si>
  <si>
    <t xml:space="preserve">ООО «Арсенал» б/н от 03.07.2024г</t>
  </si>
  <si>
    <t xml:space="preserve">ООО «РД-ТЕХ» счет №3046 от 09.09.2024г</t>
  </si>
  <si>
    <t xml:space="preserve">Эмаль алкидная финишная (НЕРЖАМЕТ — КРАСКА ПО МЕТАЛЛУ И РЖАВЧИНЕ '3 В 1' ДЛЯ
  НАРУЖНЫХ РАБОТ (ПОЛУГЛЯНЦЕВАЯ) серебристая расход 0,3кг/м2))</t>
  </si>
  <si>
    <t xml:space="preserve">https://vdkras.ru/shop/goods/nerjamet_3_v_1_kraska_dlya_metalla_po_rjavchine_antikorrozionnaya_alkidnaya_kraska_po_metallu_20_kg-619?ysclid=lvc5i8uezt535849208</t>
  </si>
  <si>
    <t xml:space="preserve">https://zentrkrasok.ru/catalog/grunt-emali-po-metallu-i-rzhavchine/nerzhamet-antikorrozionnaya-kraska-dlya-metalla-po-rzhavchine-3-v-1-10-kg.html?ysclid=lvde2ugcjx603732068</t>
  </si>
  <si>
    <t xml:space="preserve">https://www.vse-kraski.ru/catalog/emali/7497-emal_nerzhamet.html?ysclid=lvde4kfuio914654908</t>
  </si>
  <si>
    <t xml:space="preserve">Грунт-эмаль 'Корника' </t>
  </si>
  <si>
    <t xml:space="preserve">https://npp-sofit.ru/internetmagazin/product/antikorrozionnaya-grunt-emalevaya-kompoziciya-kornika</t>
  </si>
  <si>
    <t xml:space="preserve">Конденсатоотводчик Bekomat 13 СО PN40, G1/2 (или аналог)</t>
  </si>
  <si>
    <t xml:space="preserve">шт</t>
  </si>
  <si>
    <t xml:space="preserve">КП №40 от 06.09.2024 ООО «Генподряд»</t>
  </si>
  <si>
    <t xml:space="preserve">ТКП №б/н от 11.09.2024г. ООО «Эир-Парт»</t>
  </si>
  <si>
    <t xml:space="preserve">КП №36 от 13.06.2024 ООО «ГидроЭнергоСфера»</t>
  </si>
  <si>
    <t xml:space="preserve">Конденсатоотводчик BEKO BEKOMAT Bekomat BM 13 230V давление рабочее мин, бар 0.8 давление рабочее макс, бар 16 (или аналог)</t>
  </si>
  <si>
    <t xml:space="preserve">ООО "Пневмомаш" №11978 от 03.07.24г</t>
  </si>
  <si>
    <t xml:space="preserve">https://dkc-msk.ru/products/lotok-perforirovannyy-400kh100-l3000-tolshch-1-2-mm-3534512/</t>
  </si>
  <si>
    <t xml:space="preserve">https://www.dkcmarket.ru/3534512.html</t>
  </si>
  <si>
    <t xml:space="preserve">https://ekfgroup.com/catalog/products/lotok-perforirovannyj-metallicheskij-100-400x3000-1-2mm-12m-hdz-ekf</t>
  </si>
  <si>
    <t xml:space="preserve">https://rs24.ru/product/21333</t>
  </si>
  <si>
    <t xml:space="preserve">Набор фильтров для компрессора Atlas Copco GA90VSD (воздушный,
масляный). Заводской номер компрессора: AII495582 Год изготовления: 2003.(или аналог)</t>
  </si>
  <si>
    <t xml:space="preserve">ООО Фабрика Компрессоров КП №1574 от 06.06.2024г</t>
  </si>
  <si>
    <t xml:space="preserve">ООО Колди Проф Групп КП №1359 от 06.06.2024</t>
  </si>
  <si>
    <t xml:space="preserve">ООО Волгаремсервис КП б/н от 06.06.2024</t>
  </si>
  <si>
    <t xml:space="preserve">https://ekfgroup.com/catalog/products/lotok-perforirovannyj-metallicheskij-50-400x3000-1-2mm-12-m-ekf</t>
  </si>
  <si>
    <t xml:space="preserve">Набор фильтров для компрессора Atlas Copco GA75 (воздушный, масляный).
Заводской номер компрессора: API610843 Год изготовления: 2010.(или аналог)</t>
  </si>
  <si>
    <t xml:space="preserve">Набор фильтров для компрессора Atlas Copco GA75VSD (воздушный,
масляный). Заводской номер компрессора: API658326 Год изготовления: 2011. (или аналог)</t>
  </si>
  <si>
    <t xml:space="preserve">Фильтр воздушный фирмы Mann Filter C1140</t>
  </si>
  <si>
    <t xml:space="preserve">Масло компрессорное Atlas Copco RIF Ndurance (или аналог)</t>
  </si>
  <si>
    <t xml:space="preserve">Набивка сальниковая ПГН 3100: 12х12мм. ТУ 2573-001-58164634-03</t>
  </si>
  <si>
    <t xml:space="preserve">https://www.rezina-evraz.ru/goods/229554451-nabivka_pgn_3100</t>
  </si>
  <si>
    <t xml:space="preserve">https://nn.pulscen.ru/products/nabivka_pgn_3100_229554451?ysclid=lvdqj5zivi891522434</t>
  </si>
  <si>
    <t xml:space="preserve">Сальниковая набивка ПГН 3100 ф 8-10мм ГОСТ 5152-84						</t>
  </si>
  <si>
    <t xml:space="preserve">Набивка сальниковая TP1 компании ProPack, размер 24х24 мм</t>
  </si>
  <si>
    <t xml:space="preserve">ООО «Проматекс» КП №179 от 02.07.2024г</t>
  </si>
  <si>
    <t xml:space="preserve">ООО «ПроГерм» КП №128 от 02.07.2024г.</t>
  </si>
  <si>
    <t xml:space="preserve">Набивка сальниковая TP1 компании ProPack, размер 14х14 мм</t>
  </si>
  <si>
    <t xml:space="preserve">Погружной дренажный насос Pedrollo Dm30 (Q= 25-300 л/мин, Hmax=27м, Hmin=10м, 220-240V, 1,1кВт, 1,5л/с)</t>
  </si>
  <si>
    <t xml:space="preserve">ООО "Энком" Счет №УТ-2876 от 25.04.2024г</t>
  </si>
  <si>
    <t xml:space="preserve">https://pd-shop.ru/nasos-drenazhnyj-pedrollo-dm-30-kabel-10m?ysclid=lvezrfxgsv121982973</t>
  </si>
  <si>
    <t xml:space="preserve">https://e-nasos.ru/drenajnye/pedrollo/d/dm30-n-10m?uta_channel=yandex_v3_cl1000117_search_none_type1_c26848922_g3113400984_a5197035063_k11934781882&amp;yclid=13314420956541747199</t>
  </si>
  <si>
    <t xml:space="preserve">Погружной дренажный насос Pedrollo Dm10 (Q= 25-325 л/мин, Hmax=15м, Hmin=2м, 220-240V, 0,75кВт, 1л/с)</t>
  </si>
  <si>
    <t xml:space="preserve">https://nnov.tssib.ru/nasosnoe-oborudovanie/drenazhnye/pedrollo/nasos-pedrollo-dm-10/?ysclid=lvf6adjnas474789919</t>
  </si>
  <si>
    <t xml:space="preserve">https://pd-shop.ru/nasos-drenazhnyj-pedrollo-dm-10?ysclid=lvf69ncrv11839670</t>
  </si>
  <si>
    <t xml:space="preserve">Автошампунь REIN PREMIUM 20 кг (17л)</t>
  </si>
  <si>
    <t xml:space="preserve">https://top-tehno.store/avtoshampun-rein-premium-20-kg-17l-0-001-503</t>
  </si>
  <si>
    <t xml:space="preserve">https://bistrotehnika.ru/sadovaya-tehnika/professionalnye-mojki-minimojki/aksessuary-dlya-mojki/avtoshampun-rein-premium-20-kg-17l-0-001-503.html</t>
  </si>
  <si>
    <t xml:space="preserve">https://texuborka.ru/product/avtoshampun-rein-agent-s-20-l/?ysclid=lvf6ro86f483183781</t>
  </si>
  <si>
    <t xml:space="preserve">https://superoil.ru/shop/smazki/kluber-asonic-ghy-72-1-kg-smazka-dlya-podshipnikov-kacheniya/</t>
  </si>
  <si>
    <t xml:space="preserve">Уплотнение №2 (черт. 204389)</t>
  </si>
  <si>
    <t xml:space="preserve">Смазка полимочевинная высокотемпературная 'Политерм' ТУ 0254-001-40439881-99</t>
  </si>
  <si>
    <t xml:space="preserve">https://korporacia.ru/смазка-политерм?utm_source=YandexDirect&amp;utm_medium=cpc&amp;utm_campaign=102854659&amp;utm_content=1827549063441118906&amp;utm_term=---autotargeting&amp;yclid=13517762041992970239</t>
  </si>
  <si>
    <t xml:space="preserve">https://www.beoil.ru/smazki/termostoykie/politerm-s-1-18-kg</t>
  </si>
  <si>
    <t xml:space="preserve">Клей  LOCTITE 454 GEL</t>
  </si>
  <si>
    <t xml:space="preserve">https://appnn.ru/catalog/promyshlennaya_khimiya/kley/24987/?ysclid=lvf7oth56y297583143</t>
  </si>
  <si>
    <t xml:space="preserve">https://loctite.com.ru/loctite-195678</t>
  </si>
  <si>
    <t xml:space="preserve">https://loctite.gluesale.ru/ind/cyanoacrylate_glue/142597/</t>
  </si>
  <si>
    <t xml:space="preserve">Пенетрат красный SHERWIN DR-51, аэрозоль, баллон 500мл.</t>
  </si>
  <si>
    <t xml:space="preserve">бал</t>
  </si>
  <si>
    <t xml:space="preserve">ООО Велмас"-Казань"Счет №673 от 26.04.2024г.</t>
  </si>
  <si>
    <t xml:space="preserve">https://www.geo-st.ru/catalogue/komplekty-dlya-tsd/penetrant_sherwin_dp_51/?ysclid=lvgnicbctk242917777</t>
  </si>
  <si>
    <t xml:space="preserve">Проявитель SHERWIN D-100, аэрозоль, баллон 500мл.</t>
  </si>
  <si>
    <t xml:space="preserve">https://www.centr-kachestvo.ru/catalog/-_29/sherwin_d_100_proqvitelx_a_rozolx_500_ml_1/</t>
  </si>
  <si>
    <t xml:space="preserve">https://acnkru.ru/catalog/d-100/</t>
  </si>
  <si>
    <t xml:space="preserve">Очиститель SHERWIN DR-60 (аэрозоль, баллон 500 мл)</t>
  </si>
  <si>
    <t xml:space="preserve">https://www.centr-kachestvo.ru/catalog/cvetnoj_metod/ochistitelx_sherwin_dr_60_a_rozolx_500ml_1/?sphrase_id=246907</t>
  </si>
  <si>
    <t xml:space="preserve">https://acnkru.ru/catalog/ochistitel-dr-60/</t>
  </si>
  <si>
    <t xml:space="preserve">круг шлифовальный лепестковый торцевой ЭН№25 125*22</t>
  </si>
  <si>
    <t xml:space="preserve">https://order-nn.ru/kmo/catalog/7021/325898?ysclid=lvgas8j1jd55589706</t>
  </si>
  <si>
    <t xml:space="preserve">https://stroykray.ru/krug-lepestkovyj-torcevoj-klt1-r60-25-125-h-22-m-92181</t>
  </si>
  <si>
    <t xml:space="preserve">https://www.krepco.ru/catalog/raskhodnye-materialy/diski/krug-lepestkovyy-tortsevoy/krug-lepestkovyy-tortsevoy-180-22-25/</t>
  </si>
  <si>
    <t xml:space="preserve">https://baki.ru/katalog/teploventilyatory/elektroteploventilyator-etv-3-uspekh-3-kvt-na-100-m3-detail</t>
  </si>
  <si>
    <t xml:space="preserve">https://www.vent-style.ru/goods/etv-3-ten</t>
  </si>
  <si>
    <t xml:space="preserve">https://www.roomklimat.ru/catalog/otoplenie/teplovye-pushki/teplovye-pushki-elektricheskie/teplovye-pushki-elektricheskie-etv/elektricheskaya-teplovaya-pushka-etv-3-3kvt-220v/</t>
  </si>
  <si>
    <t xml:space="preserve">Стержень (черт. 2269318 АО 'Силовые машины')</t>
  </si>
  <si>
    <t xml:space="preserve">АО  Силовые машины_КП_№И-СМ-ДС-2024-0029995 от 02.08.2024г</t>
  </si>
  <si>
    <t xml:space="preserve">Индивидуальное изготовление поставщиком оборудования</t>
  </si>
  <si>
    <t xml:space="preserve">Крышка (черт 2340400 АО 'Силовые иашины')</t>
  </si>
  <si>
    <t xml:space="preserve">Фильтроэлемент Pi 8111 DRG 10 Filtration Group</t>
  </si>
  <si>
    <t xml:space="preserve">ООО Уралэлектроснаб Cчет №393 от 29.04.2024г.</t>
  </si>
  <si>
    <t xml:space="preserve">Фильтроэлемент Pi 8211 DRG 25 FiltrationGroup</t>
  </si>
  <si>
    <t xml:space="preserve">Фильтроэлемент Pi 8311 DRG 40 FiltrationGroup</t>
  </si>
  <si>
    <t xml:space="preserve">Фильтроэлемент Pi 8211 DRG 25 Filtration Group (MAHLE)</t>
  </si>
  <si>
    <t xml:space="preserve">Фильтроэлемент Pi 8311 DRG 40 Filtration Group (MAHLE)</t>
  </si>
  <si>
    <t xml:space="preserve">Жир говяжий, несоленый</t>
  </si>
  <si>
    <t xml:space="preserve">https://halal-spb.ru/product/zhir-govyazhiy</t>
  </si>
  <si>
    <r>
      <rPr>
        <sz val="10"/>
        <rFont val="Arial"/>
        <family val="2"/>
        <charset val="1"/>
      </rPr>
      <t xml:space="preserve">Герметик силиконовый, ТУ 2384-001-27858188-97)  (Авто-герметик маслобензостойкий) (1 кг-1л) </t>
    </r>
    <r>
      <rPr>
        <sz val="10"/>
        <color rgb="FFC9211E"/>
        <rFont val="Arial"/>
        <family val="2"/>
        <charset val="1"/>
      </rPr>
      <t xml:space="preserve">В ТКП ГЕРМЕТИК ПРОКЛАДКА АВТОМОБИЛЬНЫЙ</t>
    </r>
  </si>
  <si>
    <t xml:space="preserve">https://shukur.ru/products/avtogermetik-prokladka-avtosil-180-gr.-685</t>
  </si>
  <si>
    <t xml:space="preserve">https://kealan.ru/catalog/834/22325/</t>
  </si>
  <si>
    <t xml:space="preserve">https://www.vseinstrumenti.ru/product/avtogermetik-prokladka-kazanskij-silikon-180-g-7012019w180-11266886/?ysclid=ly5h2yjh3k835818896</t>
  </si>
  <si>
    <t xml:space="preserve">Электроотопительный котел ЭПО 72-120 ЭВАН</t>
  </si>
  <si>
    <t xml:space="preserve">https://teplo-as.ru/catalogue/boiler/electro/kotel-evan-epo-72/?ysclid=lvgew0l4r4187183497</t>
  </si>
  <si>
    <t xml:space="preserve">https://valterra.ru/catalog/elektrootopitelnye-kotly/elektrootopitelnye-kotly-klassa-professional-epo-72-120-evan/?ysclid=lvgexi9ujf846243869</t>
  </si>
  <si>
    <t xml:space="preserve">https://mircli.ru/evan-epo-72/#section-performance-overview</t>
  </si>
  <si>
    <t xml:space="preserve"> Электрический проточный водонагреватель ЭПВН-120 ЭВАН</t>
  </si>
  <si>
    <t xml:space="preserve">https://mircli.ru/evan-epvn-120/</t>
  </si>
  <si>
    <t xml:space="preserve">https://kotel-evan.ru/epvn-120-kvt-protochnyiy-elektricheskiy-vodonagrevatel/</t>
  </si>
  <si>
    <t xml:space="preserve">https://nnov.kuvalda.ru/catalog/10581/product-52167/?ysclid=lvgek5rvn0128917644</t>
  </si>
  <si>
    <t xml:space="preserve">исключен из ВОР</t>
  </si>
  <si>
    <t xml:space="preserve">Манжета турбинного подшипника, черт.Т-2428 (турбина ПЛ 510-ВБ-900) материл манжеты резина МБС ГОСТ 7338-90</t>
  </si>
  <si>
    <t xml:space="preserve">ООО «Ресурс» КП №53 от 05.06.2024г</t>
  </si>
  <si>
    <t xml:space="preserve">ООО «Анмет» Счет №1750 от 03.07.2024г</t>
  </si>
  <si>
    <t xml:space="preserve">ООО «АОКС Привод» счет №408 от 03.07.2024г</t>
  </si>
  <si>
    <t xml:space="preserve">Лента тормозная ЭМ-1  ГОСТ 15960-96</t>
  </si>
  <si>
    <t xml:space="preserve">м.п.</t>
  </si>
  <si>
    <t xml:space="preserve">https://www.virage24.ru/shop/elastichnyy-material-em-1-gost-15960-96-10-160mm/</t>
  </si>
  <si>
    <t xml:space="preserve">https://ttochka.com/catalog/10-160-em-1-lenta-tormoznaya/</t>
  </si>
  <si>
    <t xml:space="preserve">Ткань фильтровальная Бельтинг, арт.2030 ГОСТ 332-91, ширина 1,5 м, толщ. 2 мм</t>
  </si>
  <si>
    <t xml:space="preserve">https://best-vendor.ru/product/belting-filtrovalnyj/</t>
  </si>
  <si>
    <t xml:space="preserve">https://td-ogural.ru/catalog/filtrovalnye_tkani/khlopchatobumazhnye_tkani/2295/?ysclid=lvgdcx79e3540594738</t>
  </si>
  <si>
    <t xml:space="preserve">https://ttkan.ru/product/tkan-belting-bf-bd-art-2030-gost-332-91-shirinoj-140sm/?ysclid=lvgdaxm6na306566837</t>
  </si>
  <si>
    <t xml:space="preserve">Клапан запорный 15кч18п Ду50</t>
  </si>
  <si>
    <t xml:space="preserve">https://santehtula.com/catalog/klapany-chugunnye/39439/</t>
  </si>
  <si>
    <t xml:space="preserve">https://tehtepla.ru/catalog/ventili/ventili_chugunnye/10104/</t>
  </si>
  <si>
    <t xml:space="preserve">https://teharmatura.ru/catalog/truboprovodnaya-armatura/ventili_klapany_zapornye/ventili_chugunnye/ventili_15kch18p/34256/</t>
  </si>
  <si>
    <t xml:space="preserve">Шаровой кран Valtec стандарт VT.120.G, с длинной рукояткой , 3/4 дюйма, вн.-вн резьба </t>
  </si>
  <si>
    <t xml:space="preserve">https://valtec.ru/catalog/truboprovodnaya_armatura/sharovye_krany_dlya_vody_standart_pn40/vt120gn_kran_sharovoj_standart_s_dlinnoj_rukoyatkoj_i_vnutrennej_rezboj.html</t>
  </si>
  <si>
    <t xml:space="preserve">https://all4bath.ru/inzhenernaya-santekhnika/zapornaya-armatura/sharovye-krany/kran-sharovyy-valtec-standart-dlinnaya-rukoyatka-3-4-vn-vn-pn40-vt-120-gn-05/#features-tab</t>
  </si>
  <si>
    <t xml:space="preserve">https://www.termokit.ru/product/kran_sharovoy_valtec_standart_3_4_vv_pn40_rychag.htm?ysclid=lvgcxjsd96603051771</t>
  </si>
  <si>
    <t xml:space="preserve">Болт М56х110, черт. Т-2424</t>
  </si>
  <si>
    <t xml:space="preserve">ООО «Ресурс» КП №53 от 05.06.2024г.</t>
  </si>
  <si>
    <t xml:space="preserve">3 ТКП на индив. Изготовление</t>
  </si>
  <si>
    <t xml:space="preserve">Гайка М56 материал 20х (индивидуальное изготовление по чертежу)</t>
  </si>
  <si>
    <t xml:space="preserve">Болт М56х130, черт. Т-2425</t>
  </si>
  <si>
    <t xml:space="preserve">Болт М56х180, черт. Т-2426</t>
  </si>
  <si>
    <t xml:space="preserve">Болт М48х180, черт. Т-2427</t>
  </si>
  <si>
    <t xml:space="preserve">Болт М48х110, черт. Т-2424</t>
  </si>
  <si>
    <t xml:space="preserve">Болт М48х130, черт. Т-2425</t>
  </si>
  <si>
    <t xml:space="preserve">Болт М48х180, черт. Т-2426</t>
  </si>
  <si>
    <t xml:space="preserve">Пробка деревянная, черт. Д-418641 (втулка Каплана ф3700)</t>
  </si>
  <si>
    <t xml:space="preserve">ИП Онищенко К.Ю. Счет №240 от 01.07.2024г</t>
  </si>
  <si>
    <t xml:space="preserve">Штифт конический 1:50, черт.  Т-2429</t>
  </si>
  <si>
    <t xml:space="preserve">(Дисковый поворотный затвор фирмы
'Арматэк' AC26141223YK  Ду150мм Ру1,6МПа с крепежом)</t>
  </si>
  <si>
    <t xml:space="preserve">КП №2326 от 05.06.2024 ООО «ТД Инженерные Технологии»</t>
  </si>
  <si>
    <t xml:space="preserve">КП №76 от 05.09.2024г. ООО «Ресурс»</t>
  </si>
  <si>
    <t xml:space="preserve">КП №3625 от 09.09.2024г АО «Арматек»</t>
  </si>
  <si>
    <t xml:space="preserve">(Дисковый поворотный затвор фирмы
'Арматэк' AC26141223YK  Ду200мм Ру1,6МПа с крепежом)</t>
  </si>
  <si>
    <t xml:space="preserve">Дисковый поворотный затвор фирмы 'Арматэк'
  AC26161223YK  Ду250мм Ру1,6МПа с крепежом)</t>
  </si>
  <si>
    <t xml:space="preserve">Головка пожарная муфтовая ГМ-50 диаметром 50 мм, ГОСТ 28352-89</t>
  </si>
  <si>
    <t xml:space="preserve">https://www.stoc.ru/catalog/oborudovanie-dlya-sistem-pozharotusheniya/golovka-gm-50-napornaya-muftovaya-gost-28352-89/?ysclid=lvdv3qocmh574812107</t>
  </si>
  <si>
    <t xml:space="preserve">https://www.magazin01.ru/catalog/rukava-inventar/Stvoly-pojarnye-i-golovki-soedinitelnye/Golovki-napornye/Golovka-muftovaya-GM-50/?ysclid=lvduk2dh8322797419</t>
  </si>
  <si>
    <t xml:space="preserve">https://dn.ru/pojarnoe_oborudovanie/armatura/golovka/apogej/gm/dn50</t>
  </si>
  <si>
    <t xml:space="preserve">Сопла разбрызгивающие для гребенок с резьбой M39x1.5, длина 50мм </t>
  </si>
  <si>
    <t xml:space="preserve">https://nizhnij-novgorod.eterial.com/catalog/soplo-dlya-moyushchey-golovki-hkf-50-030/</t>
  </si>
  <si>
    <t xml:space="preserve">https://k-nadom.ru/catalog/soplo_dlya_moyuschey_golovki_hkf_50_030/?ysclid=lvex16zbus76110799</t>
  </si>
  <si>
    <t xml:space="preserve">https://k24-shop.ru/products/53238973?ysclid=lvex84ul9r391632205</t>
  </si>
  <si>
    <t xml:space="preserve">Цепь длиннозвенная калибр цепи 8мм, шаг 24мм длинна 300 метров (ГОСТ 2319-81)</t>
  </si>
  <si>
    <t xml:space="preserve">https://letfix.ru/rigging/chain/8x24_mm_kruglozvennye_kalibrovannye.html?ysclid=lveyabgpx7288427672</t>
  </si>
  <si>
    <t xml:space="preserve">https://www.nordicwind.ru/catalog/44/531/?ysclid=lvexpx9b8g55232772</t>
  </si>
  <si>
    <t xml:space="preserve">https://ocalift.ru/cepi-gruzovye-g80/cepi-dlya-cepnyh-strop/8x24-dlya-cepnyh-strop?ysclid=lvexzqnt78516282455#shop2-tabs-1</t>
  </si>
  <si>
    <t xml:space="preserve">Пускатель магнитный ПМЕ 211 380B</t>
  </si>
  <si>
    <t xml:space="preserve">https://www.etm.ru/cat/nn/2103010</t>
  </si>
  <si>
    <t xml:space="preserve">https://www.chipdip.ru/product0/8000848990</t>
  </si>
  <si>
    <t xml:space="preserve">https://www.electro-mpo.ru/catalog/rele_puskateli_kontaktory/a45_puskateli_i_kontaktory_na_380v_kashin_kemerovo/a4515_puskatel_magnitnyy_pme_211_380v_25a_2z_2r_ip/</t>
  </si>
  <si>
    <t xml:space="preserve"> Масло турбинное свежее Тп-30 ГОСТ 9972-74 Лукойл (класс чистоты 11,поставка в бочках) </t>
  </si>
  <si>
    <t xml:space="preserve">ЗАО «Росма»             КП №203/01-у от 02.02.2024г</t>
  </si>
  <si>
    <t xml:space="preserve">ООО «Югтехмас»            КП №16-Чб от 06.02.2024г</t>
  </si>
  <si>
    <t xml:space="preserve">ООО «Мега-Ойл» КП №98 от 01.02.2024г</t>
  </si>
  <si>
    <t xml:space="preserve">Торцевое уплотнение внутреннее насосной установки Flyght CZ3400/882. Механическое уплотнение с поверхностями трения из карбида вольфрама (WCCR), предотвращает утечку перекачиваемой среды.</t>
  </si>
  <si>
    <t xml:space="preserve">ООО «ЭкоТехнологии» КП №197 от 05.08.2024</t>
  </si>
  <si>
    <t xml:space="preserve"> цена с доставкой в ценах 2025 года</t>
  </si>
  <si>
    <t xml:space="preserve">Торцевое уплотнение внешнее насосной установки Flyght CZ3400/882. 
Механическое уплотнение с поверхностями трения из карбида вольфрама (WCCR), предотвращает утечку перекачиваемой среды.
</t>
  </si>
  <si>
    <t xml:space="preserve">Подшипник шариковый насосной установки Flyght CZ3400/882. Радиально-упорный шариковый подшипник, размеры 110X240X50</t>
  </si>
  <si>
    <t xml:space="preserve">Подшипник роликовый нижний насосной установки Flyght CZ3400/882. Радиальный однорядный роликовый подшипник, размеры 110X200X38.</t>
  </si>
  <si>
    <t xml:space="preserve">Подшипник роликовый верхний насосной установки Flyght CZ3400/882. Радиальный однорядный роликовый подшипник, размеры 75X160X37</t>
  </si>
  <si>
    <t xml:space="preserve">Набор уплотнительных колец для гидравлики насосной установки Flyght CZ3400/882. Уплотнительные кольца разного диаметра из нитрильного каучука (NBR).</t>
  </si>
  <si>
    <t xml:space="preserve">Набор уплотнительных колец для двигателя насосной установки Flyght CZ3400/882. Уплотнительные кольца разного диаметра из нитрильного каучука (NBR).</t>
  </si>
  <si>
    <t xml:space="preserve">Отвод Ду 80мм 89*6 90 град Ст20, ГОСТ 17375-83</t>
  </si>
  <si>
    <t xml:space="preserve">https://gremir.ru/otvody-krutoizognutye-gost-17375/stalnye-stal-20/90-gradusov-gr/otvod-stalnoy-90-gradusov-89h6-89-6/?ysclid=ly89gwhygt419702973</t>
  </si>
  <si>
    <t xml:space="preserve">https://www.vseinstrumenti.ru/product/krutoizognutyj-otvod-smgtool-d-89x6-stal-20-gost-89602017375-2890100/?ysclid=lz9rsywfzu792260894</t>
  </si>
  <si>
    <t xml:space="preserve">https://dn.ru/fiting/otvody/stalnye/rus/17375-2001-zn/89-6</t>
  </si>
  <si>
    <t xml:space="preserve">Всего по реестру часть I:</t>
  </si>
  <si>
    <t xml:space="preserve">№ скрина ЭТО</t>
  </si>
  <si>
    <t xml:space="preserve">цех ЭТО (2025 год)</t>
  </si>
  <si>
    <t xml:space="preserve">Держатель полосы 25-40мм оцинкованная сталь IEK, арт. ZDP70-11-1-40</t>
  </si>
  <si>
    <t xml:space="preserve">ООО «Комод» КП №76 от 06.09.2024г</t>
  </si>
  <si>
    <t xml:space="preserve">Усиленный клиновой анкер М8х65, DKC арт. CM480865</t>
  </si>
  <si>
    <t xml:space="preserve">https://www.etm.ru/cat/nn/9770437</t>
  </si>
  <si>
    <t xml:space="preserve">https://rs24.ru/product/49478</t>
  </si>
  <si>
    <t xml:space="preserve">https://www.minimaks.ru/product/usilennyy-klinovoy-anker-m8x65-kod-cm480865-dkc/</t>
  </si>
  <si>
    <t xml:space="preserve">Цинконаполненная грунт-эмаль «ЦИНКОFULL» содержание цинка не менее 85 %</t>
  </si>
  <si>
    <t xml:space="preserve">https://emal-kanash.ru/catalog/grunt-emal/?item=72</t>
  </si>
  <si>
    <t xml:space="preserve">ИП Онищенко К.Ю. КП №24 от 15.07.2024г</t>
  </si>
  <si>
    <t xml:space="preserve">Цинконаполненная грунт-эмаль «ЦИНКОFULL» содержание цинка не менее 80 %</t>
  </si>
  <si>
    <t xml:space="preserve">Грунт-эмаль  3 в 1 HAMMERITE прямо на ржавчину, черная RAL 9005</t>
  </si>
  <si>
    <t xml:space="preserve">https://megamarket.ru/catalog/details/hammerite-smooth-grunt-emal-3v1-na-rzhavchinu-chernyy-ral-9005-gladkiy-glyancevyy-25l-100034479961/</t>
  </si>
  <si>
    <t xml:space="preserve">https://nizhny-novgorod.climate-group.ru/grunt-emal-3-v-1-hammerite-glyantsevaya-tsvet-chernyy-ral9005-5-l/</t>
  </si>
  <si>
    <t xml:space="preserve">Кисть флейц 40мм НР!</t>
  </si>
  <si>
    <t xml:space="preserve">https://horoshie-kraski.ru/catalog/81194002_color_expert_kist_fleytsevaya_40mm_tolshch_6mm_smeshannaya_svetlaya_shchetina_ruchka_tverdo.html</t>
  </si>
  <si>
    <t xml:space="preserve">https://www.vseinstrumenti.ru/product/flejtsevaya-kist-color-expert-40mm-81344002-979617/?ysclid=lxiqhyr2a1367167712</t>
  </si>
  <si>
    <t xml:space="preserve">Лоток неперфорированный 200х100мм  L=3000 мм горячецинкованный, DKC арт. 35103</t>
  </si>
  <si>
    <t xml:space="preserve">https://www.chipdip.ru/product0/8000756344</t>
  </si>
  <si>
    <t xml:space="preserve">https://www.etm.ru/cat/nn/9694462</t>
  </si>
  <si>
    <t xml:space="preserve">https://www.idkc.ru/product/dkc-35103/100369</t>
  </si>
  <si>
    <t xml:space="preserve">Лоток неперфорированный 150х50 L3000 горячий цинк, DKC арт. 35023</t>
  </si>
  <si>
    <t xml:space="preserve">https://www.idkc.ru/product/dkc-35023hdz/101948</t>
  </si>
  <si>
    <t xml:space="preserve">https://rs24.ru/product/138269</t>
  </si>
  <si>
    <t xml:space="preserve">https://elevel.ru/shop/kabelnye-lotki/-kabelnyy-lotok-listovoy/dkc-lotok-150kh50-l3000-goryacheotsinkovannyy/</t>
  </si>
  <si>
    <t xml:space="preserve">Крышка с заземлением на лоток осн.150 L3000 горячий цинк, DKC арт. 35523</t>
  </si>
  <si>
    <t xml:space="preserve">https://руэл.рф/sredstva-prokladki-i-montazha-kabelya/kabelnye-lotki-metallicheskie-i-aksessuary/aksessuary-dlya-metallicheskogo-lotka/kryshka-na-lotok-s-zaz-osn-150-l-3000-goryacheocink-dkc-35523hdz-kratno-3.html</t>
  </si>
  <si>
    <t xml:space="preserve">https://dkc.spb.ru/kryshka-na-lotok-s-zazemleniem-osn-150-l3000-goryacheocinkovannaya.html</t>
  </si>
  <si>
    <t xml:space="preserve">https://www.etm.ru/cat/nn/9861355</t>
  </si>
  <si>
    <t xml:space="preserve">Винт с крестообразным шлицем М6х10, DKC арт. CM010610</t>
  </si>
  <si>
    <t xml:space="preserve">https://www.etm.ru/cat/nn/9752624</t>
  </si>
  <si>
    <t xml:space="preserve">https://www.idkc.ru/product/dkc-cm010610/116754</t>
  </si>
  <si>
    <t xml:space="preserve">https://rs24.ru/product/28459</t>
  </si>
  <si>
    <t xml:space="preserve">Гайка с насечкой, препятствующей откручиванию М6, DKC арт. CM100600</t>
  </si>
  <si>
    <t xml:space="preserve">https://elevel.ru/shop/instrumenty-i-montazhnye-materialy/montazhnye-materialy/metizy/dkc-6_44016/</t>
  </si>
  <si>
    <t xml:space="preserve">https://rs24.ru/product/81907</t>
  </si>
  <si>
    <t xml:space="preserve">https://www.etm.ru/cat/nn/9752636</t>
  </si>
  <si>
    <t xml:space="preserve">Профиль для монтажной ленты 53 мм</t>
  </si>
  <si>
    <t xml:space="preserve">м</t>
  </si>
  <si>
    <t xml:space="preserve">https://arlight.ru/catalog/product/016989/?ysclid=lz0y9ogoqu134802375</t>
  </si>
  <si>
    <t xml:space="preserve">https://nn.ugol-ok.com/catalog/profil-dlya-svetodiodnoy-lenty/podvesnoy/profil-dlya-svetodiodnoy-lenty-50mm/index.php?oid=7505&amp;ysclid=lz0y85qdbp187200667</t>
  </si>
  <si>
    <t xml:space="preserve">https://www.elektro.ru/product/arlight_alyuminievyy_profil_top-linia53-2000_anod/?ysclid=lz0y75w81r839685200</t>
  </si>
  <si>
    <t xml:space="preserve">ФЭС полоса ФП-24 50мм</t>
  </si>
  <si>
    <t xml:space="preserve">ООО «Стандарт безопасности» счет №26 от 25.07.2027г</t>
  </si>
  <si>
    <t xml:space="preserve">https://plan01.ru/fotolyuminescentnaya-svetonakopitelnaya-lenta-s-izobrazheniem-shirinoj-50-mm-na-tverdoj-osnove-pvh-2mm</t>
  </si>
  <si>
    <t xml:space="preserve">https://oohreklama.ru/index.php?dispatch=mp_vendor_store.view&amp;product_id=1269461&amp;ysclid=lz8e9s1xe2120305599</t>
  </si>
  <si>
    <t xml:space="preserve">Прфиль для монтажной ленты "Ступень ФЭС" 53мм</t>
  </si>
  <si>
    <t xml:space="preserve">Комбенированный знак "Открывать движением на себя" 300х150 (фолюм Т2)</t>
  </si>
  <si>
    <t xml:space="preserve">ООО «Апельсин» КП б/н от 24.07.2024г</t>
  </si>
  <si>
    <t xml:space="preserve">ЗБс F10 "Кнопка включения установок пожарной автоматики" 200х200 (фотолюм Т2)</t>
  </si>
  <si>
    <t xml:space="preserve">ЗБС Е01-01 "Выход здесь (левосторонний)" 100х100 (фотолюм Т2)</t>
  </si>
  <si>
    <t xml:space="preserve">Скотч двухсторонний, ширина 300 мм, длина 10 м</t>
  </si>
  <si>
    <t xml:space="preserve">ООО «ТД «Электротехмонтаж» счет №432/81498 от 01.07.2024г</t>
  </si>
  <si>
    <t xml:space="preserve">ООО «Группа Ордер» счет №7597/ЛЦ от 23.07.2024г</t>
  </si>
  <si>
    <t xml:space="preserve">Скотч двухсторонний, ширина 20 мм, длина 10 м</t>
  </si>
  <si>
    <t xml:space="preserve">Rittal 8611130 Замочный вкладыш</t>
  </si>
  <si>
    <t xml:space="preserve">ООО «Эдванст Левел» КП №10.06-07/3 от 10.06.2024г.</t>
  </si>
  <si>
    <t xml:space="preserve">ООО «Балтоптторг-НН» КП №5 от 03.06.2024г</t>
  </si>
  <si>
    <t xml:space="preserve">ООО «Снаб 52» КП №117 от 31.05.2024г</t>
  </si>
  <si>
    <t xml:space="preserve">Герметик прокладка высокотемпературная, уп. 200гр</t>
  </si>
  <si>
    <t xml:space="preserve">https://chimautotrade.ru/shop/product/winkel-pro-automatic-cartridge-liquid-gasket-oxyme-grey-silikonovyy-neytralnyy-kley-germetik-dlya-formirovaniya-prokladok-seryy/</t>
  </si>
  <si>
    <t xml:space="preserve">https://super-kley.ru/flange-seals/winkel-pro-5w18 </t>
  </si>
  <si>
    <t xml:space="preserve">ООО ВсеИнструменты" счет №2407-10030002791 от 01.07.2024г</t>
  </si>
  <si>
    <t xml:space="preserve">Держатель расстояния (кластер) для двустенных труб, д.200мм, одинарный, DKC арт. 025201</t>
  </si>
  <si>
    <t xml:space="preserve">Замок для щитка ТУНДРА, под трехгранный ключ, без ключей, арт. 2942325</t>
  </si>
  <si>
    <t xml:space="preserve">https://eonk.ru/products/zamok-dlya-schitka-tundra-pod-trehgrannyy-klyuch-bez-klyuchey</t>
  </si>
  <si>
    <t xml:space="preserve">Изолента 15ммх20м черная aviora 305 003</t>
  </si>
  <si>
    <t xml:space="preserve">ООО «ТД Толедо» КП №ТТД00180138 от 23.05.2024</t>
  </si>
  <si>
    <t xml:space="preserve">Канальный кондиционер MDV MDTI-48 HWN  1 / MDOU-48 HN 1- L</t>
  </si>
  <si>
    <t xml:space="preserve">https://mircli.ru/Mdv-MDTI-48HWN1-MDOU-48HN1-L/</t>
  </si>
  <si>
    <t xml:space="preserve">https://iclim.ru/catalog/konditsionery/kanalnye/mdv_mdti_48hwn1_mdou_48hn1_l/</t>
  </si>
  <si>
    <t xml:space="preserve">https://climstore.ru/product/mdv-mdti-48hwn1-mdou-48hn1-l-kanalnaya-split-sistema/</t>
  </si>
  <si>
    <t xml:space="preserve">Колодец пластиковый для кабельной канализации 750х750х750 под разгрузочную плиту, DKC арт.270750UP</t>
  </si>
  <si>
    <t xml:space="preserve">Кольцо регулировочное 780/600/30 мм, полимер-композитное, DKC арт. 630780</t>
  </si>
  <si>
    <t xml:space="preserve">Кольцо регулировочное 780/600/50 мм, полимер-композитное, DKC арт. 650780</t>
  </si>
  <si>
    <t xml:space="preserve">Компл.с гайками ТЭН-190А10/110,0</t>
  </si>
  <si>
    <t xml:space="preserve">Конвектор воздушный iVigo EPK4590P20 (с датчиком отключения при опрокидывании)</t>
  </si>
  <si>
    <t xml:space="preserve">Коробка распределительная 100*100*50 (IP55-56)</t>
  </si>
  <si>
    <t xml:space="preserve">ООО «Акцент» Счет №398 от 16.04.2024г</t>
  </si>
  <si>
    <t xml:space="preserve">ООО «Роникон Сервис» Счет №471 от 18.04.2024</t>
  </si>
  <si>
    <t xml:space="preserve">Краска эмаль серая МЛ 1111 (РАСХОД 1КГ/М2)</t>
  </si>
  <si>
    <t xml:space="preserve">Круг обдирочный по стали SP-Novoflex (125x6x22.23 мм) Metabo 617170000</t>
  </si>
  <si>
    <t xml:space="preserve">Личинка замка, для малой ручки, под ключ треугольного профиля 8мм, DKC арт. R5CE214</t>
  </si>
  <si>
    <t xml:space="preserve">Люк ВЧШГ тип B125 по ГОСТ 3634-2019, с запорным устройством, DKC арт. 600125B</t>
  </si>
  <si>
    <t xml:space="preserve">Манометр МТП-1М от 0-5 кгс/см2</t>
  </si>
  <si>
    <t xml:space="preserve">Медная труба 3/4' ST (19,05 х 0,89мм, бухта 15м)Стандарт ASTM B280</t>
  </si>
  <si>
    <t xml:space="preserve">М</t>
  </si>
  <si>
    <t xml:space="preserve">Медная труба 3/8' ST (9,52 х 0,81мм; бухта 15м)стандарт ASTM B280</t>
  </si>
  <si>
    <t xml:space="preserve">Монтажный набор крепления колец и люков, DKC арт. 600100</t>
  </si>
  <si>
    <t xml:space="preserve">Муфта для двустенных-дренажных труб, 200мм, DKC арт.015200</t>
  </si>
  <si>
    <t xml:space="preserve">Муфта кабельная концевая 4ПКТп-1-25/50(Б) нг-LS для кабелей «нг-LS» с пластмассовой изоляцией до 1кВ с болтовыми наконечниками, КВТ прт.65532</t>
  </si>
  <si>
    <t xml:space="preserve">Муфта кабельная концевая 4ПКТп-1-70/120(Б) нг-LS для кабелей «нг-LS» с пластмассовой изоляцией до 1кВ с болтовыми наконечниками, КВТ арт.65533</t>
  </si>
  <si>
    <t xml:space="preserve">ООО «ТД Толедо» КП №ТТД00180138 от 23.05.2025</t>
  </si>
  <si>
    <t xml:space="preserve">Муфта кабельная концевая 5ПКТп(б)-1-16/25(Б) нг-LS для бронированных кабелей «нг-LS» с пластмассовой изоляцией до 1кВ с болтовыми наконечниками, КВТ арт. 70522</t>
  </si>
  <si>
    <t xml:space="preserve">ООО «ТД Толедо» КП №ТТД00180138 от 23.05.2026</t>
  </si>
  <si>
    <t xml:space="preserve">Муфта кабельная соединительная 5ПСТ(б)-1-16/25(Б) нг-LS для бронированных кабелей «нг-LS» с пластмассовой изоляцией до 1кВ с болтовыми соединителями, КВТ арт. 65588</t>
  </si>
  <si>
    <t xml:space="preserve">ООО «ТД Толедо» КП №ТТД00180138 от 23.05.2027</t>
  </si>
  <si>
    <t xml:space="preserve">Муфта кабельная соединительная 5ПСТ-1-70/120(Б) нг-LS для кабелей с пластмассовой изоляцией до 1кВ с болтовыми соединителями</t>
  </si>
  <si>
    <t xml:space="preserve">шт.</t>
  </si>
  <si>
    <t xml:space="preserve">ООО «ТД Толедо» КП №ТТД00180138 от 23.05.2028</t>
  </si>
  <si>
    <t xml:space="preserve">Отрезной круг по металлу DeWALT 125х1.6x22.2 мм DT42300-XJ [DT42300-XJ]</t>
  </si>
  <si>
    <t xml:space="preserve">Ввод высоковольтный BRIT-R-90-110-550/800 КН 1.9.004-RУ, L11=470мм</t>
  </si>
  <si>
    <t xml:space="preserve">ООО «Уралэлектроснаб» счет №530 от 12.06.2024г</t>
  </si>
  <si>
    <t xml:space="preserve">ООО "ТД "Пермснаб" КП №266 от 08.07.2024г</t>
  </si>
  <si>
    <t xml:space="preserve">ООО "Комплексные системы" КП №46 от 08.07.2024г</t>
  </si>
  <si>
    <t xml:space="preserve">принято по 2-м ТКП цена с доставкой</t>
  </si>
  <si>
    <t xml:space="preserve">Пластина резиновая для трансформаторов УМ (масло бензостойкая), ГОСТ 12855-77: резина полосовая толщиной 10мм</t>
  </si>
  <si>
    <t xml:space="preserve">КГ</t>
  </si>
  <si>
    <t xml:space="preserve">Пластина резиновая для трансформаторов УМ (масло бензостойкая), ГОСТ 12855-77: резина полосовая толщиной 12мм</t>
  </si>
  <si>
    <t xml:space="preserve">Пластина резиновая для трансформаторов УМ (масло бензостойкая), ГОСТ 12855-77: резина полосовая толщиной 14мм</t>
  </si>
  <si>
    <t xml:space="preserve">Полка кабельная К1160 длина 175 мм, покрытие горячий цинк, толщина стенки 2 мм</t>
  </si>
  <si>
    <t xml:space="preserve">Полотна для сабельных пил MAKITA универсальные, рабочая длина 100 мм</t>
  </si>
  <si>
    <t xml:space="preserve">Светодиодный светильник ф. Филипс тип RC091V LED34S/840 PSU W60L60 RU (4000К, 34Вт) или аналог</t>
  </si>
  <si>
    <t xml:space="preserve">ООО «Аламиг» КП №278 от 10.04.2024г</t>
  </si>
  <si>
    <t xml:space="preserve">Скоба кабельная К1157, покрытие горячий цинк, толщина стенки 2 мм</t>
  </si>
  <si>
    <t xml:space="preserve">Смазка электропроводящая ЭПС-98 ГОСТ 10434-82</t>
  </si>
  <si>
    <t xml:space="preserve">https://eko-tec.ru/product/5168984/?yclid=13925813857912619007</t>
  </si>
  <si>
    <t xml:space="preserve">https://www.wildberries.ru/catalog/212954024/detail.aspx</t>
  </si>
  <si>
    <r>
      <rPr>
        <sz val="10"/>
        <rFont val="Arial"/>
        <family val="2"/>
        <charset val="1"/>
      </rPr>
      <t xml:space="preserve">Сплит система настенного типа </t>
    </r>
    <r>
      <rPr>
        <b val="true"/>
        <sz val="10"/>
        <rFont val="Arial"/>
        <family val="2"/>
        <charset val="1"/>
      </rPr>
      <t xml:space="preserve">2 кВт</t>
    </r>
    <r>
      <rPr>
        <sz val="10"/>
        <rFont val="Arial"/>
        <family val="2"/>
        <charset val="1"/>
      </rPr>
      <t xml:space="preserve"> в комплекте: внутренний и наружный блоки, пульт управления тип Mitsubishi Heavy Standart Inverter SRK</t>
    </r>
    <r>
      <rPr>
        <b val="true"/>
        <sz val="10"/>
        <rFont val="Arial"/>
        <family val="2"/>
        <charset val="1"/>
      </rPr>
      <t xml:space="preserve">20</t>
    </r>
    <r>
      <rPr>
        <sz val="10"/>
        <rFont val="Arial"/>
        <family val="2"/>
        <charset val="1"/>
      </rPr>
      <t xml:space="preserve">ZSPR-S/SRC</t>
    </r>
    <r>
      <rPr>
        <b val="true"/>
        <sz val="10"/>
        <rFont val="Arial"/>
        <family val="2"/>
        <charset val="1"/>
      </rPr>
      <t xml:space="preserve">20</t>
    </r>
    <r>
      <rPr>
        <sz val="10"/>
        <rFont val="Arial"/>
        <family val="2"/>
        <charset val="1"/>
      </rPr>
      <t xml:space="preserve">ZSPR-S</t>
    </r>
  </si>
  <si>
    <t xml:space="preserve">https://www.tehnoclime.ru/products/split-sistema-mitsubishi-heavy-srk20zspr-ssrc20zspr-s-seriya-standart</t>
  </si>
  <si>
    <t xml:space="preserve">https://planetatechniki.ru/catalog/byitovyie/nastennyie-kondiczioneryi/811-mitsubishi-heavy/seriy-standart-inverter/nastennyij-kondiczioner-mitsubishi-heavy-srk25zmp-sjsrc25zmp-sj</t>
  </si>
  <si>
    <t xml:space="preserve">принято по 2-м ТКП</t>
  </si>
  <si>
    <r>
      <rPr>
        <sz val="10"/>
        <rFont val="Arial"/>
        <family val="2"/>
        <charset val="1"/>
      </rPr>
      <t xml:space="preserve">Сплит система настенного типа </t>
    </r>
    <r>
      <rPr>
        <b val="true"/>
        <sz val="10"/>
        <rFont val="Arial"/>
        <family val="2"/>
        <charset val="1"/>
      </rPr>
      <t xml:space="preserve">3,5кВт </t>
    </r>
    <r>
      <rPr>
        <sz val="10"/>
        <rFont val="Arial"/>
        <family val="2"/>
        <charset val="1"/>
      </rPr>
      <t xml:space="preserve">в комплекте: внутренний и наружный блоки, пульт управления тип Mitsubishi Heavy Standart Inverter SRK</t>
    </r>
    <r>
      <rPr>
        <b val="true"/>
        <sz val="10"/>
        <rFont val="Arial"/>
        <family val="2"/>
        <charset val="1"/>
      </rPr>
      <t xml:space="preserve">20</t>
    </r>
    <r>
      <rPr>
        <sz val="10"/>
        <rFont val="Arial"/>
        <family val="2"/>
        <charset val="1"/>
      </rPr>
      <t xml:space="preserve">ZSPR-S/SRC</t>
    </r>
    <r>
      <rPr>
        <b val="true"/>
        <sz val="10"/>
        <rFont val="Arial"/>
        <family val="2"/>
        <charset val="1"/>
      </rPr>
      <t xml:space="preserve">20</t>
    </r>
    <r>
      <rPr>
        <sz val="10"/>
        <rFont val="Arial"/>
        <family val="2"/>
        <charset val="1"/>
      </rPr>
      <t xml:space="preserve">ZSPR-S</t>
    </r>
  </si>
  <si>
    <t xml:space="preserve">Стойка кабельная К1150 высота 400 мм, покрытие горячий цинк, толщина стенки 2 мм</t>
  </si>
  <si>
    <t xml:space="preserve">https://www.etm.ru/cat/nn/3841091</t>
  </si>
  <si>
    <t xml:space="preserve">https://rs24.ru/product/250325</t>
  </si>
  <si>
    <t xml:space="preserve">https://www.chipdip.ru/product0/8014397390?utm_source=direct&amp;utm_medium=cpc&amp;position_type=other%7Ck50id%7C010000005534600_5534600%7Ccid%7C108406362%7Cgid%7C5417208505%7Caid%7C15932461528%7Csrc%7Csearch_none&amp;utm_campaign=Y_dinamicheskaya&amp;utm_content=text1_ya&amp;utm_term=&amp;yclid=14296139258055098367</t>
  </si>
  <si>
    <t xml:space="preserve">Стяжки кабельные УФ - устойчивые 300х7.6 мм Spec-Kon SKT300-540 Черная ф.ABB (арт. SKT300-540х)</t>
  </si>
  <si>
    <t xml:space="preserve">https://electroline.ru/product/skt300-540x-ctyazhka-kab-khomut-spec-kon-pa-66-chernyy-uf-76kh300mm-skt300-540x.html</t>
  </si>
  <si>
    <t xml:space="preserve">https://ledgoods.ru/ehlektrotekhnika/material-montazhnyj/styazhki-homuty/styazhka-kabelnaya-300kh7-6mm-chernyj-100sht-skt300-540x-100-7tca300300r0000-abb/</t>
  </si>
  <si>
    <t xml:space="preserve">https://www.rkm-electro.ru/product/ctyazhka-kab-khomut-spec-kon-pa-66-chernyy-uf-7-6kh300mm-skt300-540x-100-abb/</t>
  </si>
  <si>
    <t xml:space="preserve">Стяжки кабельные УФ-устойчивые 300х4.8мм Spec-Kon SKT300-220X-100 Черный ф.ABB (артикул SKT300-220X-100)</t>
  </si>
  <si>
    <t xml:space="preserve">https://electroline.ru/product/skt300-220x-100-ctyazhka-kab-khomut-spec-kon-pa-66-chernyy-uf-48kh300mm-skt300-220x-100.html</t>
  </si>
  <si>
    <t xml:space="preserve">https://ledgoods.ru/ehlektrotekhnika/material-montazhnyj/styazhki-homuty/styazhka-kabelnaya-300kh4-8mm-chernaya-100sht-skt300-220x-100-7tca300220r0003-abb/</t>
  </si>
  <si>
    <t xml:space="preserve">ТЭН 190А10/110,0 F380</t>
  </si>
  <si>
    <t xml:space="preserve">ООО «Роникон Сервис» Счет №471 от 18.04.2024г</t>
  </si>
  <si>
    <t xml:space="preserve">Усиленный клиновой анкер М8х50, DKC арт. CM480850</t>
  </si>
  <si>
    <t xml:space="preserve">Хомут P6.6 стандартный, черный 3,6x300, арт. 25310SR</t>
  </si>
  <si>
    <t xml:space="preserve">Хомут P6.6 стандартный, черный 4,8x430, арт. 25320SR</t>
  </si>
  <si>
    <t xml:space="preserve">Шкурка шлифовальная тканевая №6</t>
  </si>
  <si>
    <t xml:space="preserve">м2</t>
  </si>
  <si>
    <t xml:space="preserve">https://www.vseinstrumenti.ru/product/shlifshkurka-bobina-6n-0-1x50-m-p180-14a-na-tkanevoj-osnove-vodostojkaya-cnic-54038-6840097/?ysclid=lwypmeq71n614041303</t>
  </si>
  <si>
    <t xml:space="preserve">https://pmtehno.ru/instrumenty/abrazivnyj-instrument/shlifshkurka/shlifshkurka-na-tkanevoj-osnove-vodost/shlifshkurka-bobina--6n-p180-14a-na-tkanevoy-osnove-vodostoykaya-bobina-0150kh50metrov-cnic</t>
  </si>
  <si>
    <t xml:space="preserve">https://www.chipdip.ru/product0/8021349018?utm_source=direct&amp;utm_medium=cpc&amp;position_type=premium%7Ck50id%7C010000005534682_5534682%7Ccid%7C108407036%7Cgid%7C5417217906%7Caid%7C15932527553%7Csrc%7Csearch_none&amp;utm_campaign=Y_dinamicheskaya_ext&amp;utm_content=text1_ya&amp;utm_term=&amp;yclid=9286793625273630719</t>
  </si>
  <si>
    <t xml:space="preserve">Шланг электромонтажный ШЭМ 22У2</t>
  </si>
  <si>
    <t xml:space="preserve">https://www.zkabel.ru/catalog/metallorukav/metallorukav-v-pvkh-izolyatsii/shlang-shem-elektromontazhnyy/shlang-elektromontazhnyy-shem-22-u2-5-zeta/</t>
  </si>
  <si>
    <t xml:space="preserve">https://vilden.ru/products/shlang-elektromontazhnyj-shem-22-u25-d22mm-up50m-gofromatikzetarus-zeta42710?utm_source=se_new_yandex&amp;utm_medium=se_cpc&amp;utm_campaign=97864972&amp;utm_content=15562648498&amp;utm_term=---autotargeting&amp;yclid=6492831790404468735</t>
  </si>
  <si>
    <t xml:space="preserve">Щетка ЭГ-4 ГОСТ 2232-75</t>
  </si>
  <si>
    <t xml:space="preserve">http://www.lhtc.ru/goods/64405741-elektroshchetki_eg_4_25kh32kh64_dlya_elektricheskikh_mashin?ysclid=ly2yf742lx471369858</t>
  </si>
  <si>
    <t xml:space="preserve">https://td-pride.com/catalog/3810/43718/</t>
  </si>
  <si>
    <t xml:space="preserve">http://www.lhtc.ru/goods/64405951-elektroshchetki_eg_74_25kh32kh64_dlya_elektricheskikh_mashin</t>
  </si>
  <si>
    <t xml:space="preserve">Электрическая тепловая пушка ЭТВ-3: Р=3кВт, диаметр корпуса-280мм, U=380В. (или аналог)</t>
  </si>
  <si>
    <t xml:space="preserve">ООО «Династия» Счет №399 от 15.04.2024</t>
  </si>
  <si>
    <t xml:space="preserve">РЕМ 2026</t>
  </si>
  <si>
    <t xml:space="preserve">Ремонтный состав тиксотропного типа  'MAX RS T1'</t>
  </si>
  <si>
    <t xml:space="preserve">ООО Авио-Строй счет б/н от 09.06.2025г</t>
  </si>
  <si>
    <t xml:space="preserve">ООО Две столицы счет б/н от 06.06.2025г</t>
  </si>
  <si>
    <t xml:space="preserve">ООО Промполимер КП б/н от 09.06.2025г</t>
  </si>
  <si>
    <t xml:space="preserve">Принять ТКП сах в смету, стоимость ООО Авиа строй и Промполимер необосновано увеличивает цену, принять по стоимости официального диллера</t>
  </si>
  <si>
    <t xml:space="preserve">ТКП напарвлено для подтверждения</t>
  </si>
  <si>
    <t xml:space="preserve">Смесь сухая ремонтная тиксотропная Max RS T2</t>
  </si>
  <si>
    <t xml:space="preserve">Ремонт бетонных и железобетонных конструкций наливными материалами MAX RS L2</t>
  </si>
  <si>
    <t xml:space="preserve">Смесь сухая для гидроизоляции швов, стыков, трещин марка 'MAX RS T10'</t>
  </si>
  <si>
    <t xml:space="preserve">Смесь сухая ремонтная безусадочная с полимерной фиброй MAX RS L1</t>
  </si>
  <si>
    <t xml:space="preserve">смесь сухая ремонтная литьевого типа с микрофиброй безусадочная MAX RS L1</t>
  </si>
  <si>
    <t xml:space="preserve">Сухая ремонтная смесь литого типа MAX RS L2</t>
  </si>
  <si>
    <t xml:space="preserve">Смесь бетонная сухая безусадочная быстротвердеющая MAX RS L2 наливного типа</t>
  </si>
  <si>
    <t xml:space="preserve">Смесь сухая быстротвердеющая MAX PS20</t>
  </si>
  <si>
    <t xml:space="preserve">смесь растворная сухая  max rst 20 </t>
  </si>
  <si>
    <t xml:space="preserve">Смесь сухая ремонтная тиксотропная Max RS T20</t>
  </si>
  <si>
    <t xml:space="preserve">Однокомпонентный гидроизоляционный материал мастичного типа Max Protect 01</t>
  </si>
  <si>
    <t xml:space="preserve">Двухкомпонентное гидроизоляционное покрытие MAX Profing-2</t>
  </si>
  <si>
    <t xml:space="preserve">Покрытие эластичное полимерцементное двухкомпонентное MAХ Proofing 2</t>
  </si>
  <si>
    <t xml:space="preserve">Состав антикоррозийный, адгезионный однокомпонентный Max Profing-3</t>
  </si>
  <si>
    <t xml:space="preserve">Состав гидроизоляционный MAX Proofing 4</t>
  </si>
  <si>
    <t xml:space="preserve">Смесь сухая строительная для защиты, гидроизоляции и ремонта бетона,
марка: 'Max Profing-5' (водяная пробка)</t>
  </si>
  <si>
    <t xml:space="preserve">Пропитка гидрофобизирующая глубокого проникновения MAXfloor 1</t>
  </si>
  <si>
    <t xml:space="preserve">Двухкомпонентный полиуретановый состав для инъекционной гидроизоляции MAX Injeckt-02</t>
  </si>
  <si>
    <t xml:space="preserve">Растворитель - MAX D 02</t>
  </si>
  <si>
    <t xml:space="preserve">Растворитель марки: MAX DEP 02</t>
  </si>
  <si>
    <t xml:space="preserve">Разбавитель для эмали MAX  DPU 01</t>
  </si>
  <si>
    <t xml:space="preserve">Грунт-эмаль по металлу, марка 'MAX PROMO Primer', цвет серый</t>
  </si>
  <si>
    <t xml:space="preserve">Двухкомпоненитная эпоксидная эмаль MAX Mastic NT, цвет красно-коричневый</t>
  </si>
  <si>
    <t xml:space="preserve">Грунт-эмаль 'MAX Coat UR NT'.</t>
  </si>
  <si>
    <t xml:space="preserve">Грунт-эмаль MAX Promo Coat </t>
  </si>
  <si>
    <t xml:space="preserve">Грунтовка по металлу, марка 'MAX Promo Primer' цвет серый</t>
  </si>
  <si>
    <t xml:space="preserve">Грунтовка двухкомпонентная цинконаполненная MAX Promo Primer </t>
  </si>
  <si>
    <t xml:space="preserve">Двухкомпонентная полиуретановая смола MAX Injeckt 02 (Компонент А + компонент Б в соотношении 1:1)</t>
  </si>
  <si>
    <t xml:space="preserve">Краска водоэмульсионная фасадная MAX COLOR</t>
  </si>
  <si>
    <t xml:space="preserve">Краска огнезащитная MAXPRO 01</t>
  </si>
  <si>
    <t xml:space="preserve">ООО Авио-Строй счет б/н от 01.08.2025г</t>
  </si>
  <si>
    <t xml:space="preserve">ООО Две столицы счет б/н от 01.08.2025г</t>
  </si>
  <si>
    <t xml:space="preserve">ООО Промполимер КП б/н от 01.08.2025г</t>
  </si>
  <si>
    <t xml:space="preserve">Грунтовка глубокого проникновения MAX PRIME</t>
  </si>
  <si>
    <t xml:space="preserve">Защитное покрытие MAX-Protect-01</t>
  </si>
  <si>
    <t xml:space="preserve">Ремонтный состав  MAX RS T3</t>
  </si>
  <si>
    <t xml:space="preserve">ООО Две столицы КП №б/н от 23.07.2025г</t>
  </si>
  <si>
    <t xml:space="preserve">ООО Авио-Строй КП б/н от 23.07.2025г</t>
  </si>
  <si>
    <t xml:space="preserve">ООО Промполимер КП №б/н от 23.07.2025г</t>
  </si>
  <si>
    <t xml:space="preserve">Перильное лестничное ограждение из нержавеющей стали (высота 1200мм, стойки и поручни диам 38мм, три ригеля).</t>
  </si>
  <si>
    <t xml:space="preserve">ООО НаноСплав КП №50 от 21.08.2025г</t>
  </si>
  <si>
    <t xml:space="preserve">Плиты индивидуального изготовления. Бетон В30  F400 (согласно чертежа) </t>
  </si>
  <si>
    <t xml:space="preserve">ООО Генподряд КП №46 от 21.07.2025г</t>
  </si>
  <si>
    <t xml:space="preserve">ООО Ресурс КП №55 от 05.08.2025г</t>
  </si>
  <si>
    <t xml:space="preserve">ООО Озон Био Климат б/н от 20.08.2025г</t>
  </si>
  <si>
    <t xml:space="preserve">Кольцо стеновое смотровых колодцев: КС10.9Ч /бетон В15 (М200), объем
0,24 м3, расход арматуры 5,66 кг/ (серия 3.900.1-14) </t>
  </si>
  <si>
    <t xml:space="preserve">Группа 05.1.01.09 Кольца выбрать кольцо по ФССЦ</t>
  </si>
  <si>
    <t xml:space="preserve">Кольцо стеновое смотровых колодцев: КС10.6Ч /бетон В15 (М200), объем
0,16 м3, расход арматуры 3,95 кг/ (серия 3.900.1-14) </t>
  </si>
  <si>
    <t xml:space="preserve">Кольцо стеновое железобетонное КС 7-6 </t>
  </si>
  <si>
    <t xml:space="preserve">ФССЦ-05.1.01.09-0052</t>
  </si>
  <si>
    <t xml:space="preserve">Щит информационный из оцинкованной стали (1,0м * 0,5м)</t>
  </si>
  <si>
    <t xml:space="preserve">КП ООО Апельсин от 15.08.2025г</t>
  </si>
  <si>
    <t xml:space="preserve">цена проверена единств. Поставщик</t>
  </si>
  <si>
    <t xml:space="preserve">Антисептик ЭКОБИО СЕНЕЖ 0,3кг на м2</t>
  </si>
  <si>
    <t xml:space="preserve">https://isotop-nn.ru/catalog/osb_3_montazhnye_peny/antiseptik_senezh_ekobio/</t>
  </si>
  <si>
    <t xml:space="preserve">https://rem52.ru/zashita-dlja-dereva/senezh/zashita-dlja-dereva-senezh-ekobio-5kg/</t>
  </si>
  <si>
    <t xml:space="preserve">https://stroyrem-nn.ru/products/antiseptik-senezh-ekobio-10-kg</t>
  </si>
  <si>
    <t xml:space="preserve">ФССЦ-14.2.06.01-0108 или из Группа 14.2.06.01 Антисептики</t>
  </si>
  <si>
    <t xml:space="preserve">Грунт Виникор 061</t>
  </si>
  <si>
    <t xml:space="preserve">https://promsnab.me/catalog/lakokrasochnye_materialy/gruntovki/vinikor_061/</t>
  </si>
  <si>
    <t xml:space="preserve">https://plkfarba.ru/product/vinikor-061/?yclid=17831455496159363071</t>
  </si>
  <si>
    <t xml:space="preserve">ООО Группа Ордер Счет №4192/ЛЦ от 17.04.2025г</t>
  </si>
  <si>
    <t xml:space="preserve">согласовано</t>
  </si>
  <si>
    <t xml:space="preserve">Ламинат Grigio Classica  класс 1218х180х4 мм коричневый</t>
  </si>
  <si>
    <t xml:space="preserve">https://lemanapro.ru/product/spc-plitka-grigio-classica-43-klass-tolshchina-4-mm-30692-m-88010968/?ysclid=mdn57xbsl6138406720&amp;utm_referrer=https%3A%2F%2Fya.ru%2Fsearch%2F%3Ftext%3D%25D0%259B%25D0%25B0%25D0%25BC%25D0%25B8%25D0%25BD%25D0%25B0%25D1%2582%2BGrigio%2BClassica%2B%2B%25D0%25BA%25D0%25BB%25D0%25B0%25D1%2581%25D1%2581%2B1218%25D1%2585180%25D1%25854%2B%25D0%25BC%25D0%25BC%2B%25D0%25BA%25D0%25BE%25D1%2580%25D0%25B8%25D1%2587%25D0%25BD%25D0%25B5%25D0%25B2%25D1%258B%25D0%25B9%26lr%3D2</t>
  </si>
  <si>
    <t xml:space="preserve">https://santreyd.ru/product/88010968-pvh-plitka-grigio-classica-43-klass-tolschina-4-mm-3-0692-m-stlm-0076518-santreyd/</t>
  </si>
  <si>
    <t xml:space="preserve">https://www.stroyportal.ru/catalog/section-vinilovaya-plitka-1482/spc-plitka-grigio-classica-43-klass-tolshchina-4-m-708423072/?ysclid=mdn59uq05z385321196</t>
  </si>
  <si>
    <t xml:space="preserve"> Лак водорастворимый Pinotex Lacker Aqua матовый (расход 0,1л/м.кв.)</t>
  </si>
  <si>
    <t xml:space="preserve">https://www.maxidom.ru/catalog/laki-spetsialnye/1001162574/</t>
  </si>
  <si>
    <t xml:space="preserve">https://order-nn.ru/kmo/catalog/6000/450094</t>
  </si>
  <si>
    <t xml:space="preserve">https://banapal.ru/lak-dlya-dereva-na-vodnoj-osnove-koleruemyj-pinotex-lacker-aqua-10-matovyj1-l-5254104/</t>
  </si>
  <si>
    <t xml:space="preserve">Декоративно-защитная пропитка Pinotex Focus Aqua</t>
  </si>
  <si>
    <t xml:space="preserve">https://www.samotsvet.com/catalog/dlya_naruzhnykh_rabot_2/pinotex_focus_aqua_zashchitnaya_propitka_dlya_derevyannykh_zaborov_i_sadovykh_stroeniy/?ysclid=mdn5nsdsj0390305188</t>
  </si>
  <si>
    <t xml:space="preserve">http://pinotik.ru/products/pin-focus-zeleniy-les</t>
  </si>
  <si>
    <t xml:space="preserve">https://www.edkm.ru/pinotex-focus-aqua-pinoteks-fokus-akva-zashchitnaya-propitka-dlya-derevyannyh-zaborov-i-sadovyh-stroenij-9-l/</t>
  </si>
  <si>
    <t xml:space="preserve">Шпатлевка гипсовая ЕК-К200</t>
  </si>
  <si>
    <t xml:space="preserve">https://s-stroy.ru/product/shpatlevka_gipsovaya_ek_k200_20_kg/</t>
  </si>
  <si>
    <t xml:space="preserve">https://nnv.saturn.net/product/shpaklevka-dlya-bolshogo-obema-rabot-ek-k-200-20-kg/</t>
  </si>
  <si>
    <t xml:space="preserve">https://ardinn.ru/catalog/sukhie-smesi/shpatlevki/universalnaya-gipsovaya-shpatlevka-ek-k200-line/?oid=107029&amp;yclid=8396479760764239871</t>
  </si>
  <si>
    <t xml:space="preserve">Группа 14.5.11.03 Шпатлевки на основе гипса</t>
  </si>
  <si>
    <t xml:space="preserve">Шпатлевка на цементной основе EK VH 30    (Шпатлевка базовая цементная для внутренних работ Старателли)</t>
  </si>
  <si>
    <t xml:space="preserve">https://нн-строй.рф/strojmaterialy/suhie-smesi/shpakljovka/shpaklevka-ek/shpaklevka_ek_vh-30_fasadnaja_seraja_20kg</t>
  </si>
  <si>
    <t xml:space="preserve">https://stroybaza-nn.ru/catalog/shpaklevka_shpatlevka/shpaklevka_tsementnaya_ek_vh30_20_kg/</t>
  </si>
  <si>
    <t xml:space="preserve">https://nizhniy-novgorod.arttn.ru/catalog/seraya-tsementnaya-shpatlevka-ek-vh30-gray-20-kg/</t>
  </si>
  <si>
    <t xml:space="preserve">проверить ФССЦ</t>
  </si>
  <si>
    <t xml:space="preserve">Грунтовка акриловая для внутренних и наружных работ Бетоноконтакт СТ19 Ceresit 3кг</t>
  </si>
  <si>
    <t xml:space="preserve">https://www.virage24.ru/product/gruntovka-betonkontakt-3kg-cerezit-311108?utm_referrer=https://yandex.ru/products/search?text=%25D0%2593%25D1%2580%25D1%2583%25D0%25BD%25D1%2582%25D0%25BE%25D0%25B2%25D0%25BA%25D0%25B0%2520%25D0%25B0%25D0%25BA%25D1%2580%25D0%25B8%25D0%25BB%25D0%25BE%25D0%25B2%25D0%25B0%25D1%258F%2520%25D0%25B4%25D0%25BB%25D1%258F%2520%25D0%25B2%25D0%25BD%25D1%2583%25D1%2582%25D1%2580%25D0%25B5%25D0%25BD%25D0%25BD%25D0%25B8%25D1%2585%2520%25D0%25B8%2520%25D0%25BD%25D0%25B0%25D1%2580%25D1%2583%25D0%25B6%25D0%25BD%25D1%258B%25D1%2585%2520%25D1%2580%25D0%25B0%25D0%25B1%25D0%25BE%25D1%2582%2520%25D0%2591%25D0%25B5%25D1%2582%25D0%25BE%25D0%25BD%25D0%25BE%25D0%25BA%25D0%25BE%25D0%25BD%25D1%2582%25D0%25B0%25D0%25BA%25D1%2582%2520%25D0%25A1%25D0%25A219%2520Ceresit%25203%25D0%25BA%25D0%25B3</t>
  </si>
  <si>
    <t xml:space="preserve">https://glavsnab.net/gruntovka-betonkontakt-ceresit-st19-3kg-morozostoykaya.html?ysclid=mc1xjkqay6603894147</t>
  </si>
  <si>
    <t xml:space="preserve">https://stroyrem-nn.ru/products/gruntovka-betonkontakt-ceresit-ct-19-3-kg</t>
  </si>
  <si>
    <t xml:space="preserve">Смесь штукатурная цементная EK TT-30</t>
  </si>
  <si>
    <t xml:space="preserve">https://koop01.ru/shop/ек-тт30-цементная-штукатурка-25-кг/</t>
  </si>
  <si>
    <t xml:space="preserve">https://www.tsmnn.ru/catalog/stroymaterialy/sukhie-smesi/shtukaturka/shtukaturka-tsementnaya-ek-tt30-25kg/?yclid=6480404912259727359</t>
  </si>
  <si>
    <t xml:space="preserve">https://gelios52.ru/stroymaterialy/shtukaturnye-i-stroitelnye-smesi/shtukaturka-yek-tt-30-25kg/</t>
  </si>
  <si>
    <t xml:space="preserve">Пол наливной самовыравнивающийся Старатели</t>
  </si>
  <si>
    <t xml:space="preserve">https://mp-stroy24.ru/catalog/p/suhie-smesi-dlya-ustrojstva-polov81/pol_nalivnoj_starateli_bystrotverdeyushhij_20_kg_2017776/</t>
  </si>
  <si>
    <t xml:space="preserve">https://globalsnab.com/catalog/nalivnoy_pol/nalivnoy_pol_starateli_bystrotverdeyushchiy_20kg/</t>
  </si>
  <si>
    <t xml:space="preserve">https://kant-stroy.ru/catalog/p/suhie-smesi-dlya-ustrojstva-polov2/pol_nalivnoj_starateli_bystrotverdeyushhij_20_kg_1632658/?ysclid=mc4hv87zx9969217144</t>
  </si>
  <si>
    <t xml:space="preserve">Лак паркетный Tikkurila euro kiri  цвет чили </t>
  </si>
  <si>
    <t xml:space="preserve">https://kraski-dl.ru/product/lak-tikkurila-evro-kiri-euro-kiri-parketnyj-alkidno-uretanovyj-glyanczevyj-bazis-ep-9l-tikkurila/</t>
  </si>
  <si>
    <t xml:space="preserve">https://www.samotsvet.com/catalog/dlya_parketa_i_derevyanogo_pola/tikkurila_euro_kiri_lak_parketnyy_polumatovyy/</t>
  </si>
  <si>
    <t xml:space="preserve">https://glavsnab.net/lak-parketniy-tikkurila-euro-kiri-ep-polumatoviy-9-l.html</t>
  </si>
  <si>
    <t xml:space="preserve">ФССЦ-14.3.03.01-1000</t>
  </si>
  <si>
    <t xml:space="preserve">Сетка металлическая оцинкованная ЦПВС</t>
  </si>
  <si>
    <t xml:space="preserve">ООО Группа Ордер Счет №8276/ЛЦ от 31.07.2025г</t>
  </si>
  <si>
    <t xml:space="preserve">ООО Альянспрофинструмент КП №305 от 01.08.2025г</t>
  </si>
  <si>
    <t xml:space="preserve">ООО ИнСнабЭлектро КП №203 от 31.07.2025г</t>
  </si>
  <si>
    <t xml:space="preserve">ФССЦ проверить ( в ФССЦ нет)</t>
  </si>
  <si>
    <t xml:space="preserve">Анкер клиновой М8*80</t>
  </si>
  <si>
    <t xml:space="preserve">https://www.etm.ru/cat/nn/1301544</t>
  </si>
  <si>
    <t xml:space="preserve">https://rs24.ru/product/2992673</t>
  </si>
  <si>
    <t xml:space="preserve">https://www.promrukav.ru/catalog/ankery/anker-klinovoy-usilennyy-m8kh80-50-sht-up-promrukav/</t>
  </si>
  <si>
    <t xml:space="preserve">Анкер клиновой М10*100 (10*95)</t>
  </si>
  <si>
    <t xml:space="preserve">https://www.toledo24.pro/products/usilennyy-klinovoy-anker-m10kh100-dkc-cm481001-kratno-25/</t>
  </si>
  <si>
    <t xml:space="preserve">https://rs24.ru/product/432288</t>
  </si>
  <si>
    <t xml:space="preserve">https://www.chipdip.ru/product0/8007141996</t>
  </si>
  <si>
    <t xml:space="preserve">Анкер забивной М12*40</t>
  </si>
  <si>
    <t xml:space="preserve">https://lemanapro.ru/product/zabivnoy-anker-m12x40-mm-10-sht-89415168/?ysclid=mdo6wytay7544772704&amp;utm_referrer=https%3A%2F%2Fya.ru%2Fsearch%2F%3Ftext%3D%25D0%2590%25D0%25BD%25D0%25BA%25D0%25B5%25D1%2580%2B%25D0%25B7%25D0%25B0%25D0%25B1%25D0%25B8%25D0%25B2%25D0%25BD%25D0%25BE%25D0%25B9%2B%25D0%259C12*40%26lr%3D2</t>
  </si>
  <si>
    <t xml:space="preserve">https://electroguru.ru/ankeri/lider/54551/?ysclid=mdo6zzy37o896334298</t>
  </si>
  <si>
    <t xml:space="preserve">https://www.materik-m.ru/shop/anker_zabivnoy_latunnyy_m12_40sht_up/</t>
  </si>
  <si>
    <t xml:space="preserve">пакер инъекционный разжимной 14 мм. Концерн Sika</t>
  </si>
  <si>
    <t xml:space="preserve">ООО ТД Рэд Лайн КП б/н от 24.06.2025г</t>
  </si>
  <si>
    <t xml:space="preserve">ООО Строительная компания «Новые технологии», КП №41 от 24.06.2025г</t>
  </si>
  <si>
    <t xml:space="preserve">ООО «СК Эко-Строй» КП б/н от 27.06.2025г</t>
  </si>
  <si>
    <t xml:space="preserve">УТОЧНИТЬ КАКОЙ ПАКЕР ФИРМА КАКАЯ ( Концерн Sika)</t>
  </si>
  <si>
    <t xml:space="preserve">Инъекционный пакер диаметром 16мм  Концерн Sika</t>
  </si>
  <si>
    <t xml:space="preserve">Пакер инъекционный разжимной 14х110 мм. с пресс-ниппелем (шарик) (алюминиевый 14*115)  Концерн Sika</t>
  </si>
  <si>
    <t xml:space="preserve">Анкер химический OKG TE100 V6(450мл)</t>
  </si>
  <si>
    <t xml:space="preserve">https://snabline.com/shop/product/himicheskij-anker-stalmax-te100-epoksidnyj-450ml-artikul-12056</t>
  </si>
  <si>
    <t xml:space="preserve">https://1001krep.ru/himicheskij-anker-epoksidnyj-stalmax-te100-450-ml-artikul-12056?ysclid=mc5susp8vr839881165</t>
  </si>
  <si>
    <t xml:space="preserve">https://stalmax.ru/ankery-himicheskie/him-anker-te100-450ml-epoksidnyj-art-12056?ysclid=mc5suma0o2675630097</t>
  </si>
  <si>
    <t xml:space="preserve">Перегородка пластиковая глухая с комплектом крепежа для монтажа по существующему каркасу. Размер 0,8*2м</t>
  </si>
  <si>
    <t xml:space="preserve">ООО Силовая техника КП №145 от 01.08.2025г.</t>
  </si>
  <si>
    <t xml:space="preserve">нет параметров для првоерки</t>
  </si>
  <si>
    <t xml:space="preserve">Плитка напольная нескользящая Керамогранит ВЯЗ GP 16585 СЕРЫЙ 59,7х14,8см</t>
  </si>
  <si>
    <t xml:space="preserve">https://www.bestceramic.ru/goods/vyaz_gp_seryy_594x147</t>
  </si>
  <si>
    <t xml:space="preserve">https://napolnye-istorii.ru/catalog/p/plitka-keramogranit-mozaika-kamen43/keramogranit_beryoza_ceramica_vyaz_gp_seryj_14-7x59-4_sm_2280441/</t>
  </si>
  <si>
    <t xml:space="preserve">https://lemanapro.ru/product/keramogranit-beryoza-ceramica-vyaz-gp-16585-seryy-597x148sm-90568663/?ysclid=mc93qnkofw960021605&amp;utm_referrer=https%3A%2F%2Fya.ru%2Fsearch%2F%3Ftext%3D%25D0%259F%25D0%25BB%25D0%25B8%25D1%2582%25D0%25BA%25D0%25B0%2B%25D0%25BD%25D0%25B0%25D0%25BF%25D0%25BE%25D0%25BB%25D1%258C%25D0%25BD%25D0%25B0%25D1%258F%2B%25D0%25BD%25D0%25B5%25D1%2581%25D0%25BA%25D0%25BE%25D0%25BB%25D1%258C%25D0%25B7%25D1%258F%25D1%2589%25D0%25B0%25D1%258F%2B%25D0%259A%25D0%25B5%25D1%2580%25D0%25B0%25D0%25BC%25D0%25BE%25D0%25B3%25D1%2580%25D0%25B0%25D0%25BD%25D0%25B8%25D1%2582%2B%25D0%2592%25D0%25AF%25D0%2597%2BGP%2B16585%2B%25D0%25A1%25D0%2595%25D0%25A0%25D0%25AB%25D0%2599%2B59%252C7%25D1%258514%252C8%25D1%2581%25D0%25BC%26lr%3D20042%26clid%3D2714390%26win%3D632</t>
  </si>
  <si>
    <t xml:space="preserve">Заклепка вытяжная 4,8*12 из нержавеющей стали 0,8*18Н10(AISI  304; А2)</t>
  </si>
  <si>
    <t xml:space="preserve">https://bnk-sm.ru/shop/product/zaklepka-vytyazhnaya-4.8x12-mm-nerzhaveyushchaya-stal</t>
  </si>
  <si>
    <t xml:space="preserve">https://formula-krepega.ru/catalog/zaklyepki/vytyazhnye/nerzhaveyushchie/1228/?ysclid=memivwmh79432379705&amp;utm_referrer=https%3A%2F%2Fya.ru%2Fsearch%2F%3Ftext%3D%25D0%2597%25D0%25B0%25D0%25BA%25D0%25BB%25D0%25B5%25D0%25BF%25D0%25BA%25D0%25B0%2B%25D0%25B2%25D1%258B%25D1%2582%25D1%258F%25D0%25B6%25D0%25BD%25D0%25B0%25D1%258F%2B4%252C8%2A12%2B%25D0%25B8%25D0%25B7%2B%25D0%25BD%25D0%25B5%25D1%2580%25D0%25B6%25D0%25B0%25D0%25B2%25D0%25B5%25D1%258E%25D1%2589%25D0%25B5%25D0%25B9%2B%25D1%2581%25D1%2582%25D0%25B0%25D0%25BB%25D0%25B8%2B0%252C8%2A18%25D0%259D10%28AISI%2B%25C2%25A0304%253B%2B%25D0%25902%29%26lr%3D2</t>
  </si>
  <si>
    <t xml:space="preserve">https://centerkrep.ru/krepezh/bolty-i-shpilki/zaklepki-vytyazhnye/zaklepka-vytyazhnaya-din7337-a2-4-8x12-nerzhaveyushchaya-stal/?ysclid=memj24s9e8970276105</t>
  </si>
  <si>
    <t xml:space="preserve">заменила на ссылки</t>
  </si>
  <si>
    <t xml:space="preserve">Клей-герметик по каталогу ТрансТехСервис - 2,7 кг, (Клей-герметик Soudal Фикс Алл FLEXI белый 290 мл 117383)</t>
  </si>
  <si>
    <t xml:space="preserve">4 кг</t>
  </si>
  <si>
    <t xml:space="preserve">https://www.vseinstrumenti.ru/product/gibridnyj-klej-germetik-soudal-fiks-all-flexi-belyj-117383-935819/#characteristics</t>
  </si>
  <si>
    <t xml:space="preserve">https://cmm-k.ru/catalog/germetiki_i_klei/gibridnye_ms_polimernye_/163488/?ysclid=mdx38vgx2u372262061</t>
  </si>
  <si>
    <t xml:space="preserve">цена стоит за шт! Исправила на цену за 1 кг</t>
  </si>
  <si>
    <t xml:space="preserve">Вентилятор осевой канальный ERA Typhoon 160 2SP 50Dn 570v3/x</t>
  </si>
  <si>
    <t xml:space="preserve">https://www.vent-style.ru/goods/typhoon-150-2sp-kanalnyy-ventilyator?yclid=4984175753823518719</t>
  </si>
  <si>
    <t xml:space="preserve">Тройник для круглой вентиляционной трубы диаметром 160мм, оцинкованная сталь</t>
  </si>
  <si>
    <t xml:space="preserve">проверить ФССЦ (не нашла)</t>
  </si>
  <si>
    <t xml:space="preserve">https://www.etm.ru/cat/nn/2999936</t>
  </si>
  <si>
    <t xml:space="preserve">https://lemanapro.ru/product/troynik-dlya-kruglyh-vozduhovodov-ore-d160-mm-ocinkovannyy-metall-82509329/</t>
  </si>
  <si>
    <t xml:space="preserve">Отвод 90 град для круглой вентиляционной трубы диаметром 160мм, оцинкованная сталь</t>
  </si>
  <si>
    <t xml:space="preserve">https://rmio.ru/catalog/otvod_90_160_mm_dlya_kruglykh_vozdukhovodov/?ysclid=melfab5ibo791470992</t>
  </si>
  <si>
    <t xml:space="preserve">стоимость завышена,Группа 19.1.01.02 Воздуховоды из листовой стали, принять по ФССЦ (Не нашла)</t>
  </si>
  <si>
    <t xml:space="preserve">https://www.vent-style.ru/goods/ugol-90-otvod-f160-iz-ocinkovannoj-stali?yclid=240437176694996991</t>
  </si>
  <si>
    <t xml:space="preserve">https://rmio.ru/catalog/otvod_90_160_mm_dlya_kruglykh_vozdukhovodov/</t>
  </si>
  <si>
    <t xml:space="preserve">Отвод 90 град для вент трубы диаметром 100мм из оцинкованной стали</t>
  </si>
  <si>
    <t xml:space="preserve">https://rmio.ru/catalog/otvod_90_100_mm_dlya_kruglykh_vozdukhovodov/?ysclid=melfgvtmfo935744238</t>
  </si>
  <si>
    <t xml:space="preserve">https://rmio.ru/catalog/otvod_90_100_mm_dlya_kruglykh_vozdukhovodov/</t>
  </si>
  <si>
    <t xml:space="preserve">Труба из оцинкованной стали для вентиляции, диаметр 160мм</t>
  </si>
  <si>
    <t xml:space="preserve">https://ppk-levsha.ru/collection/katalog-1-7b4a51/product/truba-vitaya-d-160-3-m-otsinkovka</t>
  </si>
  <si>
    <t xml:space="preserve">стоимость завышена,Группа 19.1.01.02 Воздуховоды из листовой стали, принять по ФССЦ (принято по ФССЦ-19.1.01.03-0071)</t>
  </si>
  <si>
    <t xml:space="preserve">Труба вентялиционная из оцинкованной стали диаметром 100мм</t>
  </si>
  <si>
    <t xml:space="preserve">https://www.vent-style.ru/goods/vozduxovod-truba-f-100-1m-iz-ocinkovannoj-stali</t>
  </si>
  <si>
    <t xml:space="preserve">стоимость завышена,Группа 19.1.01.02 Воздуховоды из листовой стали, принять по ФССЦ (принято по ФССЦ-19.1.01.03-0009</t>
  </si>
  <si>
    <t xml:space="preserve">https://myvent.ru/product/vozduhovod-spiralno-navivnoj-100mm-3m-iz-ocinkovannoj-stali/</t>
  </si>
  <si>
    <t xml:space="preserve">Переход для круглой вентиляционной трубы 160*100, пластик</t>
  </si>
  <si>
    <t xml:space="preserve">стоимость завышена,Группа 19.1.01.02 Воздуховоды из листовой стали, принять по ФССЦ ( материал пластик в ФССЦ нет)</t>
  </si>
  <si>
    <t xml:space="preserve">Смеситель для душа Haiba HB2413 (Душевая стойка Haiba HB2413 хром)</t>
  </si>
  <si>
    <t xml:space="preserve">https://nizhnij-novgorod.dushevoi.ru/products/dushevaya-sistema-haiba-hb2413-khrom-318749-ware/</t>
  </si>
  <si>
    <t xml:space="preserve">https://smesx.ru/catalog/dushi_paneli_garnitury/dushevye_sistemy/dushevaya_sistema_dlya_dusha_haiba_hb2413_bez_izliva/?ysclid=mdqzkqvqnt830634747</t>
  </si>
  <si>
    <t xml:space="preserve">https://spb.santehnica.ru/product/298091.html?ysclid=mdr0hrvg2h994265023</t>
  </si>
  <si>
    <t xml:space="preserve">уточнить наименование</t>
  </si>
  <si>
    <t xml:space="preserve">Корпус навесной ST с М/П с прозрачной дверью ВxШxГ 400x300x200 мм, IP66, ДКС арт. R5STX0432</t>
  </si>
  <si>
    <t xml:space="preserve">ИП Смирнов О.Ю. КП №622 от 21.06.2025г</t>
  </si>
  <si>
    <t xml:space="preserve">ООО Коннекта КП №102 от 07.07.2025г</t>
  </si>
  <si>
    <t xml:space="preserve">ООО Промком КП №83 от 07.07.2025г</t>
  </si>
  <si>
    <t xml:space="preserve">https://www.dkcmarket.ru/r5stx0432.html</t>
  </si>
  <si>
    <t xml:space="preserve">https://www.etm.ru/cat/nn/6819836</t>
  </si>
  <si>
    <t xml:space="preserve">Шкаф АВР 63А на контакторах и реле контроля фаз, арт. АВР-К-63-2-1</t>
  </si>
  <si>
    <t xml:space="preserve">https://bonpet.tech/product/avr-k-63-2-1</t>
  </si>
  <si>
    <t xml:space="preserve">https://piris.ru/product/avr-prs-k-2-1-63-andeli</t>
  </si>
  <si>
    <t xml:space="preserve">https://sankt-peterburg.der-com.ru/product/avr/shkaf-avr-63a-02-01-iek-na-baze-silovykh-kontaktorov-iek/</t>
  </si>
  <si>
    <t xml:space="preserve">Рама пластронной системы для корпусов ST, STE ВхШ 400х300 мм, ДКС арт. R5STMF43</t>
  </si>
  <si>
    <t xml:space="preserve">https://www.skm-electro.ru/catalog/shkafy-boksy-aksessuary/shkafy-napolnye/shkafy-napolnye-dkc/53611/</t>
  </si>
  <si>
    <t xml:space="preserve">с доставкой</t>
  </si>
  <si>
    <t xml:space="preserve">https://www.sin-el.ru/list_r5stmf43.html?ysclid=mebeiyvnkz807562174</t>
  </si>
  <si>
    <t xml:space="preserve">https://volt-market.com/catalog/shchitovoe-oborudovanie-i-aksessuary/elementy-komplektatsii-shkafov/plastrony-i-perednie-paneli/rama-plastronnoy-sistemy-vkhsh-400kh300-mm-dkc/</t>
  </si>
  <si>
    <t xml:space="preserve">Пластрон для рамы STMF для корпусов ST, STE ШхВ 300х150 мм, 10 модулей, ДКС арт. R5ISP315</t>
  </si>
  <si>
    <t xml:space="preserve">https://www.etm.ru/cat/nn/2347540?utm_source=yandex&amp;utm_medium=cpc&amp;utm_campaign=Brend_DKC_SHHitovoe_oborudovanie_55_DSA_RF_119200195&amp;utm_content=brand-dkc_5561694353_dynamic_places&amp;utm_term=---autotargeting&amp;yclid=14581724295737114623</t>
  </si>
  <si>
    <t xml:space="preserve">https://dkc-msk.ru/products/rama-plastronnoy-sistemy-400kh300-dkc-r5stmf43-r5stmf43/?ysclid=mebelgjkrj945344651</t>
  </si>
  <si>
    <t xml:space="preserve">Кронштейны для настенного крепления для навесных   и  клеммных корпусов, 4 шт., ДКС арт.  R5A55R</t>
  </si>
  <si>
    <t xml:space="preserve">компл</t>
  </si>
  <si>
    <t xml:space="preserve">https://incom-elektro.ru/p-kronshteyn-dlya-nastennogo-krepleniya-dlya-navesnykh-i-klemmnykh-korpusov-up-4-sht-dkc-r5a55r/</t>
  </si>
  <si>
    <t xml:space="preserve">https://elektrokontinent.ru/e-kronshteyn_dlya_nastennogo_krepleniya_dlya_navesnykh_i_klemmnykh_korpusov_up_4_sht_dkc_r5a55r/</t>
  </si>
  <si>
    <t xml:space="preserve">https://union-el.ru/shop/goods/kronshteyn_dlya_nastennogo_krepleniya_dlya_navesnyih_i_klemmnyih_korpusov_up4_sht_DKC_R5A55R-107277</t>
  </si>
  <si>
    <t xml:space="preserve">без доставки </t>
  </si>
  <si>
    <t xml:space="preserve">Клеммный блок (2х12мод. + суппорты) в комплекте с   крепежом, ДКС арт. 87512</t>
  </si>
  <si>
    <t xml:space="preserve">https://www.etm.ru/cat/nn/9830764</t>
  </si>
  <si>
    <t xml:space="preserve">https://www.sin-el.ru/list_87512_dks.html?ysclid=mebexme5c5458471168</t>
  </si>
  <si>
    <t xml:space="preserve">https://dkc-msk.ru/products/klemmnyy-blok-2kh12mod-supporty-v-komplekte-s-krepezhom-87512/?ysclid=mebezseoqx785038025</t>
  </si>
  <si>
    <t xml:space="preserve">Личинка замка, для вкладыша, под ключ треугольного   профиля 8мм, ДКС арт. R5CE224</t>
  </si>
  <si>
    <t xml:space="preserve">https://ielectrik.ru/nizhnij-novgorod/product/dkc_lichinka_zamka_dlya_vkladysha_pod_klyuch_treugolnogo_profilya_8mm/?ysclid=mebf38iec630127050</t>
  </si>
  <si>
    <t xml:space="preserve">https://www.sin-el.ru/list_r5ce224_dks.html?ysclid=mebf113k86588243033</t>
  </si>
  <si>
    <t xml:space="preserve">https://v-energo.ru/katalog/dkc/dkc-ramblock/lichinka-zamka-dlya-vkladysha-pod-klyuch-treugolnogo-profilya-8mm.html</t>
  </si>
  <si>
    <t xml:space="preserve">Заглушка на 4мод.RAL7035 для настенных щитков IP40 и  IP65, ДКС арт. 87165</t>
  </si>
  <si>
    <t xml:space="preserve">https://www.sin-el.ru/list_87165_dks.html?ysclid=mebf4mrhwe283528390</t>
  </si>
  <si>
    <t xml:space="preserve">https://www.nvo24.ru/catalog/korpusa_elektroshchitov/aksessuary_dlya_shkafov_i_boksov/zaglushka_na_4mod_ral7035_dlya_nastennykh_shchitkov_ip65_ip40_upak_40sht/?ysclid=mebf5ap0p0243045627</t>
  </si>
  <si>
    <t xml:space="preserve">https://ielectrik.ru/nizhnij-novgorod/product/dkc_zaglushka_na_4_modulya_ral7035_dlya_nastennyh_schitkov_ip65/?ysclid=mebf6dfikp654623115</t>
  </si>
  <si>
    <t xml:space="preserve">Выключатель автоматический модульный 3п C 32А 6кА NB1-63 (R) CHINT 179705</t>
  </si>
  <si>
    <t xml:space="preserve">ИП Смирнов О.Ю. КП №612 от 11.06.2025г</t>
  </si>
  <si>
    <t xml:space="preserve">ООО Коннекта КП №101 от 07.07.2025г</t>
  </si>
  <si>
    <t xml:space="preserve">https://al-teh.ru/search/179705/</t>
  </si>
  <si>
    <t xml:space="preserve">https://www.ozon.ru/product/avtomaticheskiy-vyklyuchatel-chint-nb1-63-3p-32a-6ka-h-ka-c-179705-1230775027/</t>
  </si>
  <si>
    <t xml:space="preserve">https://www.chipdip.ru/product/nb1-63-3p-32a-6ka-h-ka-c-r-chint-9001124801</t>
  </si>
  <si>
    <t xml:space="preserve">Выключатель автоматический модульный 1п C 16А 6кА NB1-63 (R) CHINT 179616</t>
  </si>
  <si>
    <t xml:space="preserve">ООО Промком КП №82 от 07.07.2025г</t>
  </si>
  <si>
    <t xml:space="preserve">https://al-teh.ru/product/avt-vykl-nb163-1p-16a-6ka-khka-c-db/</t>
  </si>
  <si>
    <t xml:space="preserve">https://www.ozon.ru/product/avtomaticheskiy-vyklyuchatel-chint-nb1-63-1p-16a-6ka-h-ka-c-179616-1227550971/</t>
  </si>
  <si>
    <t xml:space="preserve">Розетка 2-м ОП Этюд 16А IP44 250В с заземл. защ. шторки с крышкой бел. SE PA16-244B</t>
  </si>
  <si>
    <t xml:space="preserve">https://www.chipdip.ru/product0/8000840855</t>
  </si>
  <si>
    <t xml:space="preserve">https://rs24.ru/product/143114</t>
  </si>
  <si>
    <t xml:space="preserve">https://electric-spb.com/element-rozetka-2-m-op-etyud-16a-ip44-250v-zashch-shtorki-s-zazeml-bel-sche-pa16-244b.html?ysclid=mdpmyob1ae71533062</t>
  </si>
  <si>
    <t xml:space="preserve">https://rs24.ru/product/143114?utm_referrer=https%3A%2F%2Fyandex.ru%2Fsearch%2F%3Ftext%3D%25D0%25A0%25D0%25BE%25D0%25B7%25D0%25B5%25D1%2582%25D0%25BA%25D0%25B0%2B2-%25D0%25BC%2B%25D0%259E%25D0%259F%2B%25D0%25AD%25D1%2582%25D1%258E%25D0%25B4%2B16%25D0%2590%2BIP44%2B250%25D0%2592%2B%25D1%2581%2B%25D0%25B7%25D0%25B0%25D0%25B7%25D0%25B5%25D0%25BC%25D0%25BB.%2B%25D0%25B7%25D0%25B0%25D1%2589.%2B%25D1%2588%25D1%2582%25D0%25BE%25D1%2580%25D0%25BA%25D0%25B8%2B%25D1%2581%2B%25D0%25BA%25D1%2580%25D1%258B%25D1%2588%25D0%25BA%25D0%25BE%25D0%25B9%2B%25D0%25B1%25D0%25B5%25D0%25BB.%2BSE%2BPA16-244B%26lr%3D20042</t>
  </si>
  <si>
    <t xml:space="preserve">https://www.chipdip.ru/product/rozetka-2-m-op-etyud-systeme-electric-8000840855</t>
  </si>
  <si>
    <t xml:space="preserve">Розетка 1-м ОП Этюд 16А IP44 250В с заземл. защ. шторки с крышкой бел. SE PA16-044B</t>
  </si>
  <si>
    <t xml:space="preserve">https://spb.ledpremium.ru/catalog/rozetki_220_volt/rozetka_1_m_op_etyud_16a_s_zashch_kryshkoy_zashch_shtorki_s_zazeml_ip44_bel_sche_pa16_044b/?r1=yandext&amp;r2=&amp;offer-id=462617&amp;utm_source=yandex_search_sp&amp;utm_medium=Электротехника&amp;utm_campaign=Электроустановочные+изделия&amp;utm_content=Розетки+и+выключатели&amp;utm_term=Розетка+1-м+ОП+Этюд+16А+IP44+250В+с+заземл+защ+шторки+с+крышкой+бел+SE+PA16-044B</t>
  </si>
  <si>
    <t xml:space="preserve">https://www.chipdip.ru/product0/8000846053</t>
  </si>
  <si>
    <t xml:space="preserve">https://rs24.ru/product/2251</t>
  </si>
  <si>
    <t xml:space="preserve">https://www.chipdip.ru/product/rozetka-1-m-op-etyud-systeme-electric-8000846053</t>
  </si>
  <si>
    <t xml:space="preserve">https://pek24.ru/k_rozetka_1_m_op_etyud_16a_ip44_250v_s_zashch_kryshkoy_zashch_shtorki_s_zazeml_bel_sche_pa16_044b/</t>
  </si>
  <si>
    <t xml:space="preserve">Переходник армированная труба-коробка, IP65, 3/4, д.20 мм, ДКС арт. 55120</t>
  </si>
  <si>
    <t xml:space="preserve">https://dkc-msk.ru/products/perekhodnik-armirovannaya-truba-korobka-ip65-3-4-d-20mm-55120/?ysclid=mecdxg6bj9882242796</t>
  </si>
  <si>
    <t xml:space="preserve">https://www.toledo24.pro/products/perekhodnik-armirovannaya-truba-korobka-dkc-55120-ip65-3-4-d-20mm/?ysclid=mecdy4tcgl264430454</t>
  </si>
  <si>
    <t xml:space="preserve">https://www.abn.ru/catalog/13790/?ysclid=mecdz0kp5446864288</t>
  </si>
  <si>
    <t xml:space="preserve">Переходник армированная труба-коробка, IP65, 1, д.25мм, ДКС арт. 55125</t>
  </si>
  <si>
    <t xml:space="preserve">https://www.toledo24.pro/products/perekhodnik-armirovannaya-truba-korobka-dkc-55125-ip65-1-d-25mm/?ysclid=mece0qcezg901567189</t>
  </si>
  <si>
    <t xml:space="preserve">https://etr24.ru/catalog/kabeli-provoda-i-izdeliya-dlya-prokladki-kabelya/kabelenesushchie-sistemy/aksessuary-k-kabelenesushchim-sistemam/mufty-i-soediniteli-dlya-trub/9690028-perekhodnik-armirovannaya-truba-korobka-25mm-ip65-1dyuym/</t>
  </si>
  <si>
    <t xml:space="preserve">Переходник армированная труба-коробка, IP65, 1и1/4,  д.32мм, ДКС арт. 55132</t>
  </si>
  <si>
    <t xml:space="preserve">https://etr24.ru/catalog/kabeli-provoda-i-izdeliya-dlya-prokladki-kabelya/kabelenesushchie-sistemy/aksessuary-k-kabelenesushchim-sistemam/mufty-i-soediniteli-dlya-trub/9681338-perekhodnik-armirovannaya-truba-korobka-diametr-32mm-ip65-1-i-1-4-dyuyma/</t>
  </si>
  <si>
    <t xml:space="preserve">https://dkc-msk.ru/products/perekhodnik-armirovannaya-truba-korobka-ip65-1i1-4-d-32mm-55132/?ysclid=mece35afvb327869794</t>
  </si>
  <si>
    <t xml:space="preserve">https://www.etm.ru/cat/nn/9681338?ysclid=mece3tjqmt792678119</t>
  </si>
  <si>
    <t xml:space="preserve">Клемма соединительная винтовая 1пол. 3конт. под жилы сечением 6кв.мм, ДКС арт. B63</t>
  </si>
  <si>
    <t xml:space="preserve">https://www.amperkin.ru/product/b63/?ysclid=mece6kpd9k510223871</t>
  </si>
  <si>
    <t xml:space="preserve">https://www.promelec.ru/product/745241/?ysclid=mece7qdiva512478811</t>
  </si>
  <si>
    <t xml:space="preserve">Труба гибкая армированная внутр. д.25 мм, ДКС арт. 57025</t>
  </si>
  <si>
    <t xml:space="preserve">https://www.etm.ru/cat/nn/9690025?ysclid=mecea7fax5780262150</t>
  </si>
  <si>
    <t xml:space="preserve">https://dkc-msk.ru/products/truba-gibkaya-armirovannaya-vnutr-d-25-mm-57025/?ysclid=mece9hqn3x785945207</t>
  </si>
  <si>
    <t xml:space="preserve">https://www.promelec.ru/product/563573/?ysclid=meceasde99591371355</t>
  </si>
  <si>
    <t xml:space="preserve">Труба гибкая армированная внутр. д.20 мм, ДКС арт. 57020</t>
  </si>
  <si>
    <t xml:space="preserve">https://www.toledo24.pro/products/truba-gibkaya-armirovannaya-dkc-57020-d-20-mm/?ysclid=meceft13i9302991686</t>
  </si>
  <si>
    <t xml:space="preserve">https://dkc-msk.ru/products/truba-gibkaya-armirovannaya-vnutr-d-20-mm-57020/?ysclid=meceedy37l563609668</t>
  </si>
  <si>
    <t xml:space="preserve">https://www.21vek-220v.ru/cat/truba-pvx-gibk-arm-d20-up30m-dks-57020?ysclid=mecegj2yll415138232</t>
  </si>
  <si>
    <t xml:space="preserve">Труба гибкая армированная внутр. д.32 мм, ДКС арт. 57032</t>
  </si>
  <si>
    <t xml:space="preserve">https://www.etm.ru/cat/nn/9696997?utm_source=yandex&amp;utm_medium=cpc&amp;utm_campaign=gen_DEHT_Kabelenesushhie_sistemy_16_DSA_RF_702012619&amp;utm_content=det_5620760165_other&amp;utm_term=---autotargeting&amp;yclid=1844055275814780927</t>
  </si>
  <si>
    <t xml:space="preserve">https://www.21vek-220v.ru/cat/truba-pvx-gibk-arm-d32-up30m-dks-57032?ysclid=mecejnbas4236278154</t>
  </si>
  <si>
    <t xml:space="preserve">https://dkc-msk.ru/products/truba-gibkaya-armirovannaya-vnutr-d-32-mm-57032/?ysclid=meceka919v195895556</t>
  </si>
  <si>
    <t xml:space="preserve">Держатель с хомутиком, д.16 - 32мм, ДКС арт. 51200</t>
  </si>
  <si>
    <t xml:space="preserve">https://www.etm.ru/cat/nn/9667572?ysclid=mecen2ulud962461185</t>
  </si>
  <si>
    <t xml:space="preserve">https://shop220.ru/51200-derzhatel-s-homutikom-d16--32mm-dkc.htm?ysclid=mecemi1j7o338828172</t>
  </si>
  <si>
    <t xml:space="preserve">  Конвектор 2  кВт iVigo EPK4590M20 с датчиком отключения при опрокидывании </t>
  </si>
  <si>
    <t xml:space="preserve">https://mircli.ru/IVigo-EPK4590M20/</t>
  </si>
  <si>
    <t xml:space="preserve">https://ivigo-rus.ru/epk-4590-m20-2000w-manual/?ysclid=mdplhdob91656208830</t>
  </si>
  <si>
    <t xml:space="preserve">https://www.vseinstrumenti.ru/product/konvektor-ivigo-epk4590m20-8373-5529211/?ysclid=mdplgb7fdp508280711&amp;utm_referrer=https://ya.ru/search/?text=%25D0%259A%25D0%25BE%25D0%25BD%25D0%25B2%25D0%25B5%25D0%25BA%25D1%2582%25D0%25BE%25D1%2580%25C2%25A02%2B%2B%25D0%25BA%25D0%2592%25D1%2582%25C2%25A0iVigo%2BEPK4590M20%2B%25D1%2581%2B%25D0%25B4%25D0%25B0%25D1%2582%25D1%2587%25D0%25B8%25D0%25BA%25D0%25BE%25D0%25BC%2B%25D0%25BE%25D1%2582%25D0%25BA%25D0%25BB%25D1%258E%25D1%2587%25D0%25B5%25D0%25BD%25D0%25B8%25D1%258F%2B%25D0%25BF%25D1%2580%25D0%25B8%2B%25D0%25BE%25D0%25BF%25D1%2580%25D0%25BE%25D0%25BA%25D0%25B8%25D0%25B4%25D1%258B%25D0%25B2%25D0%25B0%25D0%25BD%25D0%25B8%25D0%25B8%25C2%25A0%26lr=2</t>
  </si>
  <si>
    <t xml:space="preserve">Двухкомпонентный противопожарный терморасширяющийся состав СЭ-01, 430 мл, арт. 250050
</t>
  </si>
  <si>
    <t xml:space="preserve">ООО Коннекта КП №106 от 19.07.2025г</t>
  </si>
  <si>
    <t xml:space="preserve">ООО Промком КП №87 от 18.07.2025г</t>
  </si>
  <si>
    <t xml:space="preserve">ИП Смирнов О.Ю. КП №716 от 18.07.2025г</t>
  </si>
  <si>
    <t xml:space="preserve">Плита перекрытия колодца КЦП1-10-1ч 1160х1160х150мм Серия 3.900.1-14</t>
  </si>
  <si>
    <t xml:space="preserve">ООО Ресурс КП №56 от 05.08.2025г</t>
  </si>
  <si>
    <t xml:space="preserve">https://sb74.ru/catalog/inzhenernye_sooruzheniya/sooruzheniya_kanalizatsii_i_vodosnabzheniya/sooruzheniya_emkostnye_dlya_vodosnabzheniya_i_kanalizatsii/kolodtsy_emkostnykh_sooruzheniy/plity_perekrytiy_kolodtsev_emkostnykh_sooruzheniy/plita_perekrytiya_kolodtsa_ktsp_1_10_1_seriya_3_900_3/?ysclid=mecirpjur5357847108</t>
  </si>
  <si>
    <t xml:space="preserve">https://dsk-stolica.ru/injenernoe-stroitelstvo/kolca-dlya-kolodca/krishki-kolodtsev-ktsp/kcp-1-10-1.html?ysclid=mecitfoev5731271538</t>
  </si>
  <si>
    <t xml:space="preserve">Люк композитный ЛПП-Ло 1.5т. черный полимерно-песчаный 720х540х560мм (с замком)</t>
  </si>
  <si>
    <t xml:space="preserve">ООО «Генподряд» №53 от 20.08.2025г</t>
  </si>
  <si>
    <t xml:space="preserve">Кольцо стеновое железобетонное КС10.3Ч/В15 (М200) 0.08м3 Серия 3.900.1-14</t>
  </si>
  <si>
    <t xml:space="preserve">https://gbi-24.ru/kolodec_kolco_ks10-3.html</t>
  </si>
  <si>
    <t xml:space="preserve">https://gbi.one/catalog/product/ks10.3_koltso_stenovoe_seriya_3.900.1-14_vypusk_1/?ysclid=mecj4zssv3505408367</t>
  </si>
  <si>
    <t xml:space="preserve">Кольцо стеновое смотровых колодцев: КС8.10 /бетон В15 (М200)</t>
  </si>
  <si>
    <t xml:space="preserve">https://betonproject.ru/products/ks-8-10?ysclid=mecj7d0r77701232200</t>
  </si>
  <si>
    <t xml:space="preserve">https://okgbi.ru/catalog/koltsa_k_ks/k_8_10_ks_8_10/?ysclid=mecj84ofkl915652355</t>
  </si>
  <si>
    <t xml:space="preserve">https://dsk-stolica.ru/injenernoe-stroitelstvo/kolca-dlya-kolodca/kolca-ks/ks-8-10-ch-.html?ysclid=mecj8xyfsj228409099</t>
  </si>
  <si>
    <t xml:space="preserve">Плита перекрытия КЦП 1-8</t>
  </si>
  <si>
    <t xml:space="preserve">https://zdsk66.ru/catalog/zhbi-dlya-inzhenernyh-kommunikaczij/kolodcy/plita-perekrytiya-2pp-8-kczp-3-10/</t>
  </si>
  <si>
    <t xml:space="preserve">https://koltsa33.ru/magazin/plita-perekryitie/kryishka-betonnaya-pvk-8-kczp-1-7?ysclid=mecjbdl1xo872563723</t>
  </si>
  <si>
    <t xml:space="preserve">Шпилька резьбовая стальная М18х1000мм 4,6 DIN 975 оцинкованная
</t>
  </si>
  <si>
    <t xml:space="preserve">https://1001krep.ru/shpilka-din-975-oc-4-8-5-8-m16x1000-artikul-36771?utm_source=yandex&amp;utm_medium=cpc&amp;utm_campaign=shpilki&amp;utm_term=---autotargeting&amp;yclid=3478464379991097343</t>
  </si>
  <si>
    <t xml:space="preserve">https://toplivis.ru/shpilka-rezbovaya-m18h1000-mm-ocinkovannaya-din975/?ysclid=mecjib9jh373360919</t>
  </si>
  <si>
    <t xml:space="preserve">Болт М8х60мм 8.8 оцинкованный шестигранная головка DIN 933</t>
  </si>
  <si>
    <t xml:space="preserve">ССЫЛКА СО ВСЕХ ИНСТРУМЕНТОВ</t>
  </si>
  <si>
    <t xml:space="preserve">https://krepcom.ru/catalog/bolty-razdel/bolt_shestigrannyy_8kh60_din_933_klass_prochnosti_8_8_otsinkovannyy.htm?ysclid=mecjjqo4xn968447554</t>
  </si>
  <si>
    <t xml:space="preserve">https://www.wildberries.ru/catalog/168680398/detail.aspx</t>
  </si>
  <si>
    <t xml:space="preserve">Шайба плоская М8 оцинкованная DIN 125</t>
  </si>
  <si>
    <t xml:space="preserve">https://nn.mc-e.ru/metiznaya_produkciya/krepezh/shayby_1/shayba_ploskaya_din_125</t>
  </si>
  <si>
    <t xml:space="preserve">Мастика гидроизоляционная холодная ТЕХНОНИКОЛЬ №24 (МГТН)</t>
  </si>
  <si>
    <t xml:space="preserve">https://shop.tn.ru/mastika-gidroizoljacionnaja-24-mgtn-vedro-20-kg?ysclid=mecjwnqhrh210877194</t>
  </si>
  <si>
    <t xml:space="preserve">Клей плиточный «Ceresit» CM12 для керамогранита</t>
  </si>
  <si>
    <t xml:space="preserve">https://ceresit-spb.ru/1768-ceresit-cm-12.html</t>
  </si>
  <si>
    <t xml:space="preserve">https://ceresit-market.ru/catalog/klei-dlya-plitki/cm-12-kley-d-keramogr-krupnof-plitki-25-kg/?ysclid=meck5uwcmx234453816</t>
  </si>
  <si>
    <t xml:space="preserve">Герметик клеевой полиуретановый универсальный Soudaflex 40 FC 600мл серый</t>
  </si>
  <si>
    <t xml:space="preserve">https://www.tophouse.ru/price/soudaflex-40-fc-tyomno-seryiy-ral-7015-600ml-poliuretanovyiy-kley-germetik-soudal-54929/?ysclid=mdomnxygmr297514911</t>
  </si>
  <si>
    <t xml:space="preserve">https://tdstroitel.ru/lakokrasochnye-izdeliya/peny-klei-germetiki-silikony/germetiki-silikony/germetiki-poliuretanovye/germetik-poliuretanovyy-soudaflex-40fc-seryy-600ml-12/?utm_referrer=https%3A%2F%2Fya.ru%2Fsearch%2F%3Ftext%3D%25D0%2593%25D0%25B5%25D1%2580%25D0%25BC%25D0%25B5%25D1%2582%25D0%25B8%25D0%25BA%2B%25D0%25BA%25D0%25BB%25D0%25B5%25D0%25B5%25D0%25B2%25D0%25BE%25D0%25B9%2B%25D0%25BF%25D0%25BE%25D0%25BB%25D0%25B8%25D1%2583%25D1%2580%25D0%25B5%25D1%2582%25D0%25B0%25D0%25BD%25D0%25BE%25D0%25B2%25D1%258B%25D0%25B9%2B%25D1%2583%25D0%25BD%25D0%25B8%25D0%25B2%25D0%25B5%25D1%2580%25D1%2581%25D0%25B0%25D0%25BB%25D1%258C%25D0%25BD%25D1%258B%25D0%25B9%2BSoudaflex%2B40%2BFC%2B600%25D0%25BC%25D0%25BB%2B%25D1%2581%25D0%25B5%25D1%2580%25D1%258B%25D0%25B9%26lr%3D2</t>
  </si>
  <si>
    <t xml:space="preserve">https://absprom.ru/products/s-108220</t>
  </si>
  <si>
    <t xml:space="preserve">https://gflex.ru/catalog/germetiki/2244/?ysclid=meck8d0zeh627530135&amp;oid=10300</t>
  </si>
  <si>
    <t xml:space="preserve">Петля двухсекционная Joker-Alu для дверей алюминиевых 67 мм medos белая  RAL9016</t>
  </si>
  <si>
    <t xml:space="preserve">https://vbh24.ru/catalog/view.php?ID=MS902.9016.67.00&amp;ysclid=mdokr8ok6y579501152</t>
  </si>
  <si>
    <t xml:space="preserve">https://www.tbmmarket.ru/dvernye-komplektuyuschie/furnitura/petli/med006107/?ysclid=mdokpm0dla216636170</t>
  </si>
  <si>
    <t xml:space="preserve">https://spb.pro1oo.ru/dvernaya-furnitura/dvernye-petli/petlya-dvernaya-medos-dvuhsekcionnaya-67-mm-belaya-ral9016-dlya-alyuminievyh-dverey-jocker-alu?ysclid=mdokowdc8j433396166</t>
  </si>
  <si>
    <t xml:space="preserve">https://pro1oo.ru/dvernaya-furnitura/dvernye-petli/petlya-dvernaya-medos-dvuhsekcionnaya-67-mm-belaya-ral9016-dlya-alyuminievyh-dverey-jocker-alu?ysclid=meckevqush999401531</t>
  </si>
  <si>
    <t xml:space="preserve">https://gutegrad.ru/product/petlya-jocker-alu-2sk-2-h-sekczionnaya-mezhosevoe-67-belaya-ral9016/?ysclid=meckfsuknq24069810</t>
  </si>
  <si>
    <t xml:space="preserve">https://furokon.ru/k1_124.htm?ysclid=meckhp91p942271275</t>
  </si>
  <si>
    <t xml:space="preserve">Антисоль NEOMID 550</t>
  </si>
  <si>
    <t xml:space="preserve">https://www.vseinstrumenti.ru/product/sredstvo-dlya-ochistki-fasadov-zdanij-ot-vysolov-neomid-1-l-n-550-1-k1-2-902374/?utm_source=yandex&amp;utm_medium=cpc&amp;utm_campaign=36617871%7Cdsa_13_na_nashi-fid_rf&amp;utm_content=1852689750071244785&amp;utm_term=ST:search%7CS:none%7CAP:no%7CPT:premium%7CP:2%7CDT:desktop%7CRI:2%7CCI:36617871%7CGI:5488734198%7CPI:52956497435%7CAI:1852689750071244785%7CRT:52956497435%7CKW:---autotargeting%7CRN:Санкт-Петербург&amp;yclid=14050859826807832575</t>
  </si>
  <si>
    <t xml:space="preserve">https://www.bafus.ru/product/neomid-550-antisol-dlya-udaleniya-vysolov-mineralnyh-i-fosfatnyh-1-l/</t>
  </si>
  <si>
    <t xml:space="preserve">https://vertical.ru/product/antisol-dlya-fasadov-zdaniy-neomid-550-1-l/</t>
  </si>
  <si>
    <t xml:space="preserve">Краска водоэмульсионная  для наружных и внутренних работ Delu[ Universal BSF матовая белая ведро 15 кг</t>
  </si>
  <si>
    <t xml:space="preserve">https://www.tehnodrom.ru/catalog/detail/kraska_v_e_bsf_delux_universal_dlya_vnutrennikh_i_naruzhnykh_rabot_15_kg/</t>
  </si>
  <si>
    <t xml:space="preserve">https://www.farpost.ru/vladivostok/home/materials/paints/kraska-vodoemulsionnaja-bsf-delux-universal-d-vnutr-rabot-15kg-g13631430546.html</t>
  </si>
  <si>
    <t xml:space="preserve">Герметик битумно-каучуковый для кровли черный Tytan Professional 99963/17584 0,31л</t>
  </si>
  <si>
    <t xml:space="preserve">https://nnv.saturn.net/product/germetik-bitumno-kauchukoviy-tytan-dlya-krovli-cherniy-031-l/</t>
  </si>
  <si>
    <t xml:space="preserve">https://order-nn.ru/kmo/catalog/6075/328575</t>
  </si>
  <si>
    <t xml:space="preserve">Кронштейны К-1 индивидуального изготовления с защитой металлоконструкций горячим цинкованием в заводских условиях с толщиной слоя 80-120мкм (согласно чертежа 1931-14.02-05-Нкм-5)</t>
  </si>
  <si>
    <t xml:space="preserve">ООО Аргумент Энерго КП  №199 от 17.07.2025г</t>
  </si>
  <si>
    <t xml:space="preserve">ООО Стальпромресурс КП б/н от 21.07.2025г</t>
  </si>
  <si>
    <t xml:space="preserve">ООО ТЭМП КП №23 от 05.08.2025г</t>
  </si>
  <si>
    <t xml:space="preserve">ИТОГО ПО РЕЕСТРУ:</t>
  </si>
  <si>
    <r>
      <rPr>
        <b val="true"/>
        <sz val="10"/>
        <color rgb="FF000000"/>
        <rFont val="Arial"/>
        <family val="2"/>
        <charset val="1"/>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0"/>
        <color rgb="FF000000"/>
        <rFont val="Arial"/>
        <family val="2"/>
        <charset val="1"/>
      </rPr>
      <t xml:space="preserve">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</si>
  <si>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xml:space="preserve">*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</si>
  <si>
    <t xml:space="preserve">1-111</t>
  </si>
  <si>
    <t xml:space="preserve">ТигМо </t>
  </si>
  <si>
    <t xml:space="preserve">112-230</t>
  </si>
  <si>
    <t xml:space="preserve">Это </t>
  </si>
  <si>
    <t xml:space="preserve">231- далее</t>
  </si>
  <si>
    <t xml:space="preserve">ГТС </t>
  </si>
  <si>
    <t xml:space="preserve">Реест ФССЦ (справочно)</t>
  </si>
  <si>
    <r>
      <rPr>
        <b val="true"/>
        <sz val="10"/>
        <rFont val="Arial"/>
        <family val="2"/>
        <charset val="1"/>
      </rPr>
      <t xml:space="preserve">Наименование планируемой к закупке продукции</t>
    </r>
    <r>
      <rPr>
        <b val="true"/>
        <vertAlign val="superscript"/>
        <sz val="10"/>
        <rFont val="Arial"/>
        <family val="2"/>
        <charset val="1"/>
      </rPr>
      <t xml:space="preserve">1</t>
    </r>
  </si>
  <si>
    <t xml:space="preserve">ПЦ по основному методу, в  руб. без НДС</t>
  </si>
  <si>
    <t xml:space="preserve">ПРОВЕРОЧКА ЦЕН</t>
  </si>
  <si>
    <t xml:space="preserve">ПЦ по проверочному методу, в руб. без НДС</t>
  </si>
  <si>
    <r>
      <rPr>
        <b val="true"/>
        <sz val="10"/>
        <rFont val="Arial"/>
        <family val="2"/>
        <charset val="1"/>
      </rPr>
      <t xml:space="preserve">ПЦ итоговая, в руб. без НДС</t>
    </r>
    <r>
      <rPr>
        <b val="true"/>
        <vertAlign val="superscript"/>
        <sz val="10"/>
        <rFont val="Arial"/>
        <family val="2"/>
        <charset val="1"/>
      </rPr>
      <t xml:space="preserve">8</t>
    </r>
    <r>
      <rPr>
        <b val="true"/>
        <sz val="10"/>
        <rFont val="Arial"/>
        <family val="2"/>
        <charset val="1"/>
      </rPr>
      <t xml:space="preserve"> </t>
    </r>
  </si>
  <si>
    <r>
      <rPr>
        <b val="true"/>
        <sz val="10"/>
        <rFont val="Arial"/>
        <family val="2"/>
        <charset val="1"/>
      </rPr>
      <t xml:space="preserve">ИЦИ-1</t>
    </r>
    <r>
      <rPr>
        <b val="true"/>
        <vertAlign val="superscript"/>
        <sz val="10"/>
        <rFont val="Arial"/>
        <family val="2"/>
        <charset val="1"/>
      </rPr>
      <t xml:space="preserve">2</t>
    </r>
  </si>
  <si>
    <t xml:space="preserve">ФССЦ</t>
  </si>
  <si>
    <r>
      <rPr>
        <b val="true"/>
        <sz val="10"/>
        <rFont val="Arial"/>
        <family val="2"/>
        <charset val="1"/>
      </rPr>
      <t xml:space="preserve">ИЦИ-2</t>
    </r>
    <r>
      <rPr>
        <b val="true"/>
        <vertAlign val="superscript"/>
        <sz val="10"/>
        <rFont val="Arial"/>
        <family val="2"/>
        <charset val="1"/>
      </rPr>
      <t xml:space="preserve">2</t>
    </r>
  </si>
  <si>
    <r>
      <rPr>
        <b val="true"/>
        <sz val="10"/>
        <rFont val="Arial"/>
        <family val="2"/>
        <charset val="1"/>
      </rPr>
      <t xml:space="preserve">ИЦИ-N</t>
    </r>
    <r>
      <rPr>
        <b val="true"/>
        <vertAlign val="superscript"/>
        <sz val="10"/>
        <rFont val="Arial"/>
        <family val="2"/>
        <charset val="1"/>
      </rPr>
      <t xml:space="preserve">2</t>
    </r>
  </si>
  <si>
    <t xml:space="preserve">Наименование предлагаемого ТКП</t>
  </si>
  <si>
    <t xml:space="preserve">Стоимость продукциипо ТКП</t>
  </si>
  <si>
    <t xml:space="preserve">Принятая ФССЦ</t>
  </si>
  <si>
    <r>
      <rPr>
        <b val="true"/>
        <sz val="10"/>
        <rFont val="Arial"/>
        <family val="2"/>
        <charset val="1"/>
      </rPr>
      <t xml:space="preserve">Ссылка на ИЦИ</t>
    </r>
    <r>
      <rPr>
        <b val="true"/>
        <vertAlign val="superscript"/>
        <sz val="10"/>
        <rFont val="Arial"/>
        <family val="2"/>
        <charset val="1"/>
      </rPr>
      <t xml:space="preserve">4</t>
    </r>
    <r>
      <rPr>
        <b val="true"/>
        <sz val="10"/>
        <rFont val="Arial"/>
        <family val="2"/>
        <charset val="1"/>
      </rPr>
      <t xml:space="preserve">               </t>
    </r>
    <r>
      <rPr>
        <sz val="10"/>
        <rFont val="Arial"/>
        <family val="2"/>
        <charset val="1"/>
      </rPr>
      <t xml:space="preserve">(при наличии)</t>
    </r>
  </si>
  <si>
    <r>
      <rPr>
        <b val="true"/>
        <sz val="10"/>
        <rFont val="Arial"/>
        <family val="2"/>
        <charset val="1"/>
      </rPr>
      <t xml:space="preserve">Стоимость продукции (за единицу) в ИЦИ, тыс. руб. без НДС</t>
    </r>
    <r>
      <rPr>
        <b val="true"/>
        <vertAlign val="superscript"/>
        <sz val="10"/>
        <rFont val="Arial"/>
        <family val="2"/>
        <charset val="1"/>
      </rPr>
      <t xml:space="preserve">5</t>
    </r>
  </si>
  <si>
    <r>
      <rPr>
        <b val="true"/>
        <sz val="10"/>
        <rFont val="Arial"/>
        <family val="2"/>
        <charset val="1"/>
      </rPr>
      <t xml:space="preserve">Ценообразующие факторы</t>
    </r>
    <r>
      <rPr>
        <b val="true"/>
        <vertAlign val="superscript"/>
        <sz val="10"/>
        <rFont val="Arial"/>
        <family val="2"/>
        <charset val="1"/>
      </rPr>
      <t xml:space="preserve">6</t>
    </r>
  </si>
  <si>
    <r>
      <rPr>
        <b val="true"/>
        <sz val="10"/>
        <rFont val="Arial"/>
        <family val="2"/>
        <charset val="1"/>
      </rPr>
      <t xml:space="preserve">Стоимость продукции (за единицу) с учетом ценообразующих факторов, тыс. руб. без НДС</t>
    </r>
    <r>
      <rPr>
        <b val="true"/>
        <vertAlign val="superscript"/>
        <sz val="10"/>
        <rFont val="Arial"/>
        <family val="2"/>
        <charset val="1"/>
      </rPr>
      <t xml:space="preserve">7</t>
    </r>
  </si>
  <si>
    <t xml:space="preserve">Стоимость ФССЦ</t>
  </si>
  <si>
    <r>
      <rPr>
        <b val="true"/>
        <sz val="10"/>
        <rFont val="Arial"/>
        <family val="2"/>
        <charset val="1"/>
      </rPr>
      <t xml:space="preserve">Наименование ИЦИ</t>
    </r>
    <r>
      <rPr>
        <b val="true"/>
        <vertAlign val="superscript"/>
        <sz val="10"/>
        <rFont val="Arial"/>
        <family val="2"/>
        <charset val="1"/>
      </rPr>
      <t xml:space="preserve">3</t>
    </r>
  </si>
  <si>
    <t xml:space="preserve">согласование</t>
  </si>
  <si>
    <r>
      <rPr>
        <b val="true"/>
        <sz val="10"/>
        <rFont val="Arial"/>
        <family val="2"/>
        <charset val="1"/>
      </rPr>
      <t xml:space="preserve">Стоимость продукции (за весь объем) с учетом ценообразующих факторов, тыс. руб. без НДС</t>
    </r>
    <r>
      <rPr>
        <b val="true"/>
        <vertAlign val="superscript"/>
        <sz val="10"/>
        <rFont val="Arial"/>
        <family val="2"/>
        <charset val="1"/>
      </rPr>
      <t xml:space="preserve">7</t>
    </r>
  </si>
  <si>
    <t xml:space="preserve">% отклонения ИИ № 1</t>
  </si>
  <si>
    <t xml:space="preserve">% отклонения ИИ № 2</t>
  </si>
  <si>
    <t xml:space="preserve">% отклонения ИИ № 3</t>
  </si>
  <si>
    <t xml:space="preserve">ООО Аламиг сч. 336 от 02.03.23г.</t>
  </si>
  <si>
    <t xml:space="preserve">ФССЦ-20.1.02.06-0001 Жир паяльный</t>
  </si>
  <si>
    <t xml:space="preserve">СОГЛАСОВАНО ФССЦ ГР-ВКК</t>
  </si>
  <si>
    <t xml:space="preserve">Клей плиточный «Флизенклебер», КНАУФ сухой в пакетах 30кг, ТУ 5745-012-04001508,97</t>
  </si>
  <si>
    <t xml:space="preserve">ООО Группа Отдер сч. 22904/Айв от 04.05.23г.</t>
  </si>
  <si>
    <t xml:space="preserve">ФССЦ-14.1.02.01-0004 Клей плиточный ВГТ, для внутренних работ</t>
  </si>
  <si>
    <t xml:space="preserve">ИП Хавронин М.Е. сч. 361 от 29.05.2023г.</t>
  </si>
  <si>
    <t xml:space="preserve">ООО Пигмент-Волга сч. Ксч-100240 от 19.05.2023г.</t>
  </si>
  <si>
    <t xml:space="preserve">Моющее средство 'Вертолин-74' марка А ТУ 38.10960-86</t>
  </si>
  <si>
    <t xml:space="preserve">ООО Аламиг сч. 75 от 19.01.23г.</t>
  </si>
  <si>
    <t xml:space="preserve">ФССЦ-01.7.07.19-0011 Средство моющее (раствор)</t>
  </si>
  <si>
    <t xml:space="preserve">https://www.aquateka.ru/?cat=products&amp;prod=himicheskaya-produkciya-vertolin-74-sredstvo-moyushee-tehnicheskoe-5-l-650205</t>
  </si>
  <si>
    <t xml:space="preserve">https://samara.harat.ru/catalog/1613879-vertolin-74-marka-a</t>
  </si>
  <si>
    <t xml:space="preserve">Нержамет' - краска для металла по ржавчине красная ТУ 2312-007-98310821-08 (расход 0,2-0,3 кг/м2)</t>
  </si>
  <si>
    <t xml:space="preserve">ФССЦ-14.4.04.03-1006 Эмаль алкидная финишная</t>
  </si>
  <si>
    <t xml:space="preserve">Нержамет' - краска для металла по ржавчине ТУ 2312-007-98310821-08</t>
  </si>
  <si>
    <t xml:space="preserve">'Нержамет' - краска для металла по ржавчине ТУ 2312-007-98310821-08 (серая)</t>
  </si>
  <si>
    <t xml:space="preserve">Нержамет' - краска для металла по ржавчине ТУ2312-007-98310821-08 (белая)</t>
  </si>
  <si>
    <t xml:space="preserve">Нержамет' - краска для металла по ржавчине  синий RAL5005</t>
  </si>
  <si>
    <t xml:space="preserve">Рукав высокого давления Pn=10кгс/см2, Dn32 мм, длина одного рукава 10 метров (36 рукавов) Рукав Г(IV)-10-32-47-ХЛ ГОСТ 18698-79</t>
  </si>
  <si>
    <t xml:space="preserve">ООО ТД Инженерные технологии счю 2087 от 29.05.2023г.</t>
  </si>
  <si>
    <t xml:space="preserve">ФССЦ-01.7.19.09-0024  Рукава резинотканевые напорно-всасывающие для воды давлением 1 МПа (10 кгс/см2), внутренний диаметр 32 мм</t>
  </si>
  <si>
    <t xml:space="preserve">https://gms1520.ru/product/rezinovye-rukava/rukava-napornye/g-iv-10-32-47-khl-gost-18698-79/</t>
  </si>
  <si>
    <t xml:space="preserve">https://www.rezina-evraz.ru/goods/231179733-rukav_g_iv_10_32_47_khl_gost_18698_79</t>
  </si>
  <si>
    <t xml:space="preserve">Смазка полимочевинная высокотемпературная  'Политерм' ТУ 0254-001-40439881-99</t>
  </si>
  <si>
    <t xml:space="preserve">ООО Аламиг сч. 111 от 24.01.23г.</t>
  </si>
  <si>
    <t xml:space="preserve">ФССЦ-01.3.01.06-0030 Смазка пластичная высокотемпературная, многоцелевая индустриальная и автомобильная</t>
  </si>
  <si>
    <t xml:space="preserve">https://snab-n.ru/catalog/smazki/politerm-s-1-0-8-kg/</t>
  </si>
  <si>
    <t xml:space="preserve">ПОГ М</t>
  </si>
  <si>
    <t xml:space="preserve">ИП Хадыкин Ю.П. сч. АЕ763 от 26.05.2023г.</t>
  </si>
  <si>
    <t xml:space="preserve">ФССЦ-01.7.20.08-0163 Ткань фильтрующая рулонная СТОИМОСТЬ за 1кв.м</t>
  </si>
  <si>
    <t xml:space="preserve">https://ivatex.ru/teh-tkani/belting-bf-bd-2030/belting-bf-bd-art-2030-140-gost-332-91-1/</t>
  </si>
  <si>
    <t xml:space="preserve">https://rostexika.ru/p/753645734-belting-art-2030-sh-110-sm/</t>
  </si>
  <si>
    <t xml:space="preserve">Цепь сварная (диаметр проволоки 4мм, внутренняя длина звена 32мм, наружная ширина звена 16мм, рабочая нагрузка 1кН, разрывная нагрузка 6кН, вес одного метра цепи 0,28кг). (цепь 5,5 метров - 2шт., цепь 1,5 метра - 2 шт.) общий вес 0,014тн</t>
  </si>
  <si>
    <t xml:space="preserve">ООО Мегастроп сч. 382 от 24.01.23г.</t>
  </si>
  <si>
    <t xml:space="preserve">ФССЦ-08.1.02.20-0011 Цепи якорные СТОИМОСТЬ за тонну 12577,54*8,13</t>
  </si>
  <si>
    <t xml:space="preserve">https://nn.vseinstrumenti.ru/product/muftovaya-golovka-prestizh-gm-50-779083/</t>
  </si>
  <si>
    <t xml:space="preserve">ФССЦ-18.3.01.01-0011 Головки соединительные напорные для соединения напорных пожарных рукавов между собой и с пожарным оборудованием-муфтовые ГМ 50</t>
  </si>
  <si>
    <t xml:space="preserve">https://www.magazin01.ru/catalog/rukava-inventar/Stvoly-pojarnye-i-golovki-soedinitelnye/Golovki-napornye/Golovka-GM-50-latun/</t>
  </si>
  <si>
    <t xml:space="preserve">https://www.hidrocontrol.ru/products/golovka-napornaya-legmash-50-mm-gm-50-aliuminii-muftovaya</t>
  </si>
  <si>
    <t xml:space="preserve">сумма ткп</t>
  </si>
  <si>
    <t xml:space="preserve">сумма фссц</t>
  </si>
  <si>
    <t xml:space="preserve">Наименования расценок ФССЦ соответствует наименованию МТР фирм производителей</t>
  </si>
  <si>
    <t xml:space="preserve">n. _____________</t>
  </si>
  <si>
    <r>
      <rPr>
        <i val="true"/>
        <vertAlign val="superscript"/>
        <sz val="10"/>
        <rFont val="Arial"/>
        <family val="2"/>
        <charset val="1"/>
      </rPr>
      <t xml:space="preserve">1 </t>
    </r>
    <r>
      <rPr>
        <i val="true"/>
        <sz val="10"/>
        <rFont val="Arial"/>
        <family val="2"/>
        <charset val="1"/>
      </rPr>
      <t xml:space="preserve">Указывается наименование продукции, в отношении которой проводится расчет ПЦ. Не допускаются орфографические и арифметические ошибки, меняющие наименование продукции и допускающие иное толкование вида, марки.</t>
    </r>
  </si>
  <si>
    <r>
      <rPr>
        <i val="true"/>
        <vertAlign val="superscript"/>
        <sz val="10"/>
        <rFont val="Arial"/>
        <family val="2"/>
        <charset val="1"/>
      </rPr>
      <t xml:space="preserve">2</t>
    </r>
    <r>
      <rPr>
        <i val="true"/>
        <sz val="10"/>
        <rFont val="Arial"/>
        <family val="2"/>
        <charset val="1"/>
      </rPr>
      <t xml:space="preserve"> Указывается не менее 3-х источников ценовой информации по методу анализа ТКП, методу мониторинга рынка и иным методам, в отношении которых необходимо наличие нескольких ИЦИ (с учетом исключений для монопольного и олигопольного рынков - в данном случае столбце "комментарии" указываются соответствующие пояснения). Согласно условиям Методики возможно совмещение методов для получения нужного количества ценовой информации.</t>
    </r>
  </si>
  <si>
    <r>
      <rPr>
        <i val="true"/>
        <vertAlign val="superscript"/>
        <sz val="10"/>
        <rFont val="Arial"/>
        <family val="2"/>
        <charset val="1"/>
      </rPr>
      <t xml:space="preserve">3</t>
    </r>
    <r>
      <rPr>
        <sz val="10"/>
        <rFont val="Arial"/>
        <family val="2"/>
        <charset val="1"/>
      </rPr>
      <t xml:space="preserve"> </t>
    </r>
    <r>
      <rPr>
        <i val="true"/>
        <sz val="10"/>
        <rFont val="Arial"/>
        <family val="2"/>
        <charset val="1"/>
      </rPr>
      <t xml:space="preserve">Указывается наименование ИЦИ. Например, для метода анализа ТКП указываются наименования поставщиков; для метода анализа договоров указывается - "Аналогичный договор"  </t>
    </r>
  </si>
  <si>
    <r>
      <rPr>
        <i val="true"/>
        <vertAlign val="superscript"/>
        <sz val="10"/>
        <rFont val="Arial"/>
        <family val="2"/>
        <charset val="1"/>
      </rPr>
      <t xml:space="preserve">4</t>
    </r>
    <r>
      <rPr>
        <sz val="10"/>
        <rFont val="Arial"/>
        <family val="2"/>
        <charset val="1"/>
      </rPr>
      <t xml:space="preserve"> У</t>
    </r>
    <r>
      <rPr>
        <i val="true"/>
        <sz val="10"/>
        <rFont val="Arial"/>
        <family val="2"/>
        <charset val="1"/>
      </rPr>
      <t xml:space="preserve">казывается ссылка на открытый ИЦИ (при наличии) или указывается информация об использовании внутренней информации Заказчика Группы РусГидро, например, что использован аналогичный договор и т.п.</t>
    </r>
  </si>
  <si>
    <r>
      <rPr>
        <i val="true"/>
        <vertAlign val="superscript"/>
        <sz val="10"/>
        <rFont val="Arial"/>
        <family val="2"/>
        <charset val="1"/>
      </rPr>
      <t xml:space="preserve">5</t>
    </r>
    <r>
      <rPr>
        <i val="true"/>
        <sz val="10"/>
        <rFont val="Arial"/>
        <family val="2"/>
        <charset val="1"/>
      </rPr>
      <t xml:space="preserve"> Указывается общая стоимость продукции, которая имеется в ИЦИ, и которая взята для расчета ПЦ (например, общая стоимость договора или явным образом выделенная часть стоимости договора - если используется только такая часть для расчета ПЦ)</t>
    </r>
  </si>
  <si>
    <r>
      <rPr>
        <i val="true"/>
        <vertAlign val="superscript"/>
        <sz val="10"/>
        <rFont val="Arial"/>
        <family val="2"/>
        <charset val="1"/>
      </rPr>
      <t xml:space="preserve">6</t>
    </r>
    <r>
      <rPr>
        <i val="true"/>
        <sz val="10"/>
        <rFont val="Arial"/>
        <family val="2"/>
        <charset val="1"/>
      </rPr>
      <t xml:space="preserve"> Указывается ценообразующий(ие) фактор(ы) в соответствии с Методикой формирования ПЦ. Например: условия оплаты, объем закупаемой продукции и/или иные ценообразующие факторы, указанные в Главе 4 Методики (расчеты необходимо приложить к настоящему файлу). Если ценообразующие факторы не применяются - необходимо указать: "нет". Сопоставление / приведение стоимости в ИЦИ с текущими потребностями Заказчика осуществляется в случае использования метода анализа аналогичных договоров и иных случаев, указанных в Главе 4 Методики</t>
    </r>
  </si>
  <si>
    <r>
      <rPr>
        <i val="true"/>
        <vertAlign val="superscript"/>
        <sz val="10"/>
        <rFont val="Arial"/>
        <family val="2"/>
        <charset val="1"/>
      </rPr>
      <t xml:space="preserve">7</t>
    </r>
    <r>
      <rPr>
        <i val="true"/>
        <sz val="10"/>
        <rFont val="Arial"/>
        <family val="2"/>
        <charset val="1"/>
      </rPr>
      <t xml:space="preserve"> Указывается общая ПЦ закупаемой продукции, рассчитанная по конкретному ИЦИ (путем приведения стоимости, указанной в ИЦИ, к текущим требованиям Заказчика путем добавления или вычитания стоимостей отдельных ценообразующих факторов). Расчеты со стоимостями ценообразующих факторов необходимо приложить к настоящему файлу. Примеры приведения цены к сопоставимым условиям приведены во вкладках "Пример сопоставления по объему" и "Пример сопоставления по условиям оплаты"</t>
    </r>
  </si>
  <si>
    <r>
      <rPr>
        <i val="true"/>
        <vertAlign val="superscript"/>
        <sz val="10"/>
        <rFont val="Arial"/>
        <family val="2"/>
        <charset val="1"/>
      </rPr>
      <t xml:space="preserve">8</t>
    </r>
    <r>
      <rPr>
        <i val="true"/>
        <sz val="10"/>
        <rFont val="Arial"/>
        <family val="2"/>
        <charset val="1"/>
      </rPr>
      <t xml:space="preserve"> Указывается общая ПЦ закупаемой продукции, рассчитанная на основании результатов расчетов по всем использованным методам расчета ПЦ в порядке, предусмотренным Методикой.</t>
    </r>
  </si>
  <si>
    <r>
      <rPr>
        <i val="true"/>
        <vertAlign val="superscript"/>
        <sz val="10"/>
        <rFont val="Arial"/>
        <family val="2"/>
        <charset val="1"/>
      </rPr>
      <t xml:space="preserve">9</t>
    </r>
    <r>
      <rPr>
        <i val="true"/>
        <sz val="10"/>
        <rFont val="Arial"/>
        <family val="2"/>
        <charset val="1"/>
      </rPr>
      <t xml:space="preserve"> Указываются и прикладываются все приложения, обосновывающие расчет ПЦ с учетом следующего:
1) ТКП в формате «pdf» должны быть подписаны поставщиками / официальными дилерами, давшими такое ТКП
2) Снимки экрана «скриншот», содержащие изображения соответствующих страниц сайтов с указанием ссылки на сайт, даты формирования, наименования поставщика, информации о цене продукции, контактного телефона), полученные посредством электронной почты ответы на запросы Заказчиков от поставщиков продукции должны быть подписаны Заказчиком (уполномоченным представителем Заказчика)
3) При применении метода аналогичных договоров прикладываются страницы договоры в формате «pdf», подтверждающие ценовую информацию о продукции, указанную в расчете (страницы должны быть подписаны Заказчиком (уполномоченным представителем Заказчика)
4) Вся иная информация, подтвержающая расчеты (выдержки из оферт, экспертные заключения) должна быть представлена в формате документов, подписанных Заказчиком (уполномоченным представителем Заказчика)</t>
    </r>
  </si>
  <si>
    <t xml:space="preserve">Приложение № 5</t>
  </si>
  <si>
    <t xml:space="preserve">к Требованиям к оформлению и составлению сметной документации на оказание услуг по эксплуатации подъёмных сооружений</t>
  </si>
  <si>
    <t xml:space="preserve">Приложение №</t>
  </si>
  <si>
    <t xml:space="preserve">Расчет плановой цены</t>
  </si>
  <si>
    <t xml:space="preserve">Смола полиуретановая двухкомпонентная инъекционная РТМ Max Injeckt 02 компонент А (фасовка 44 кг)</t>
  </si>
  <si>
    <t xml:space="preserve">Смола полиуретановая двухкомпонентная инъекционная РТМ Max Injeckt 02 компонент Б (фасовка 44 кг)</t>
  </si>
  <si>
    <t xml:space="preserve">Гидроизоляция герметизирующая для защиты строительных конструкций MAX-Protect 01</t>
  </si>
  <si>
    <t xml:space="preserve">Состав самовыравнивающийся Max Top 10 SL</t>
  </si>
  <si>
    <t xml:space="preserve">Смесь сухая ремонтная MAX-RS-T1 серый влагонепроницаемый мешок РТМ</t>
  </si>
  <si>
    <t xml:space="preserve">кг </t>
  </si>
  <si>
    <t xml:space="preserve">Смесь быстротвердеющая тиксотропного типа MAX RS T2</t>
  </si>
  <si>
    <t xml:space="preserve">Смесь сухая ремонтная Max RS T20 РТМ</t>
  </si>
  <si>
    <t xml:space="preserve">Смесь сухая ремонтная MAX RS L1 серая РТМ</t>
  </si>
  <si>
    <t xml:space="preserve">Смесь безусадочная наливного типа MAX RS L2 серая РТМ</t>
  </si>
  <si>
    <t xml:space="preserve">Гидроизоляция РТМ MAX-Proofing-2 Компонент А (25кг)</t>
  </si>
  <si>
    <t xml:space="preserve">Гидроизоляция РТМ MAX-Proofing-2 Компонент В (10л)</t>
  </si>
  <si>
    <t xml:space="preserve">Смесь сухая гидроизоляционная MAX-Proofing-3 РТМ (рз 369732) (фасовка 20кг)</t>
  </si>
  <si>
    <t xml:space="preserve">Смесь гидроизоляционная Max-Proofing-4 серая РТМ</t>
  </si>
  <si>
    <t xml:space="preserve">Смесь гидроизоляционная Max-Proofing-5 РТМ (фасовка 20 кг)</t>
  </si>
  <si>
    <t xml:space="preserve">Грунт акриловый гидрофобизатор по бетону/металлу MaxFloor 1 РТМ (фасовка 20л)</t>
  </si>
  <si>
    <t xml:space="preserve">Грунтовка эпоксидная двухкомпонентная для внутренних и наружных работ MaxFloor 101</t>
  </si>
  <si>
    <t xml:space="preserve">Покрытие эпоксидное двухкомпонентное для пола MaxFloor 301</t>
  </si>
  <si>
    <t xml:space="preserve">Пропитка полимерная для бетона MaxFloor 802 РТМ бесцветная канистра</t>
  </si>
  <si>
    <t xml:space="preserve">Грунтовка глубокого проникновения MAX PRIME (фасовка 20л)</t>
  </si>
  <si>
    <t xml:space="preserve">Грунт-эмаль полиуретановая двухкомпонентная для защиты от коррозии MAX Coat UR (NT) Две столицы матовая черная</t>
  </si>
  <si>
    <t xml:space="preserve">Грунтовка алкидная двухкомпонентная MAX Promo Primer РТМ красно-коричневая (фасовка 25 кг)</t>
  </si>
  <si>
    <t xml:space="preserve">Грунтовка алкидная двухкомпонентная для защиты от коррозии MAX Promo Primer РТМ</t>
  </si>
  <si>
    <t xml:space="preserve">Грунтовка двухкомпонентная для защиты от коррозии MAX Primer EP РТМ (фасовка 20кг)</t>
  </si>
  <si>
    <t xml:space="preserve">Краска акриловая для наружных работ MAXColor РТМ полуматовая белая RAL 9003 (фасовка 25 кг)</t>
  </si>
  <si>
    <t xml:space="preserve">Грунт-эмаль полиуретановая однокомпонентная для защиты от коррозии MAX Promo Coat РТМ серая</t>
  </si>
  <si>
    <t xml:space="preserve">Грунт-эмаль полиуретановая однокомпонентная для защиты от коррозии MAX Promo Coat РТМ красно-коричневая</t>
  </si>
  <si>
    <t xml:space="preserve">Грунт-эмаль полиуретановая двухкомпонентная для защиты от коррозии MAX Coat UR (NT) РТМ желтая (фасовка 20кг)</t>
  </si>
  <si>
    <t xml:space="preserve">Двухкомпонентная эмаль на полиуретановой основе MAX Topcoat UR CR РТМ (фасовка 20кг)</t>
  </si>
  <si>
    <t xml:space="preserve">Краска огнезащитная по металлу MAXPRO 01 РТМ матовая белая (фасовка 20кг)</t>
  </si>
  <si>
    <t xml:space="preserve">Краска водоэмульсионная фасадная MAX COLOR (фасовка 25 кг)</t>
  </si>
  <si>
    <t xml:space="preserve">Материал эпоксидный двухкомпонентный антикоррозионный MAX Mastic NT РТМ красно-коричневый (фасовка 20кг)</t>
  </si>
  <si>
    <t xml:space="preserve">Растворитель стандартный MAX D 02 Две столицы (фасовка 16кг)</t>
  </si>
  <si>
    <t xml:space="preserve">Растворитель MAX DEP 02 Две столицы (фасовка 15кг)</t>
  </si>
  <si>
    <t xml:space="preserve">Пропитка антисептическая против плесени MAX FLOOR 802 (фасовка 20кг)</t>
  </si>
  <si>
    <t xml:space="preserve">Пакер инъекционный алюминиевый 14х115мм</t>
  </si>
  <si>
    <t xml:space="preserve">Пакер инъекционный металлический KSG-16/130мм</t>
  </si>
  <si>
    <t xml:space="preserve">Кольцо стеновое железобетонное КС 10.6Ч/В15 (М200) 0.16м3 Серия 3.900.1-14</t>
  </si>
  <si>
    <t xml:space="preserve">Кольцо стеновое железобетонное КС10.9Ч/В15 (М200) 0.24м3 Серия 3.900.1-14</t>
  </si>
  <si>
    <t xml:space="preserve">Плита перекрытия железобетонная П2 ч.Г-1145</t>
  </si>
  <si>
    <t xml:space="preserve">Лоток водоотводный 1000х400х335мм бетонный</t>
  </si>
  <si>
    <t xml:space="preserve">  Лоток тротуарный ЛТ 50.20.6 стандарт серый полный прокрас 500x200x63 мм
</t>
  </si>
  <si>
    <t xml:space="preserve">Лоток водоотводный BetoMax ЛВ-11.19.23-Б-У01 1000х187х230мм бетонный с чугунной решёткой</t>
  </si>
  <si>
    <t xml:space="preserve">Люк композитный ЛПП-Ло  1.5т. черный полимерно-песчаный 720х540х560мм</t>
  </si>
  <si>
    <t xml:space="preserve">Модификатор ржавчины СФ-1 Инфрахим</t>
  </si>
  <si>
    <t xml:space="preserve">Преобразователь ржавчины Bitumast канистра 5л</t>
  </si>
  <si>
    <t xml:space="preserve">Грунт-эмаль антикоррозионная по ржавчине 3 в 1 черная Рифомет-ПГЛ (Грунт-эмаль по ржавчине 3 в 1 Metalkid RAL 9005 глянцевый цвет черная 1 л)</t>
  </si>
  <si>
    <t xml:space="preserve">Грунтовка винилово-эпоксидная по металлу Виникор-061 серая</t>
  </si>
  <si>
    <t xml:space="preserve">Грунт-эмаль 3в1 черная 0,75 кг Dali</t>
  </si>
  <si>
    <t xml:space="preserve">Грунт-эмаль 'Спецназ', серый</t>
  </si>
  <si>
    <t xml:space="preserve">Грунт акриловый антикоррозионный по металлу ВД АК Р-150 серый</t>
  </si>
  <si>
    <t xml:space="preserve">Грунт-эмаль антикоррозионная по ржавчине 3в1 Plast Certa серая банка 0.8кг</t>
  </si>
  <si>
    <t xml:space="preserve">Грунт-эмаль антикоррозионная по ржавчине алкидно-уретановая 3 в 1 черная ТУ 2313-003-17955654-05 Краско Нержамет</t>
  </si>
  <si>
    <t xml:space="preserve">средство «АнтиМикроФлорин» НЕ СУЩЕСТВУЕТ В ПРОДАЖЕ. ТОЛЬКО РЕГИСТРАЦИЯ ТОВАРНОГО ЗНАКА</t>
  </si>
  <si>
    <t xml:space="preserve">Цинконаполненная грунт-эмаль «ЦИНКОFULL», содержание цинка 85%</t>
  </si>
  <si>
    <t xml:space="preserve">эмаль 3 в 1 Нержамет цвет серый</t>
  </si>
  <si>
    <t xml:space="preserve">Пропитка антисептик для дерева ЭкоБио Сенеж</t>
  </si>
  <si>
    <t xml:space="preserve">Преобразователь ржавчины в грунт с цинком Химик</t>
  </si>
  <si>
    <t xml:space="preserve">Грунт-эмаль антикоррозионная по ржавчине 3 в 1 Нержамет полуглянцевая желтая RAL 1028</t>
  </si>
  <si>
    <t xml:space="preserve">Грунт-эмаль антикоррозионная по ржавчине 3 в 1 черная RAL 9005 Нержамет</t>
  </si>
  <si>
    <t xml:space="preserve">Грунт-эмаль антикоррозионная по ржавчине 3в1 Спецназ Ярославские краски светло-серая</t>
  </si>
  <si>
    <t xml:space="preserve">Средство противогрибковое для бетона CT 99 Церезит</t>
  </si>
  <si>
    <t xml:space="preserve">Болт анкерный распорный с гайкой 18х100мм стальной</t>
  </si>
  <si>
    <t xml:space="preserve">Анкер с гайкой 8х120мм</t>
  </si>
  <si>
    <t xml:space="preserve">Шпилька резьбовая стальная М18х1000мм 4.6 оцинкованная DIN 975</t>
  </si>
  <si>
    <t xml:space="preserve">Шпилька резьбовая цинковая М16х1000мм 4.8 оцинкованная DIN 975</t>
  </si>
  <si>
    <t xml:space="preserve">Шпилька резьбовая стальная М20х400мм 12.9</t>
  </si>
  <si>
    <t xml:space="preserve">Шпилька резьбовая стальная М12х1000мм 4.8 оцинкованная DIN 975</t>
  </si>
  <si>
    <t xml:space="preserve">Шайба плоская увеличенная стальная М8 оцинкованная DIN 9021 (для запора люка) (38шт.+8шт+8)</t>
  </si>
  <si>
    <t xml:space="preserve">Шайба плоская увеличенная стальная М8 оцинкованная DIN 9021 (диаметром 24мм)(266шт.)</t>
  </si>
  <si>
    <t xml:space="preserve">Шуруп-глухарь сантехнический стальной оцинкованный 8х60мм шестигранная головка DIN 571</t>
  </si>
  <si>
    <t xml:space="preserve">Заклепка резьбовая М6 А2 с потайным бортиком и насечкой</t>
  </si>
  <si>
    <t xml:space="preserve">Болт М6х30х1.0мм 8.8 оцинкованный шестигранная головка DIN 933</t>
  </si>
  <si>
    <t xml:space="preserve">Болт М10х120х1.5мм 8.8 оцинкованный шестигранная головка DIN 933</t>
  </si>
  <si>
    <t xml:space="preserve">Шайба плоская М6 стальная оцинкованная DIN 125</t>
  </si>
  <si>
    <t xml:space="preserve">Анкер клиновой 12х100мм стальной оцинкованный</t>
  </si>
  <si>
    <t xml:space="preserve">Анкер клиновой 12х100мм</t>
  </si>
  <si>
    <t xml:space="preserve">Анкер клиновой 10х80мм стальной оцинкованный</t>
  </si>
  <si>
    <t xml:space="preserve">Анкер клиновой с гайкой 8х100мм стальной</t>
  </si>
  <si>
    <t xml:space="preserve">Шайба увеличенная оцинкованная М20 20х60х4мм DIN 9021</t>
  </si>
  <si>
    <t xml:space="preserve">Шайба усиленная стальная 16мм 200HV A2 ISO 7093-1-2016</t>
  </si>
  <si>
    <t xml:space="preserve">Анкер клиновой 10х95мм</t>
  </si>
  <si>
    <t xml:space="preserve">Анкер забивной М10/12х40мм</t>
  </si>
  <si>
    <t xml:space="preserve">Анкер высоких нагрузок с крюком М8 10х80мм</t>
  </si>
  <si>
    <t xml:space="preserve">Гайка шестигранная с фланцем М10 стальная ГОСТ Р ИСО 4161</t>
  </si>
  <si>
    <t xml:space="preserve">Бур спиральный по бетону Dewalt INDUSTRIAL DT9658 SDS-plus 20х450мм HSS</t>
  </si>
  <si>
    <t xml:space="preserve">Бур по бетону Matrix 71044 SDS-plus 14х350х400мм 40Х</t>
  </si>
  <si>
    <t xml:space="preserve">Анкер химический OKG TE100 М6 эпоксидная смола 450мл</t>
  </si>
  <si>
    <t xml:space="preserve">Анкер химический ДКС СМ600450-ER эпоксидная смола 450мл</t>
  </si>
  <si>
    <t xml:space="preserve">Пена монтажная всесезонная Технониколь Империал 65 Universal баллон 1000мл</t>
  </si>
  <si>
    <t xml:space="preserve">Пена монтажная баллон 1000мл Технониколь 240 Professional</t>
  </si>
  <si>
    <t xml:space="preserve">Мастика битумная гидроизоляционная №24 МГТН Технониколь</t>
  </si>
  <si>
    <t xml:space="preserve">Клей водостойкий каучуковый универсальный 88-Luxe Рогнеда банка 900мл</t>
  </si>
  <si>
    <t xml:space="preserve">Полоса стальная горячекатаная для заземления 4х40мм ГОСТ 103 (оцинкованная)</t>
  </si>
  <si>
    <t xml:space="preserve">Конструкция металлическая (конструкция металлическая информационного щита в комплекте)( по чертежу)</t>
  </si>
  <si>
    <t xml:space="preserve">Щит информационный из оцинкованной стали (200мм * 300мм) с креплением для трубы</t>
  </si>
  <si>
    <t xml:space="preserve">Плита для закрытия кабельного лотка УБК-5А</t>
  </si>
  <si>
    <t xml:space="preserve">Клей плиточный CM 17 Super Flex Ceresit мешок 25кг</t>
  </si>
  <si>
    <t xml:space="preserve">Клей цементный для плитки 2000 ЕК</t>
  </si>
  <si>
    <t xml:space="preserve">Клей для плитки Юнис 2000 С1 Unis мешок 25кг</t>
  </si>
  <si>
    <t xml:space="preserve">Клей универсальный для линолеума и всех типов ПВХ Tytan Professional ведро 4кг</t>
  </si>
  <si>
    <t xml:space="preserve">Смесь Асфальт холодный Perma Patch</t>
  </si>
  <si>
    <t xml:space="preserve">Шпатлевка ЕК Finish zement</t>
  </si>
  <si>
    <t xml:space="preserve">Шпатлевка цементная финишная СТ 225 Ceresit</t>
  </si>
  <si>
    <t xml:space="preserve">Шпатлевка базовая цементная для внутренних работ Старатели</t>
  </si>
  <si>
    <t xml:space="preserve">Шпатлевка цементная фасадная финишная Белсилк Т 32 Основит 20кг</t>
  </si>
  <si>
    <t xml:space="preserve">Шпатлевка гипсовая для внутренних работ Старатели 20кг</t>
  </si>
  <si>
    <t xml:space="preserve">Шпатлевка 25кг Волма Финиш</t>
  </si>
  <si>
    <t xml:space="preserve">Штукатурка цементная Ceresit CT 29</t>
  </si>
  <si>
    <t xml:space="preserve">Штукатурка гипсовая Старатели</t>
  </si>
  <si>
    <t xml:space="preserve">Герметик силиконовый универсальный 280мл Технониколь</t>
  </si>
  <si>
    <t xml:space="preserve">Смесь ремонтная TT-30 серая EK</t>
  </si>
  <si>
    <t xml:space="preserve">Смесь универсальная К200 белый EK</t>
  </si>
  <si>
    <t xml:space="preserve">Лоток листовой   перфорированный LPS , ширина 150 мм, высота 100 мм, длина 3000 мм,  толщина 1,5 мм, покрытие горячий цинк, Стандарт Электрик арт. 430251</t>
  </si>
  <si>
    <t xml:space="preserve">Винт с полукруглой головкой M6x20     оцинкованный, Стандарт Электрик, арт. 125240 </t>
  </si>
  <si>
    <t xml:space="preserve">Гайка с прессшайбой М6, оцинкованная, Стандарт Электрик, арт. 258729 </t>
  </si>
  <si>
    <t xml:space="preserve">Быстрозажимная гайка CC 41-M6, покрытие горячий цинк, Стандарт Электрик, арт. 480200 </t>
  </si>
  <si>
    <t xml:space="preserve">Консоль ST 41/41/2.5-250, длина 25 0 мм, ширина 41 мм, высота 41 мм, толщина 2,5 мм, покрытие горячий цинк, Стандарт Электрик, арт. 465254</t>
  </si>
  <si>
    <t xml:space="preserve">Клиновой анкер Z Plus 10/50, М10,
  длина 92 мм, оцинкованный, Стандарт Электрик, арт. 3000292</t>
  </si>
  <si>
    <t xml:space="preserve">Муфта концевая с болтовыми наконечниками 35кВ 3ПКНТО-35кВ 1х150-240</t>
  </si>
  <si>
    <t xml:space="preserve">Туалетный
  модуль  МГН Т-15 (комплектация стандарт) </t>
  </si>
  <si>
    <t xml:space="preserve">АВДТ 32 C6 30мА IEK MAD22-5-006-C-30</t>
  </si>
  <si>
    <t xml:space="preserve">Бокс КМПн-2/4 для наруж. уст. с п/прозрачной крышкой, IP30 народный</t>
  </si>
  <si>
    <t xml:space="preserve"> Труба ПНД водопроводная ПЭ-100 SDR 26 110мм</t>
  </si>
  <si>
    <t xml:space="preserve">Отвод 90 градусов для ПНД трубы 25мм</t>
  </si>
  <si>
    <t xml:space="preserve">Муфта компрессионная переходная ПНД 25х20мм</t>
  </si>
  <si>
    <t xml:space="preserve">Труба водопроводная ПНД 90х3мм PN10 черная</t>
  </si>
  <si>
    <t xml:space="preserve">Труба водопроводная ПНД 75х3мм PN10 черная</t>
  </si>
  <si>
    <t xml:space="preserve">Муфта компрессионная соединительная ПНД 75ммх75</t>
  </si>
  <si>
    <t xml:space="preserve">Муфта канализационная соединительная ПНД 90мм с накидной гайкой черный</t>
  </si>
  <si>
    <t xml:space="preserve">Переход литой SDR17 ПЭ100 90ммх110 под сварку</t>
  </si>
  <si>
    <t xml:space="preserve">Переход литой ПЭ100 75х89мм ПНД-сталь PN10</t>
  </si>
  <si>
    <t xml:space="preserve">Держатель для труб пластиковый Plimat 20422342075 75мм</t>
  </si>
  <si>
    <t xml:space="preserve">Заглушка канализационная PP 110мм серая</t>
  </si>
  <si>
    <t xml:space="preserve">Кран шаровый Tebo Technics С-ТВ 1v 50 030060105 DN50 полипропиленовый</t>
  </si>
  <si>
    <t xml:space="preserve">Угольник 90 град. полипропиленовый диаметром 50 мм</t>
  </si>
  <si>
    <t xml:space="preserve">Труба канализационная с раструбом SN4 ПВХ 500х12.3мм оранжевая</t>
  </si>
  <si>
    <t xml:space="preserve">Покрытие модульное Sensor Bit ПВХ 5мм серое</t>
  </si>
  <si>
    <t xml:space="preserve">Лента демпферная НПЭ вспененный полиэтилен 8х100мм (клеевой слой, защитная пленка)</t>
  </si>
  <si>
    <t xml:space="preserve">Estima Комплект NL01 Nolana Beige (Ступень 33x120 неполированный прямоугольный бортик без насечек + Подступенок 14,5x120)</t>
  </si>
  <si>
    <t xml:space="preserve">Терморегулятор электронный EKF Proxima для теплых полов (датчик пола)</t>
  </si>
  <si>
    <t xml:space="preserve">Комплект теплого пола Profi Therm 1650Вт 11м2 24092034</t>
  </si>
  <si>
    <t xml:space="preserve">Плитка керамогранитная напольная Elf stone бежевая 600х1200х9мм 261453 Kerald</t>
  </si>
  <si>
    <t xml:space="preserve">Покрытие для пола EcoWood Дуб Лир NOX-1711 кварцвиниловое</t>
  </si>
  <si>
    <t xml:space="preserve">Линолеум полукоммерческий 4м Tarkett Acczent PRO</t>
  </si>
  <si>
    <t xml:space="preserve">Линолеум полукоммерческий 3.5м Portman Bergen 3</t>
  </si>
  <si>
    <t xml:space="preserve">М.П.</t>
  </si>
  <si>
    <t xml:space="preserve">Обои флизелиновые белые 1.06м Erismann Батист ER13006-14</t>
  </si>
  <si>
    <t xml:space="preserve">Обои стеклотканевые под покраску 1м Рогожка потолочная</t>
  </si>
  <si>
    <t xml:space="preserve">Обои флизелиновые Ткань 1.06х10м Vilia 1738-61</t>
  </si>
  <si>
    <t xml:space="preserve">Снегозадержатель трубчатый универсальный ral3005 3м Optima</t>
  </si>
  <si>
    <t xml:space="preserve">Плита ОСП 2500х1250х9мм</t>
  </si>
  <si>
    <t xml:space="preserve">Плита ОСБ OSB-3 2500х1250х9мм</t>
  </si>
  <si>
    <t xml:space="preserve">Светильник светодиодный RC132V G4 LED36S/840 PSU W60L60 OC</t>
  </si>
  <si>
    <t xml:space="preserve">Клемма соединительная Wago 222-413 400В 32А 0.08-2.5/4мм² 3 контактная</t>
  </si>
  <si>
    <t xml:space="preserve">Розетка накладная 16А 220-250В двойная белая с заземляющим контактом</t>
  </si>
  <si>
    <t xml:space="preserve">Выключатель 1-клавишный 10А 250В IP20 открытой установки белый Schneider Electric Этюд BA10-001B</t>
  </si>
  <si>
    <t xml:space="preserve">Выключатель 2-клавишный 10А 250В IP20 открытой установки белый Schneider Electric Этюд BA10-002B</t>
  </si>
  <si>
    <t xml:space="preserve">Выключатель 1-клавишный 10А 250В IP20 скрытой установки сталь Schneider Electric AtlasDesign ATN000911</t>
  </si>
  <si>
    <t xml:space="preserve">Выключатель 2-клавишный 10А 250В IP20 скрытой установки сталь Schneider Electric AtlasDesign ATN000951</t>
  </si>
  <si>
    <t xml:space="preserve">Щит распределительный ЩРн-36з mb24-36 EKF с замком IP54 стальной 520х310х120мм навесной</t>
  </si>
  <si>
    <t xml:space="preserve">Шина N нулевая TDM 8х12групп стойка на DIN-рейку с изолятором</t>
  </si>
  <si>
    <t xml:space="preserve">Розетка без заземления 10А 250В 2-местная IP20 скрытой установки белая IEK Кварта ERK23-K01-10-DM</t>
  </si>
  <si>
    <t xml:space="preserve">Выключатель автоматический дифференциальный Chint NB1L 203019 16А AC 50Гц C 1P+N 6кА</t>
  </si>
  <si>
    <t xml:space="preserve">Светильник светодиодный консольный Кобра 4000К 50Вт уличный</t>
  </si>
  <si>
    <t xml:space="preserve">Шина PEN земля-ноль 100А 6отв.на DIN-рейку 6х9мм</t>
  </si>
  <si>
    <t xml:space="preserve">Шина N нулевая Tekfor KSN-6-6х9-08-Ni PE 100А 6х9мм 8отв на DIN-рейку никелированная</t>
  </si>
  <si>
    <t xml:space="preserve">Выключатель автоматический Schneider Electric iC60N 16А C 1P 10кА</t>
  </si>
  <si>
    <t xml:space="preserve">Профиль стартовый оцинкованный 100*50мм</t>
  </si>
  <si>
    <t xml:space="preserve">Профиль стоечный 3000х50х50мм 0.5мм сталь оцинкованная ПС-2</t>
  </si>
  <si>
    <t xml:space="preserve">Петля гаражная 22х120мм</t>
  </si>
  <si>
    <t xml:space="preserve">Петля гаражная с шаром 18х120мм Сибртех</t>
  </si>
  <si>
    <t xml:space="preserve">Петля гаражная с шаром 20х140мм Сибртех 920047</t>
  </si>
  <si>
    <t xml:space="preserve">Проушина угловая Зубр ПР-2.0</t>
  </si>
  <si>
    <t xml:space="preserve">Проушина угловая металлическая 30х60мм</t>
  </si>
  <si>
    <t xml:space="preserve">Профиль маячковый 10х21х3000мм Премиум</t>
  </si>
  <si>
    <t xml:space="preserve">Нащельник на барьерный блок Нью-Джерси металлический 1010х800х3мм оцинкованный</t>
  </si>
  <si>
    <t xml:space="preserve">Катафот дорожный КД-5</t>
  </si>
  <si>
    <t xml:space="preserve">Шланг гофрированный дренажный 25мм Tuboflex 10м зеленый</t>
  </si>
  <si>
    <t xml:space="preserve">Дверь противопожарная ДПМ-01/60 двухстворчатая открывание наружу RAL 7035 2100х1200мм глухая порог с притвором</t>
  </si>
  <si>
    <t xml:space="preserve">189.1</t>
  </si>
  <si>
    <t xml:space="preserve">Доводчик DC-080 EN2-5 с рычажной тягой, цвет серебро</t>
  </si>
  <si>
    <t xml:space="preserve">Дверь металлическая противопожарная ДПМ-01/60 одностворчатая RAL 7035 2200х900мм глухая порог с притвором</t>
  </si>
  <si>
    <t xml:space="preserve">190.1</t>
  </si>
  <si>
    <t xml:space="preserve">Дверь алюминиевая входная двухстворчатая открывание наружу правая рабочая створка RAL 9001 2300х1750мм остекленное порог со скрытым креплением (с замком, ручками, доводчиком)</t>
  </si>
  <si>
    <t xml:space="preserve">Доводчик DC-080 EN2-5 с рычажной тягой, цвет белый</t>
  </si>
  <si>
    <t xml:space="preserve">Дверь с алюминиевым профилем одностворчатая белая 2100х1100мм остекленная порог со скрытым креплением (откатной механизм, направляющие, замок, ручки)</t>
  </si>
  <si>
    <t xml:space="preserve">Люк металлический противопожарный EI-60 открывание наружу RAL 7035 500х500мм (ручка, замок-защелка)</t>
  </si>
  <si>
    <t xml:space="preserve">Профиль пластиковый ф-образный, 3000мм белый</t>
  </si>
  <si>
    <t xml:space="preserve">Откосная планка шириной 400 мм из сэндвич-пенели с ПВХ покрытием, цвет белый</t>
  </si>
  <si>
    <t xml:space="preserve">Заглушка двухсторонняя для подоконника ПВХ 600х25мм</t>
  </si>
  <si>
    <t xml:space="preserve">Водоотлив оконный шириной планки 500 мм из оцинкованной стали с
полимерным покрытием</t>
  </si>
  <si>
    <t xml:space="preserve">Тройник вентиляционный круглый 90гр стальная оцинкованная 0.5мм 160 160мм 400мм</t>
  </si>
  <si>
    <t xml:space="preserve">Лента монтажная перфорированная волна Креп-Комп PVA сталь 12х0.75мм 25м</t>
  </si>
  <si>
    <t xml:space="preserve">Воздуховод круглого сечения 08ПС оцинкованная 0.5мм 160мм</t>
  </si>
  <si>
    <t xml:space="preserve">Переход вентиляционный круглый пластиковый 160х100мм</t>
  </si>
  <si>
    <t xml:space="preserve">Отвод вентиляционный круглый 90гр стальной оцинкованный 0.5мм 160мм 200мм</t>
  </si>
  <si>
    <t xml:space="preserve">Вентилятор осевой канальный ERA Typhoon 160 2SP 50Вт 570м3/ч</t>
  </si>
  <si>
    <t xml:space="preserve">Жалюзи вертикальные перл белый</t>
  </si>
  <si>
    <t xml:space="preserve">Корпус сварной навесной ST R5STX0432 DKC с монтажной панелью IP66 УХЛ1 стальной 400х300х200мм</t>
  </si>
  <si>
    <t xml:space="preserve">Рама пластронной системы DKC R5STMF43 для корпусов ST STE 400х300мм</t>
  </si>
  <si>
    <t xml:space="preserve">Комплект крепления крепежный DKC R5A55R для навесных и клеммных корпусов (4шт)</t>
  </si>
  <si>
    <t xml:space="preserve">Коробка ответвительная DKC 53800 пластик 8+2вв 100х100х50мм IP55 20-25мм</t>
  </si>
  <si>
    <t xml:space="preserve">Розетка с заземлением 16А 250В 1-местная IP44 открытой установки белая TDM Орель SQ1802-0005</t>
  </si>
  <si>
    <t xml:space="preserve">Переходник труба-коробка ДКС 55120 20мм</t>
  </si>
  <si>
    <t xml:space="preserve">Переходник труба-коробка ДКС 55125 25мм</t>
  </si>
  <si>
    <t xml:space="preserve">Клемма соединительная винтовая DKC B63 450В 42А 2.5-6мм2 IP20 полиамидный ТР ТС 004/2011</t>
  </si>
  <si>
    <t xml:space="preserve">Труба гибкая армированная 25мм DKC 57025</t>
  </si>
  <si>
    <t xml:space="preserve">Труба гофрированная гибкая армированная ПВХ 20мм DKC 57020</t>
  </si>
  <si>
    <t xml:space="preserve">Держатель с хомутиком DKC 51200 16-32мм для труб ПВХ</t>
  </si>
  <si>
    <t xml:space="preserve">Бирка кабельная Rexant У-134 07-6234 белая квадратная 55х55мм 100шт</t>
  </si>
  <si>
    <t xml:space="preserve">Стяжка кабельная Zolder нейлоновая 3.6х300мм черная 100шт</t>
  </si>
  <si>
    <t xml:space="preserve">Конвектор  2 кВт  iVigo EPK4590M20 с датчиком отключения при опрокидывании </t>
  </si>
  <si>
    <t xml:space="preserve">Кабель-канал Legrand Metra 638081 пластик 100х50мм</t>
  </si>
  <si>
    <t xml:space="preserve">Рамка горизонтальная 1-постовая 3-модульная белая Legrand Mosaic 078803</t>
  </si>
  <si>
    <t xml:space="preserve">Заглушка Legrand Metra пластик для кабель-канала 100х50мм 638035</t>
  </si>
  <si>
    <t xml:space="preserve">Тройник Legrand Metra пластик для кабель-канала 100х50мм 638034</t>
  </si>
  <si>
    <t xml:space="preserve">Клемма соединительная Wago COMPACT 2273-244 450В 24А 4-проводная 0.5-2.5мм2 пластик 18х16.7х5.8мм</t>
  </si>
  <si>
    <t xml:space="preserve">Конвектор электрический Electrolux ECH/AS-1500 ER 1.5кВт 220В IP24</t>
  </si>
  <si>
    <t xml:space="preserve">ши</t>
  </si>
  <si>
    <t xml:space="preserve">Щит распределительный ЩРН-9 Basic mb21-9-bas EKF IP31 стальной 220х300х120мм навесной</t>
  </si>
  <si>
    <t xml:space="preserve">Крепеж-клипса для трубы гофрированной полипропиленовая 20мм серая Промрукав PR13.0120 100шт</t>
  </si>
  <si>
    <t xml:space="preserve">Скоба металлическая двухлапковая СД 31-32</t>
  </si>
  <si>
    <t xml:space="preserve">Пластрон DKC R5ISP315 для рамы STMF 10 модулей 300х150мм</t>
  </si>
  <si>
    <t xml:space="preserve">Блок клеммный ДКС 87512 400В 2х12 вводов (крепеж, суппорт-2шт) под винт пластиковый</t>
  </si>
  <si>
    <t xml:space="preserve">Личинка для замка DKC R5CE224</t>
  </si>
  <si>
    <t xml:space="preserve">Заглушка DKC 87165 для щитка пластиковая 80х50мм</t>
  </si>
  <si>
    <t xml:space="preserve">Выключатель автоматический модульный Chint NB1-63 (R) AC 32А C 3P 6кА 400В 179705</t>
  </si>
  <si>
    <t xml:space="preserve">Выключатель автоматический модульный Chint NB1-63 (R) AC 16А C 1P 6кА 230В 179616</t>
  </si>
  <si>
    <t xml:space="preserve">Розетка с заземлением 16А 260В 3-местная IP20 для кабель-канала с защитными шторками белая Legrand Mosaic 77603</t>
  </si>
  <si>
    <t xml:space="preserve">Шкаф распределительный SES 40.30.21 Провенто IP66 стальной 400х300х210мм навесной</t>
  </si>
  <si>
    <t xml:space="preserve">Прожектор светодиодный ЭРА LPR-023-0-65K-100 100Вт 6500К 8000лм IP65</t>
  </si>
  <si>
    <t xml:space="preserve">DIN-рейка металлическая ТН 35/7,5 длиной 300 мм</t>
  </si>
  <si>
    <t xml:space="preserve">Выключатель автоматический Schneider Electric iC60N A9F79106 C 6А 1P</t>
  </si>
  <si>
    <t xml:space="preserve">Выключатель нагрузки Schneider Electric Acti9 A9S60120 20А 1P IP20</t>
  </si>
  <si>
    <t xml:space="preserve">Столбик кабельный с табличкой 300х400мм СКТ 1600</t>
  </si>
  <si>
    <t xml:space="preserve">Односторонняя табличка «осторожно кабель 1 м» ПРОТЭКТ 300х400 мм, ПВХ 2 мм Т-300/400/2-1</t>
  </si>
  <si>
    <r>
      <rPr>
        <b val="true"/>
        <sz val="10"/>
        <color rgb="FF000000"/>
        <rFont val="Times New Roman"/>
        <family val="1"/>
        <charset val="204"/>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0"/>
        <color rgb="FF000000"/>
        <rFont val="Times New Roman"/>
        <family val="1"/>
        <charset val="204"/>
      </rPr>
      <t xml:space="preserve">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</si>
  <si>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xml:space="preserve">*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</si>
</sst>
</file>

<file path=xl/styles.xml><?xml version="1.0" encoding="utf-8"?>
<styleSheet xmlns="http://schemas.openxmlformats.org/spreadsheetml/2006/main">
  <numFmts count="13">
    <numFmt numFmtId="164" formatCode="General"/>
    <numFmt numFmtId="165" formatCode="#,##0.00"/>
    <numFmt numFmtId="166" formatCode="#,##0.00&quot; ₽&quot;"/>
    <numFmt numFmtId="167" formatCode="\ * #,##0.00\ ;\-* #,##0.00\ ;\ * \-#\ ;\ @\ "/>
    <numFmt numFmtId="168" formatCode="\ * #,##0&quot;    &quot;;\-* #,##0&quot;    &quot;;\ * \-#&quot;    &quot;;\ @\ "/>
    <numFmt numFmtId="169" formatCode="General"/>
    <numFmt numFmtId="170" formatCode="0.00"/>
    <numFmt numFmtId="171" formatCode="#,##0.00\ [$₽-419];[RED]\-#,##0.00\ [$₽-419]"/>
    <numFmt numFmtId="172" formatCode="0"/>
    <numFmt numFmtId="173" formatCode="0.00%"/>
    <numFmt numFmtId="174" formatCode="#,##0.000"/>
    <numFmt numFmtId="175" formatCode="@"/>
    <numFmt numFmtId="176" formatCode="_-* #,##0\ _₽_-;\-* #,##0\ _₽_-;_-* \-??\ _₽_-;_-@_-"/>
  </numFmts>
  <fonts count="53">
    <font>
      <sz val="11"/>
      <color rgb="FF000000"/>
      <name val="Calibri"/>
      <family val="2"/>
      <charset val="1"/>
    </font>
    <font>
      <sz val="10"/>
      <name val="Arial"/>
      <family val="0"/>
    </font>
    <font>
      <sz val="10"/>
      <name val="Arial"/>
      <family val="0"/>
    </font>
    <font>
      <sz val="10"/>
      <name val="Arial"/>
      <family val="0"/>
    </font>
    <font>
      <sz val="10"/>
      <name val="Arial Cyr"/>
      <family val="0"/>
      <charset val="1"/>
    </font>
    <font>
      <sz val="11"/>
      <color rgb="FF000000"/>
      <name val="Calibri"/>
      <family val="2"/>
      <charset val="204"/>
    </font>
    <font>
      <sz val="10"/>
      <color rgb="FF000000"/>
      <name val="Arial"/>
      <family val="2"/>
      <charset val="1"/>
    </font>
    <font>
      <i val="true"/>
      <sz val="16"/>
      <color rgb="FFFF0000"/>
      <name val="Arial"/>
      <family val="2"/>
      <charset val="1"/>
    </font>
    <font>
      <sz val="10"/>
      <color rgb="FFFF0000"/>
      <name val="Arial"/>
      <family val="2"/>
      <charset val="1"/>
    </font>
    <font>
      <sz val="12"/>
      <color rgb="FF000000"/>
      <name val="Arial"/>
      <family val="2"/>
      <charset val="1"/>
    </font>
    <font>
      <b val="true"/>
      <sz val="10"/>
      <name val="Arial"/>
      <family val="2"/>
      <charset val="1"/>
    </font>
    <font>
      <sz val="10"/>
      <name val="Arial"/>
      <family val="2"/>
      <charset val="1"/>
    </font>
    <font>
      <sz val="12"/>
      <name val="Arial"/>
      <family val="2"/>
      <charset val="1"/>
    </font>
    <font>
      <b val="true"/>
      <sz val="12"/>
      <name val="Arial"/>
      <family val="2"/>
      <charset val="1"/>
    </font>
    <font>
      <b val="true"/>
      <sz val="10"/>
      <color rgb="FF000000"/>
      <name val="Arial"/>
      <family val="2"/>
      <charset val="1"/>
    </font>
    <font>
      <b val="true"/>
      <sz val="22"/>
      <color rgb="FFC9211E"/>
      <name val="Arial"/>
      <family val="2"/>
      <charset val="1"/>
    </font>
    <font>
      <b val="true"/>
      <sz val="22"/>
      <name val="Arial"/>
      <family val="2"/>
      <charset val="1"/>
    </font>
    <font>
      <u val="single"/>
      <sz val="11"/>
      <color rgb="FF0563C1"/>
      <name val="Calibri"/>
      <family val="2"/>
      <charset val="1"/>
    </font>
    <font>
      <sz val="11"/>
      <name val="Calibri"/>
      <family val="2"/>
      <charset val="1"/>
    </font>
    <font>
      <sz val="12"/>
      <color rgb="FFFF0000"/>
      <name val="Arial"/>
      <family val="2"/>
      <charset val="1"/>
    </font>
    <font>
      <sz val="10"/>
      <color rgb="FF0000FF"/>
      <name val="Arial"/>
      <family val="2"/>
      <charset val="1"/>
    </font>
    <font>
      <b val="true"/>
      <sz val="12"/>
      <color rgb="FF000000"/>
      <name val="Arial"/>
      <family val="2"/>
      <charset val="1"/>
    </font>
    <font>
      <b val="true"/>
      <sz val="12"/>
      <color rgb="FFC9211E"/>
      <name val="Arial"/>
      <family val="2"/>
      <charset val="1"/>
    </font>
    <font>
      <sz val="11"/>
      <color rgb="FFC9211E"/>
      <name val="Calibri"/>
      <family val="2"/>
      <charset val="1"/>
    </font>
    <font>
      <b val="true"/>
      <sz val="12"/>
      <color rgb="FFFF0000"/>
      <name val="Arial"/>
      <family val="2"/>
      <charset val="1"/>
    </font>
    <font>
      <sz val="11"/>
      <color rgb="FF0563C1"/>
      <name val="Calibri"/>
      <family val="2"/>
      <charset val="1"/>
    </font>
    <font>
      <sz val="10"/>
      <color rgb="FFC9211E"/>
      <name val="Arial"/>
      <family val="2"/>
      <charset val="1"/>
    </font>
    <font>
      <sz val="11"/>
      <color rgb="FF000000"/>
      <name val="Arial"/>
      <family val="2"/>
      <charset val="1"/>
    </font>
    <font>
      <b val="true"/>
      <sz val="22"/>
      <color rgb="FFFF0000"/>
      <name val="Arial"/>
      <family val="2"/>
      <charset val="1"/>
    </font>
    <font>
      <sz val="11"/>
      <name val="Times New Roman"/>
      <family val="1"/>
      <charset val="1"/>
    </font>
    <font>
      <sz val="10"/>
      <color rgb="FF000000"/>
      <name val="Arial"/>
      <family val="2"/>
      <charset val="204"/>
    </font>
    <font>
      <b val="true"/>
      <u val="single"/>
      <sz val="10"/>
      <name val="Arial"/>
      <family val="2"/>
      <charset val="1"/>
    </font>
    <font>
      <b val="true"/>
      <u val="single"/>
      <sz val="12"/>
      <name val="Arial"/>
      <family val="2"/>
      <charset val="1"/>
    </font>
    <font>
      <i val="true"/>
      <sz val="10"/>
      <color rgb="FFFF0000"/>
      <name val="Arial"/>
      <family val="2"/>
      <charset val="1"/>
    </font>
    <font>
      <b val="true"/>
      <vertAlign val="superscript"/>
      <sz val="10"/>
      <name val="Arial"/>
      <family val="2"/>
      <charset val="1"/>
    </font>
    <font>
      <u val="single"/>
      <sz val="10"/>
      <color rgb="FF0563C1"/>
      <name val="Arial"/>
      <family val="2"/>
      <charset val="1"/>
    </font>
    <font>
      <i val="true"/>
      <vertAlign val="superscript"/>
      <sz val="10"/>
      <name val="Arial"/>
      <family val="2"/>
      <charset val="1"/>
    </font>
    <font>
      <i val="true"/>
      <sz val="10"/>
      <name val="Arial"/>
      <family val="2"/>
      <charset val="1"/>
    </font>
    <font>
      <sz val="10"/>
      <color rgb="FF000000"/>
      <name val="Times New Roman"/>
      <family val="1"/>
      <charset val="204"/>
    </font>
    <font>
      <i val="true"/>
      <sz val="10"/>
      <name val="Times New Roman"/>
      <family val="1"/>
      <charset val="204"/>
    </font>
    <font>
      <sz val="10"/>
      <name val="Times New Roman"/>
      <family val="1"/>
      <charset val="204"/>
    </font>
    <font>
      <b val="true"/>
      <sz val="10"/>
      <name val="Times New Roman"/>
      <family val="1"/>
      <charset val="204"/>
    </font>
    <font>
      <b val="true"/>
      <sz val="10"/>
      <name val="Arial"/>
      <family val="2"/>
      <charset val="204"/>
    </font>
    <font>
      <sz val="10"/>
      <name val="Arial"/>
      <family val="2"/>
      <charset val="204"/>
    </font>
    <font>
      <sz val="10"/>
      <color rgb="FF000000"/>
      <name val="Times New Roman"/>
      <family val="1"/>
      <charset val="1"/>
    </font>
    <font>
      <u val="single"/>
      <sz val="10"/>
      <color rgb="FF0563C1"/>
      <name val="Times New Roman"/>
      <family val="1"/>
      <charset val="1"/>
    </font>
    <font>
      <sz val="10"/>
      <color rgb="FF0000FF"/>
      <name val="Times New Roman"/>
      <family val="1"/>
      <charset val="204"/>
    </font>
    <font>
      <sz val="10"/>
      <color rgb="FF0000FF"/>
      <name val="Arial"/>
      <family val="2"/>
      <charset val="204"/>
    </font>
    <font>
      <sz val="10"/>
      <name val="Times New Roman"/>
      <family val="1"/>
      <charset val="1"/>
    </font>
    <font>
      <sz val="11"/>
      <color rgb="FF000000"/>
      <name val="Times New Roman"/>
      <family val="1"/>
      <charset val="1"/>
    </font>
    <font>
      <sz val="10"/>
      <color rgb="FF000000"/>
      <name val="Arial"/>
      <family val="0"/>
      <charset val="1"/>
    </font>
    <font>
      <sz val="11"/>
      <color rgb="FF000000"/>
      <name val="Times New Roman"/>
      <family val="1"/>
      <charset val="204"/>
    </font>
    <font>
      <b val="true"/>
      <sz val="10"/>
      <color rgb="FF000000"/>
      <name val="Times New Roman"/>
      <family val="1"/>
      <charset val="204"/>
    </font>
  </fonts>
  <fills count="30">
    <fill>
      <patternFill patternType="none"/>
    </fill>
    <fill>
      <patternFill patternType="gray125"/>
    </fill>
    <fill>
      <patternFill patternType="solid">
        <fgColor rgb="FFFFFFFF"/>
        <bgColor rgb="FFF9FBE7"/>
      </patternFill>
    </fill>
    <fill>
      <patternFill patternType="solid">
        <fgColor rgb="FFA6A6A6"/>
        <bgColor rgb="FF999999"/>
      </patternFill>
    </fill>
    <fill>
      <patternFill patternType="solid">
        <fgColor rgb="FFFFB66C"/>
        <bgColor rgb="FFFFD966"/>
      </patternFill>
    </fill>
    <fill>
      <patternFill patternType="solid">
        <fgColor rgb="FFFFFF00"/>
        <bgColor rgb="FFFFD966"/>
      </patternFill>
    </fill>
    <fill>
      <patternFill patternType="solid">
        <fgColor rgb="FF666666"/>
        <bgColor rgb="FF616161"/>
      </patternFill>
    </fill>
    <fill>
      <patternFill patternType="solid">
        <fgColor rgb="FFB3CAC7"/>
        <bgColor rgb="FFADB9CA"/>
      </patternFill>
    </fill>
    <fill>
      <patternFill patternType="solid">
        <fgColor rgb="FFF9FBE7"/>
        <bgColor rgb="FFF2F2F2"/>
      </patternFill>
    </fill>
    <fill>
      <patternFill patternType="solid">
        <fgColor rgb="FF7986CB"/>
        <bgColor rgb="FF999999"/>
      </patternFill>
    </fill>
    <fill>
      <patternFill patternType="solid">
        <fgColor rgb="FF616161"/>
        <bgColor rgb="FF666666"/>
      </patternFill>
    </fill>
    <fill>
      <patternFill patternType="solid">
        <fgColor rgb="FF81D41A"/>
        <bgColor rgb="FFAFD095"/>
      </patternFill>
    </fill>
    <fill>
      <patternFill patternType="solid">
        <fgColor rgb="FFB1DBFD"/>
        <bgColor rgb="FFC5CAE9"/>
      </patternFill>
    </fill>
    <fill>
      <patternFill patternType="solid">
        <fgColor rgb="FFE8EAF6"/>
        <bgColor rgb="FFEDE7F6"/>
      </patternFill>
    </fill>
    <fill>
      <patternFill patternType="solid">
        <fgColor rgb="FFE91E63"/>
        <bgColor rgb="FFC9211E"/>
      </patternFill>
    </fill>
    <fill>
      <patternFill patternType="solid">
        <fgColor rgb="FFFFBF00"/>
        <bgColor rgb="FFFFC000"/>
      </patternFill>
    </fill>
    <fill>
      <patternFill patternType="solid">
        <fgColor rgb="FFEDE7F6"/>
        <bgColor rgb="FFE8EAF6"/>
      </patternFill>
    </fill>
    <fill>
      <patternFill patternType="solid">
        <fgColor rgb="FFD1C4E9"/>
        <bgColor rgb="FFC5CAE9"/>
      </patternFill>
    </fill>
    <fill>
      <patternFill patternType="solid">
        <fgColor rgb="FFC5CAE9"/>
        <bgColor rgb="FFD1C4E9"/>
      </patternFill>
    </fill>
    <fill>
      <patternFill patternType="solid">
        <fgColor rgb="FFFFD7D7"/>
        <bgColor rgb="FFF8CBAD"/>
      </patternFill>
    </fill>
    <fill>
      <patternFill patternType="solid">
        <fgColor rgb="FFAFD095"/>
        <bgColor rgb="FFB3CAC7"/>
      </patternFill>
    </fill>
    <fill>
      <patternFill patternType="solid">
        <fgColor rgb="FF999999"/>
        <bgColor rgb="FFA6A6A6"/>
      </patternFill>
    </fill>
    <fill>
      <patternFill patternType="solid">
        <fgColor rgb="FF9DC3E6"/>
        <bgColor rgb="FFADB9CA"/>
      </patternFill>
    </fill>
    <fill>
      <patternFill patternType="solid">
        <fgColor rgb="FFF8CBAD"/>
        <bgColor rgb="FFFFD7D7"/>
      </patternFill>
    </fill>
    <fill>
      <patternFill patternType="solid">
        <fgColor rgb="FFC5E0B4"/>
        <bgColor rgb="FFAFD095"/>
      </patternFill>
    </fill>
    <fill>
      <patternFill patternType="solid">
        <fgColor rgb="FFF2F2F2"/>
        <bgColor rgb="FFE8EAF6"/>
      </patternFill>
    </fill>
    <fill>
      <patternFill patternType="solid">
        <fgColor rgb="FFADB9CA"/>
        <bgColor rgb="FFB3CAC7"/>
      </patternFill>
    </fill>
    <fill>
      <patternFill patternType="solid">
        <fgColor rgb="FFFFC000"/>
        <bgColor rgb="FFFFBF00"/>
      </patternFill>
    </fill>
    <fill>
      <patternFill patternType="solid">
        <fgColor rgb="FFFF0000"/>
        <bgColor rgb="FFC9211E"/>
      </patternFill>
    </fill>
    <fill>
      <patternFill patternType="solid">
        <fgColor rgb="FFFF4000"/>
        <bgColor rgb="FFC9211E"/>
      </patternFill>
    </fill>
  </fills>
  <borders count="18">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medium"/>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top/>
      <bottom style="medium"/>
      <diagonal/>
    </border>
    <border diagonalUp="false" diagonalDown="false">
      <left style="thin">
        <color rgb="FF222A35"/>
      </left>
      <right style="thin">
        <color rgb="FF222A35"/>
      </right>
      <top style="medium"/>
      <bottom/>
      <diagonal/>
    </border>
    <border diagonalUp="false" diagonalDown="false">
      <left/>
      <right style="medium"/>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39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5" fontId="6"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general"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center" vertical="top" textRotation="0" wrapText="true" indent="0" shrinkToFit="false"/>
      <protection locked="true" hidden="false"/>
    </xf>
    <xf numFmtId="164" fontId="8" fillId="0" borderId="0" xfId="0" applyFont="true" applyBorder="fals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left"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true" indent="0" shrinkToFit="false"/>
      <protection locked="true" hidden="false"/>
    </xf>
    <xf numFmtId="166" fontId="9" fillId="0" borderId="0" xfId="0" applyFont="true" applyBorder="false" applyAlignment="true" applyProtection="true">
      <alignment horizontal="general" vertical="top" textRotation="0" wrapText="false" indent="0" shrinkToFit="false"/>
      <protection locked="true" hidden="false"/>
    </xf>
    <xf numFmtId="164" fontId="10" fillId="0" borderId="0" xfId="0" applyFont="true" applyBorder="true" applyAlignment="true" applyProtection="true">
      <alignment horizontal="center" vertical="top" textRotation="0" wrapText="tru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true" indent="0" shrinkToFit="false"/>
      <protection locked="true" hidden="false"/>
    </xf>
    <xf numFmtId="164" fontId="11" fillId="0" borderId="0" xfId="0" applyFont="true" applyBorder="false" applyAlignment="true" applyProtection="true">
      <alignment horizontal="left" vertical="center" textRotation="0" wrapText="true" indent="0" shrinkToFit="false"/>
      <protection locked="true" hidden="false"/>
    </xf>
    <xf numFmtId="165" fontId="11" fillId="0" borderId="0" xfId="0" applyFont="true" applyBorder="false" applyAlignment="true" applyProtection="true">
      <alignment horizontal="center" vertical="center" textRotation="0" wrapText="true" indent="0" shrinkToFit="false"/>
      <protection locked="true" hidden="false"/>
    </xf>
    <xf numFmtId="166" fontId="12" fillId="0" borderId="0" xfId="0" applyFont="true" applyBorder="false" applyAlignment="true" applyProtection="true">
      <alignment horizontal="general" vertical="top" textRotation="0" wrapText="false" indent="0" shrinkToFit="false"/>
      <protection locked="true" hidden="false"/>
    </xf>
    <xf numFmtId="164" fontId="10" fillId="2"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10" fillId="0" borderId="3" xfId="0" applyFont="true" applyBorder="true" applyAlignment="true" applyProtection="true">
      <alignment horizontal="center" vertical="center" textRotation="0" wrapText="true" indent="0" shrinkToFit="false"/>
      <protection locked="true" hidden="false"/>
    </xf>
    <xf numFmtId="164" fontId="10" fillId="0" borderId="3"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6" fontId="13" fillId="0" borderId="5" xfId="0" applyFont="true" applyBorder="true" applyAlignment="true" applyProtection="true">
      <alignment horizontal="center" vertical="top" textRotation="0" wrapText="true" indent="0" shrinkToFit="false"/>
      <protection locked="true" hidden="false"/>
    </xf>
    <xf numFmtId="166" fontId="10" fillId="0" borderId="5" xfId="0" applyFont="true" applyBorder="true" applyAlignment="true" applyProtection="true">
      <alignment horizontal="center" vertical="top" textRotation="0" wrapText="true" indent="0" shrinkToFit="false"/>
      <protection locked="true" hidden="false"/>
    </xf>
    <xf numFmtId="164" fontId="14" fillId="0" borderId="6" xfId="0" applyFont="true" applyBorder="true" applyAlignment="true" applyProtection="true">
      <alignment horizontal="center" vertical="top" textRotation="0" wrapText="true" indent="0" shrinkToFit="false"/>
      <protection locked="true" hidden="false"/>
    </xf>
    <xf numFmtId="164" fontId="10" fillId="0" borderId="4" xfId="0" applyFont="true" applyBorder="true" applyAlignment="true" applyProtection="true">
      <alignment horizontal="center" vertical="center" textRotation="0" wrapText="true" indent="0" shrinkToFit="false"/>
      <protection locked="true" hidden="false"/>
    </xf>
    <xf numFmtId="165" fontId="10" fillId="0" borderId="5" xfId="0" applyFont="true" applyBorder="true" applyAlignment="true" applyProtection="true">
      <alignment horizontal="center" vertical="center" textRotation="0" wrapText="true" indent="0" shrinkToFit="false"/>
      <protection locked="true" hidden="false"/>
    </xf>
    <xf numFmtId="164" fontId="10" fillId="0" borderId="7" xfId="0" applyFont="true" applyBorder="true" applyAlignment="true" applyProtection="true">
      <alignment horizontal="center" vertical="top" textRotation="0" wrapText="true" indent="0" shrinkToFit="false"/>
      <protection locked="true" hidden="false"/>
    </xf>
    <xf numFmtId="164" fontId="11" fillId="3" borderId="8" xfId="0" applyFont="true" applyBorder="true" applyAlignment="true" applyProtection="true">
      <alignment horizontal="center" vertical="top" textRotation="0" wrapText="false" indent="0" shrinkToFit="false"/>
      <protection locked="true" hidden="false"/>
    </xf>
    <xf numFmtId="164" fontId="11" fillId="0" borderId="6" xfId="0" applyFont="true" applyBorder="true" applyAlignment="true" applyProtection="true">
      <alignment horizontal="center" vertical="top" textRotation="0" wrapText="false" indent="0" shrinkToFit="false"/>
      <protection locked="true" hidden="false"/>
    </xf>
    <xf numFmtId="164" fontId="15" fillId="0" borderId="9" xfId="0" applyFont="true" applyBorder="true" applyAlignment="true" applyProtection="true">
      <alignment horizontal="left" vertical="top" textRotation="0" wrapText="true" indent="0" shrinkToFit="false"/>
      <protection locked="true" hidden="false"/>
    </xf>
    <xf numFmtId="164" fontId="16" fillId="0" borderId="9" xfId="0" applyFont="true" applyBorder="true" applyAlignment="true" applyProtection="true">
      <alignment horizontal="left" vertical="top" textRotation="0" wrapText="true" indent="0" shrinkToFit="false"/>
      <protection locked="true" hidden="false"/>
    </xf>
    <xf numFmtId="165" fontId="16" fillId="0" borderId="9" xfId="0" applyFont="true" applyBorder="true" applyAlignment="true" applyProtection="true">
      <alignment horizontal="left" vertical="top" textRotation="0" wrapText="true" indent="0" shrinkToFit="false"/>
      <protection locked="true" hidden="false"/>
    </xf>
    <xf numFmtId="164" fontId="16" fillId="0" borderId="7" xfId="0" applyFont="true" applyBorder="true" applyAlignment="true" applyProtection="true">
      <alignment horizontal="left" vertical="center" textRotation="0" wrapText="true" indent="0" shrinkToFit="false"/>
      <protection locked="true" hidden="false"/>
    </xf>
    <xf numFmtId="165" fontId="16" fillId="0" borderId="7" xfId="0" applyFont="true" applyBorder="true" applyAlignment="true" applyProtection="true">
      <alignment horizontal="center" vertical="center" textRotation="0" wrapText="true" indent="0" shrinkToFit="false"/>
      <protection locked="true" hidden="false"/>
    </xf>
    <xf numFmtId="165" fontId="10" fillId="0" borderId="7" xfId="0" applyFont="true" applyBorder="true" applyAlignment="true" applyProtection="true">
      <alignment horizontal="center" vertical="center" textRotation="0" wrapText="true" indent="0" shrinkToFit="false"/>
      <protection locked="true" hidden="false"/>
    </xf>
    <xf numFmtId="166" fontId="16" fillId="0" borderId="7" xfId="0" applyFont="true" applyBorder="true" applyAlignment="true" applyProtection="true">
      <alignment horizontal="left" vertical="top" textRotation="0" wrapText="true" indent="0" shrinkToFit="false"/>
      <protection locked="true" hidden="false"/>
    </xf>
    <xf numFmtId="164" fontId="16" fillId="0" borderId="7" xfId="0" applyFont="true" applyBorder="true" applyAlignment="true" applyProtection="true">
      <alignment horizontal="left" vertical="top" textRotation="0" wrapText="true" indent="0" shrinkToFit="false"/>
      <protection locked="true" hidden="false"/>
    </xf>
    <xf numFmtId="168" fontId="11" fillId="0" borderId="7" xfId="15" applyFont="true" applyBorder="true" applyAlignment="true" applyProtection="true">
      <alignment horizontal="center" vertical="top" textRotation="0" wrapText="true" indent="0" shrinkToFit="false"/>
      <protection locked="true" hidden="false"/>
    </xf>
    <xf numFmtId="164" fontId="11" fillId="0" borderId="0" xfId="0" applyFont="true" applyBorder="false" applyAlignment="true" applyProtection="true">
      <alignment horizontal="left" vertical="top" textRotation="0" wrapText="false" indent="0" shrinkToFit="false"/>
      <protection locked="true" hidden="false"/>
    </xf>
    <xf numFmtId="164" fontId="11" fillId="2" borderId="0" xfId="0" applyFont="true" applyBorder="false" applyAlignment="true" applyProtection="true">
      <alignment horizontal="center" vertical="top" textRotation="0" wrapText="false" indent="0" shrinkToFit="false"/>
      <protection locked="true" hidden="false"/>
    </xf>
    <xf numFmtId="164" fontId="11" fillId="2" borderId="8" xfId="0" applyFont="true" applyBorder="true" applyAlignment="true" applyProtection="true">
      <alignment horizontal="center" vertical="top" textRotation="0" wrapText="false" indent="0" shrinkToFit="false"/>
      <protection locked="true" hidden="false"/>
    </xf>
    <xf numFmtId="164" fontId="11" fillId="0" borderId="9" xfId="0" applyFont="true" applyBorder="true" applyAlignment="true" applyProtection="true">
      <alignment horizontal="left" vertical="center" textRotation="0" wrapText="true" indent="0" shrinkToFit="false"/>
      <protection locked="true" hidden="false"/>
    </xf>
    <xf numFmtId="165" fontId="11" fillId="0" borderId="9" xfId="0" applyFont="true" applyBorder="true" applyAlignment="true" applyProtection="true">
      <alignment horizontal="left" vertical="center" textRotation="0" wrapText="true" indent="0" shrinkToFit="false"/>
      <protection locked="true" hidden="false"/>
    </xf>
    <xf numFmtId="164" fontId="0" fillId="0" borderId="7" xfId="20" applyFont="true" applyBorder="true" applyAlignment="true" applyProtection="true">
      <alignment horizontal="left" vertical="center" textRotation="0" wrapText="true" indent="0" shrinkToFit="false"/>
      <protection locked="true" hidden="false"/>
    </xf>
    <xf numFmtId="165" fontId="6" fillId="0" borderId="7" xfId="0" applyFont="true" applyBorder="true" applyAlignment="true" applyProtection="true">
      <alignment horizontal="center" vertical="center" textRotation="0" wrapText="true" indent="0" shrinkToFit="false"/>
      <protection locked="true" hidden="false"/>
    </xf>
    <xf numFmtId="165" fontId="11" fillId="0" borderId="7" xfId="0" applyFont="true" applyBorder="true" applyAlignment="true" applyProtection="true">
      <alignment horizontal="center" vertical="center" textRotation="0" wrapText="true" indent="0" shrinkToFit="false"/>
      <protection locked="true" hidden="false"/>
    </xf>
    <xf numFmtId="165" fontId="18" fillId="0" borderId="0" xfId="0" applyFont="true" applyBorder="false" applyAlignment="true" applyProtection="true">
      <alignment horizontal="center" vertical="center" textRotation="0" wrapText="true" indent="0" shrinkToFit="false"/>
      <protection locked="true" hidden="false"/>
    </xf>
    <xf numFmtId="166" fontId="13" fillId="0" borderId="7" xfId="0" applyFont="true" applyBorder="true" applyAlignment="true" applyProtection="true">
      <alignment horizontal="left" vertical="center" textRotation="0" wrapText="true" indent="0" shrinkToFit="false"/>
      <protection locked="true" hidden="false"/>
    </xf>
    <xf numFmtId="164" fontId="19" fillId="0" borderId="7" xfId="0" applyFont="true" applyBorder="true" applyAlignment="true" applyProtection="true">
      <alignment horizontal="left" vertical="center" textRotation="0" wrapText="true" indent="0" shrinkToFit="false"/>
      <protection locked="true" hidden="false"/>
    </xf>
    <xf numFmtId="164" fontId="17" fillId="0" borderId="0" xfId="20" applyFont="true" applyBorder="true" applyAlignment="true" applyProtection="true">
      <alignment horizontal="left" vertical="bottom" textRotation="0" wrapText="false" indent="0" shrinkToFit="false"/>
      <protection locked="true" hidden="false"/>
    </xf>
    <xf numFmtId="169" fontId="18" fillId="0" borderId="0" xfId="0" applyFont="true" applyBorder="false" applyAlignment="true" applyProtection="true">
      <alignment horizontal="left" vertical="bottom" textRotation="0" wrapText="false" indent="0" shrinkToFit="false"/>
      <protection locked="true" hidden="false"/>
    </xf>
    <xf numFmtId="164" fontId="20" fillId="0" borderId="7" xfId="0" applyFont="true" applyBorder="true" applyAlignment="true" applyProtection="true">
      <alignment horizontal="left" vertical="center" textRotation="0" wrapText="true" indent="0" shrinkToFit="false"/>
      <protection locked="true" hidden="false"/>
    </xf>
    <xf numFmtId="164" fontId="17" fillId="0" borderId="7" xfId="20" applyFont="true" applyBorder="true" applyAlignment="true" applyProtection="true">
      <alignment horizontal="left" vertical="center" textRotation="0" wrapText="true" indent="0" shrinkToFit="false"/>
      <protection locked="true" hidden="false"/>
    </xf>
    <xf numFmtId="164" fontId="12" fillId="0" borderId="7" xfId="0" applyFont="true" applyBorder="true" applyAlignment="true" applyProtection="true">
      <alignment horizontal="left" vertical="center" textRotation="0" wrapText="true" indent="0" shrinkToFit="false"/>
      <protection locked="true" hidden="false"/>
    </xf>
    <xf numFmtId="164" fontId="6" fillId="0" borderId="7" xfId="0" applyFont="true" applyBorder="true" applyAlignment="true" applyProtection="true">
      <alignment horizontal="left" vertical="center" textRotation="0" wrapText="true" indent="0" shrinkToFit="false"/>
      <protection locked="true" hidden="false"/>
    </xf>
    <xf numFmtId="164" fontId="6" fillId="0" borderId="9" xfId="0" applyFont="true" applyBorder="true" applyAlignment="true" applyProtection="true">
      <alignment horizontal="left" vertical="center" textRotation="0" wrapText="true" indent="0" shrinkToFit="false"/>
      <protection locked="true" hidden="false"/>
    </xf>
    <xf numFmtId="165" fontId="6" fillId="0" borderId="9" xfId="0" applyFont="true" applyBorder="true" applyAlignment="true" applyProtection="true">
      <alignment horizontal="left" vertical="center" textRotation="0" wrapText="true" indent="0" shrinkToFit="false"/>
      <protection locked="true" hidden="false"/>
    </xf>
    <xf numFmtId="164" fontId="11" fillId="4" borderId="8" xfId="0" applyFont="true" applyBorder="true" applyAlignment="true" applyProtection="true">
      <alignment horizontal="center" vertical="top" textRotation="0" wrapText="false" indent="0" shrinkToFit="false"/>
      <protection locked="true" hidden="false"/>
    </xf>
    <xf numFmtId="169" fontId="11" fillId="4" borderId="6" xfId="0" applyFont="true" applyBorder="true" applyAlignment="true" applyProtection="true">
      <alignment horizontal="center" vertical="top" textRotation="0" wrapText="false" indent="0" shrinkToFit="false"/>
      <protection locked="true" hidden="false"/>
    </xf>
    <xf numFmtId="164" fontId="11" fillId="4" borderId="9" xfId="0" applyFont="true" applyBorder="true" applyAlignment="true" applyProtection="true">
      <alignment horizontal="left" vertical="center" textRotation="0" wrapText="true" indent="0" shrinkToFit="false"/>
      <protection locked="true" hidden="false"/>
    </xf>
    <xf numFmtId="165" fontId="11" fillId="4" borderId="9" xfId="0" applyFont="true" applyBorder="true" applyAlignment="true" applyProtection="true">
      <alignment horizontal="left" vertical="center" textRotation="0" wrapText="true" indent="0" shrinkToFit="false"/>
      <protection locked="true" hidden="false"/>
    </xf>
    <xf numFmtId="164" fontId="6" fillId="5" borderId="7" xfId="0" applyFont="true" applyBorder="true" applyAlignment="true" applyProtection="true">
      <alignment horizontal="left" vertical="center" textRotation="0" wrapText="true" indent="0" shrinkToFit="false"/>
      <protection locked="true" hidden="false"/>
    </xf>
    <xf numFmtId="165" fontId="11" fillId="5" borderId="7" xfId="0" applyFont="true" applyBorder="true" applyAlignment="true" applyProtection="true">
      <alignment horizontal="center" vertical="center" textRotation="0" wrapText="true" indent="0" shrinkToFit="false"/>
      <protection locked="true" hidden="false"/>
    </xf>
    <xf numFmtId="165" fontId="11" fillId="4" borderId="7" xfId="0" applyFont="true" applyBorder="true" applyAlignment="true" applyProtection="true">
      <alignment horizontal="center" vertical="center" textRotation="0" wrapText="true" indent="0" shrinkToFit="false"/>
      <protection locked="true" hidden="false"/>
    </xf>
    <xf numFmtId="164" fontId="6" fillId="4" borderId="7" xfId="0" applyFont="true" applyBorder="true" applyAlignment="true" applyProtection="true">
      <alignment horizontal="left" vertical="center" textRotation="0" wrapText="true" indent="0" shrinkToFit="false"/>
      <protection locked="true" hidden="false"/>
    </xf>
    <xf numFmtId="164" fontId="6" fillId="4" borderId="7" xfId="20" applyFont="true" applyBorder="true" applyAlignment="true" applyProtection="true">
      <alignment horizontal="left" vertical="center" textRotation="0" wrapText="true" indent="0" shrinkToFit="false"/>
      <protection locked="true" hidden="false"/>
    </xf>
    <xf numFmtId="166" fontId="13" fillId="4" borderId="7" xfId="0" applyFont="true" applyBorder="true" applyAlignment="true" applyProtection="true">
      <alignment horizontal="left" vertical="center" textRotation="0" wrapText="true" indent="0" shrinkToFit="false"/>
      <protection locked="true" hidden="false"/>
    </xf>
    <xf numFmtId="164" fontId="12" fillId="4" borderId="7" xfId="0" applyFont="true" applyBorder="true" applyAlignment="true" applyProtection="true">
      <alignment horizontal="left" vertical="center" textRotation="0" wrapText="true" indent="0" shrinkToFit="false"/>
      <protection locked="true" hidden="false"/>
    </xf>
    <xf numFmtId="168" fontId="11" fillId="4" borderId="7" xfId="15" applyFont="true" applyBorder="true" applyAlignment="true" applyProtection="true">
      <alignment horizontal="center" vertical="top" textRotation="0" wrapText="true" indent="0" shrinkToFit="false"/>
      <protection locked="true" hidden="false"/>
    </xf>
    <xf numFmtId="164" fontId="18" fillId="4" borderId="0" xfId="0" applyFont="true" applyBorder="false" applyAlignment="true" applyProtection="true">
      <alignment horizontal="left" vertical="bottom" textRotation="0" wrapText="false" indent="0" shrinkToFit="false"/>
      <protection locked="true" hidden="false"/>
    </xf>
    <xf numFmtId="164" fontId="11" fillId="4" borderId="0" xfId="0" applyFont="true" applyBorder="false" applyAlignment="true" applyProtection="true">
      <alignment horizontal="left" vertical="top" textRotation="0" wrapText="false" indent="0" shrinkToFit="false"/>
      <protection locked="tru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0" fillId="4" borderId="7" xfId="20" applyFont="true" applyBorder="true" applyAlignment="true" applyProtection="true">
      <alignment horizontal="left" vertical="center" textRotation="0" wrapText="true" indent="0" shrinkToFit="false"/>
      <protection locked="true" hidden="false"/>
    </xf>
    <xf numFmtId="166" fontId="11" fillId="0" borderId="7"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left" vertical="center" textRotation="0" wrapText="true" indent="0" shrinkToFit="false"/>
      <protection locked="true" hidden="false"/>
    </xf>
    <xf numFmtId="166" fontId="21" fillId="0" borderId="7" xfId="0" applyFont="true" applyBorder="true" applyAlignment="true" applyProtection="true">
      <alignment horizontal="left" vertical="center" textRotation="0" wrapText="true" indent="0" shrinkToFit="false"/>
      <protection locked="true" hidden="false"/>
    </xf>
    <xf numFmtId="166" fontId="22" fillId="0" borderId="7" xfId="0" applyFont="true" applyBorder="true" applyAlignment="true" applyProtection="true">
      <alignment horizontal="left" vertical="center" textRotation="0" wrapText="true" indent="0" shrinkToFit="false"/>
      <protection locked="true" hidden="false"/>
    </xf>
    <xf numFmtId="164" fontId="23" fillId="0" borderId="7" xfId="20" applyFont="true" applyBorder="true" applyAlignment="true" applyProtection="true">
      <alignment horizontal="left" vertical="center" textRotation="0" wrapText="true" indent="0" shrinkToFit="false"/>
      <protection locked="true" hidden="false"/>
    </xf>
    <xf numFmtId="166" fontId="24" fillId="0" borderId="7" xfId="0" applyFont="true" applyBorder="true" applyAlignment="true" applyProtection="true">
      <alignment horizontal="left" vertical="center" textRotation="0" wrapText="true" indent="0" shrinkToFit="false"/>
      <protection locked="true" hidden="false"/>
    </xf>
    <xf numFmtId="164" fontId="17" fillId="0" borderId="0" xfId="20" applyFont="true" applyBorder="true" applyAlignment="true" applyProtection="true">
      <alignment horizontal="left" vertical="center" textRotation="0" wrapText="true" indent="0" shrinkToFit="false"/>
      <protection locked="true" hidden="false"/>
    </xf>
    <xf numFmtId="164" fontId="25" fillId="0" borderId="7" xfId="20" applyFont="true" applyBorder="true" applyAlignment="true" applyProtection="true">
      <alignment horizontal="left" vertical="center" textRotation="0" wrapText="true" indent="0" shrinkToFit="false"/>
      <protection locked="true" hidden="false"/>
    </xf>
    <xf numFmtId="165" fontId="0" fillId="0" borderId="7" xfId="0" applyFont="true" applyBorder="true" applyAlignment="true" applyProtection="true">
      <alignment horizontal="center" vertical="center" textRotation="0" wrapText="true" indent="0" shrinkToFit="false"/>
      <protection locked="true" hidden="false"/>
    </xf>
    <xf numFmtId="164" fontId="11" fillId="6" borderId="8" xfId="0" applyFont="true" applyBorder="true" applyAlignment="true" applyProtection="true">
      <alignment horizontal="center" vertical="top" textRotation="0" wrapText="false" indent="0" shrinkToFit="false"/>
      <protection locked="true" hidden="false"/>
    </xf>
    <xf numFmtId="164" fontId="18" fillId="6" borderId="0" xfId="0" applyFont="true" applyBorder="false" applyAlignment="true" applyProtection="true">
      <alignment horizontal="left" vertical="bottom" textRotation="0" wrapText="false" indent="0" shrinkToFit="false"/>
      <protection locked="true" hidden="false"/>
    </xf>
    <xf numFmtId="164" fontId="11" fillId="6" borderId="0" xfId="0" applyFont="true" applyBorder="false" applyAlignment="true" applyProtection="true">
      <alignment horizontal="left" vertical="top" textRotation="0" wrapText="false" indent="0" shrinkToFit="false"/>
      <protection locked="true" hidden="false"/>
    </xf>
    <xf numFmtId="164" fontId="11" fillId="2" borderId="0" xfId="0" applyFont="true" applyBorder="false" applyAlignment="true" applyProtection="true">
      <alignment horizontal="left" vertical="top" textRotation="0" wrapText="false" indent="0" shrinkToFit="false"/>
      <protection locked="true" hidden="false"/>
    </xf>
    <xf numFmtId="164" fontId="11" fillId="0" borderId="8" xfId="0" applyFont="true" applyBorder="true" applyAlignment="true" applyProtection="true">
      <alignment horizontal="center" vertical="top" textRotation="0" wrapText="false" indent="0" shrinkToFit="false"/>
      <protection locked="true" hidden="false"/>
    </xf>
    <xf numFmtId="164" fontId="11" fillId="7" borderId="8" xfId="0" applyFont="true" applyBorder="true" applyAlignment="true" applyProtection="true">
      <alignment horizontal="center" vertical="top" textRotation="0" wrapText="false" indent="0" shrinkToFit="false"/>
      <protection locked="true" hidden="false"/>
    </xf>
    <xf numFmtId="169" fontId="11" fillId="7" borderId="6" xfId="0" applyFont="true" applyBorder="true" applyAlignment="true" applyProtection="true">
      <alignment horizontal="center" vertical="top"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5" fontId="11" fillId="7" borderId="9" xfId="0" applyFont="true" applyBorder="true" applyAlignment="true" applyProtection="true">
      <alignment horizontal="left" vertical="center" textRotation="0" wrapText="true" indent="0" shrinkToFit="false"/>
      <protection locked="true" hidden="false"/>
    </xf>
    <xf numFmtId="164" fontId="6" fillId="7" borderId="7" xfId="0" applyFont="true" applyBorder="true" applyAlignment="true" applyProtection="true">
      <alignment horizontal="left" vertical="center" textRotation="0" wrapText="true" indent="0" shrinkToFit="false"/>
      <protection locked="true" hidden="false"/>
    </xf>
    <xf numFmtId="165" fontId="11" fillId="7" borderId="7" xfId="0" applyFont="true" applyBorder="true" applyAlignment="true" applyProtection="true">
      <alignment horizontal="center" vertical="center" textRotation="0" wrapText="true" indent="0" shrinkToFit="false"/>
      <protection locked="true" hidden="false"/>
    </xf>
    <xf numFmtId="164" fontId="27" fillId="7" borderId="7" xfId="20" applyFont="true" applyBorder="true" applyAlignment="true" applyProtection="true">
      <alignment horizontal="left" vertical="center" textRotation="0" wrapText="true" indent="0" shrinkToFit="false"/>
      <protection locked="true" hidden="false"/>
    </xf>
    <xf numFmtId="166" fontId="13" fillId="7" borderId="7" xfId="0" applyFont="true" applyBorder="true" applyAlignment="true" applyProtection="true">
      <alignment horizontal="left" vertical="center" textRotation="0" wrapText="true" indent="0" shrinkToFit="false"/>
      <protection locked="true" hidden="false"/>
    </xf>
    <xf numFmtId="164" fontId="12" fillId="7" borderId="7" xfId="0" applyFont="true" applyBorder="true" applyAlignment="true" applyProtection="true">
      <alignment horizontal="left" vertical="center" textRotation="0" wrapText="true" indent="0" shrinkToFit="false"/>
      <protection locked="true" hidden="false"/>
    </xf>
    <xf numFmtId="168" fontId="11" fillId="7" borderId="7" xfId="15" applyFont="true" applyBorder="true" applyAlignment="true" applyProtection="true">
      <alignment horizontal="center" vertical="top" textRotation="0" wrapText="true" indent="0" shrinkToFit="false"/>
      <protection locked="true" hidden="false"/>
    </xf>
    <xf numFmtId="164" fontId="18" fillId="7" borderId="0" xfId="0" applyFont="true" applyBorder="false" applyAlignment="true" applyProtection="true">
      <alignment horizontal="left" vertical="bottom" textRotation="0" wrapText="false" indent="0" shrinkToFit="false"/>
      <protection locked="true" hidden="false"/>
    </xf>
    <xf numFmtId="164" fontId="11" fillId="7" borderId="0" xfId="0" applyFont="true" applyBorder="false" applyAlignment="true" applyProtection="true">
      <alignment horizontal="left" vertical="top" textRotation="0" wrapText="false" indent="0" shrinkToFit="false"/>
      <protection locked="true" hidden="false"/>
    </xf>
    <xf numFmtId="164" fontId="0" fillId="7" borderId="0" xfId="0" applyFont="false" applyBorder="false" applyAlignment="true" applyProtection="true">
      <alignment horizontal="general" vertical="bottom" textRotation="0" wrapText="false" indent="0" shrinkToFit="false"/>
      <protection locked="true" hidden="false"/>
    </xf>
    <xf numFmtId="164" fontId="17" fillId="7" borderId="0" xfId="20" applyFont="true" applyBorder="true" applyAlignment="true" applyProtection="true">
      <alignment horizontal="left" vertical="bottom" textRotation="0" wrapText="false" indent="0" shrinkToFit="false"/>
      <protection locked="true" hidden="false"/>
    </xf>
    <xf numFmtId="170" fontId="18" fillId="7" borderId="0" xfId="0" applyFont="true" applyBorder="false" applyAlignment="true" applyProtection="true">
      <alignment horizontal="left" vertical="bottom" textRotation="0" wrapText="false" indent="0" shrinkToFit="false"/>
      <protection locked="true" hidden="false"/>
    </xf>
    <xf numFmtId="164" fontId="18" fillId="7" borderId="0" xfId="0" applyFont="true" applyBorder="false" applyAlignment="true" applyProtection="true">
      <alignment horizontal="left" vertical="bottom" textRotation="0" wrapText="true" indent="0" shrinkToFit="false"/>
      <protection locked="true" hidden="false"/>
    </xf>
    <xf numFmtId="170" fontId="18" fillId="0" borderId="0" xfId="0" applyFont="true" applyBorder="false" applyAlignment="true" applyProtection="true">
      <alignment horizontal="left" vertical="bottom" textRotation="0" wrapText="false" indent="0" shrinkToFit="false"/>
      <protection locked="true" hidden="false"/>
    </xf>
    <xf numFmtId="164" fontId="18" fillId="0" borderId="0" xfId="0" applyFont="true" applyBorder="false" applyAlignment="true" applyProtection="true">
      <alignment horizontal="left" vertical="bottom" textRotation="0" wrapText="true" indent="0" shrinkToFit="false"/>
      <protection locked="true" hidden="false"/>
    </xf>
    <xf numFmtId="164" fontId="11" fillId="0" borderId="9" xfId="0" applyFont="true" applyBorder="true" applyAlignment="true" applyProtection="true">
      <alignment horizontal="left" vertical="top" textRotation="0" wrapText="true" indent="0" shrinkToFit="false"/>
      <protection locked="true" hidden="false"/>
    </xf>
    <xf numFmtId="165" fontId="11" fillId="0" borderId="9" xfId="0" applyFont="true" applyBorder="true" applyAlignment="true" applyProtection="true">
      <alignment horizontal="left" vertical="top" textRotation="0" wrapText="true" indent="0" shrinkToFit="false"/>
      <protection locked="true" hidden="false"/>
    </xf>
    <xf numFmtId="166" fontId="20" fillId="0" borderId="7" xfId="0" applyFont="true" applyBorder="true" applyAlignment="true" applyProtection="true">
      <alignment horizontal="left" vertical="center" textRotation="0" wrapText="true" indent="0" shrinkToFit="false"/>
      <protection locked="true" hidden="false"/>
    </xf>
    <xf numFmtId="164" fontId="11" fillId="0" borderId="9" xfId="0" applyFont="true" applyBorder="true" applyAlignment="true" applyProtection="true">
      <alignment horizontal="general" vertical="top" textRotation="0" wrapText="false" indent="0" shrinkToFit="false"/>
      <protection locked="true" hidden="false"/>
    </xf>
    <xf numFmtId="164" fontId="11" fillId="0" borderId="10" xfId="0" applyFont="true" applyBorder="true" applyAlignment="true" applyProtection="true">
      <alignment horizontal="general" vertical="top" textRotation="0" wrapText="false" indent="0" shrinkToFit="false"/>
      <protection locked="true" hidden="false"/>
    </xf>
    <xf numFmtId="164" fontId="11" fillId="0" borderId="10" xfId="0" applyFont="true" applyBorder="true" applyAlignment="true" applyProtection="true">
      <alignment horizontal="left" vertical="center" textRotation="0" wrapText="true" indent="0" shrinkToFit="false"/>
      <protection locked="true" hidden="false"/>
    </xf>
    <xf numFmtId="165" fontId="11" fillId="0" borderId="10" xfId="0" applyFont="true" applyBorder="true" applyAlignment="true" applyProtection="true">
      <alignment horizontal="center" vertical="center" textRotation="0" wrapText="true" indent="0" shrinkToFit="false"/>
      <protection locked="true" hidden="false"/>
    </xf>
    <xf numFmtId="165" fontId="11" fillId="0" borderId="11" xfId="0" applyFont="true" applyBorder="true" applyAlignment="true" applyProtection="true">
      <alignment horizontal="center" vertical="center" textRotation="0" wrapText="true" indent="0" shrinkToFit="false"/>
      <protection locked="true" hidden="false"/>
    </xf>
    <xf numFmtId="166" fontId="13" fillId="0" borderId="7" xfId="0" applyFont="true" applyBorder="true" applyAlignment="true" applyProtection="true">
      <alignment horizontal="left" vertical="top" textRotation="0" wrapText="true" indent="0" shrinkToFit="false"/>
      <protection locked="true" hidden="false"/>
    </xf>
    <xf numFmtId="164" fontId="11" fillId="0" borderId="7" xfId="0" applyFont="true" applyBorder="true" applyAlignment="true" applyProtection="true">
      <alignment horizontal="left" vertical="top" textRotation="0" wrapText="true" indent="0" shrinkToFit="false"/>
      <protection locked="true" hidden="false"/>
    </xf>
    <xf numFmtId="164" fontId="11" fillId="0" borderId="0" xfId="0" applyFont="true" applyBorder="true" applyAlignment="true" applyProtection="true">
      <alignment horizontal="general" vertical="top" textRotation="0" wrapText="false" indent="0" shrinkToFit="false"/>
      <protection locked="true" hidden="false"/>
    </xf>
    <xf numFmtId="164" fontId="11" fillId="0" borderId="6" xfId="0" applyFont="true" applyBorder="true" applyAlignment="true" applyProtection="true">
      <alignment horizontal="center" vertical="top" textRotation="0" wrapText="true" indent="0" shrinkToFit="false"/>
      <protection locked="true" hidden="false"/>
    </xf>
    <xf numFmtId="164" fontId="28" fillId="0" borderId="9" xfId="0" applyFont="true" applyBorder="true" applyAlignment="true" applyProtection="true">
      <alignment horizontal="left" vertical="top" textRotation="0" wrapText="true" indent="0" shrinkToFit="false"/>
      <protection locked="true" hidden="false"/>
    </xf>
    <xf numFmtId="164" fontId="6" fillId="4" borderId="0" xfId="0" applyFont="true" applyBorder="false" applyAlignment="true" applyProtection="true">
      <alignment horizontal="general" vertical="top" textRotation="0" wrapText="false" indent="0" shrinkToFit="false"/>
      <protection locked="true" hidden="false"/>
    </xf>
    <xf numFmtId="164" fontId="11" fillId="4" borderId="9" xfId="0" applyFont="true" applyBorder="true" applyAlignment="true" applyProtection="true">
      <alignment horizontal="left" vertical="top" textRotation="0" wrapText="true" indent="0" shrinkToFit="false"/>
      <protection locked="true" hidden="false"/>
    </xf>
    <xf numFmtId="165" fontId="11" fillId="4" borderId="9" xfId="0" applyFont="true" applyBorder="true" applyAlignment="true" applyProtection="true">
      <alignment horizontal="left" vertical="top" textRotation="0" wrapText="true" indent="0" shrinkToFit="false"/>
      <protection locked="true" hidden="false"/>
    </xf>
    <xf numFmtId="166" fontId="13" fillId="4" borderId="7" xfId="0" applyFont="true" applyBorder="true" applyAlignment="true" applyProtection="true">
      <alignment horizontal="left" vertical="top" textRotation="0" wrapText="true" indent="0" shrinkToFit="false"/>
      <protection locked="true" hidden="false"/>
    </xf>
    <xf numFmtId="164" fontId="17" fillId="4" borderId="7" xfId="20" applyFont="true" applyBorder="true" applyAlignment="true" applyProtection="true">
      <alignment horizontal="left" vertical="center" textRotation="0" wrapText="true" indent="0" shrinkToFit="false"/>
      <protection locked="true" hidden="false"/>
    </xf>
    <xf numFmtId="164" fontId="6" fillId="0" borderId="7" xfId="0" applyFont="true" applyBorder="true" applyAlignment="true" applyProtection="true">
      <alignment horizontal="general" vertical="top" textRotation="0" wrapText="true" indent="0" shrinkToFit="false"/>
      <protection locked="true" hidden="false"/>
    </xf>
    <xf numFmtId="164" fontId="0" fillId="0" borderId="7" xfId="0" applyFont="false" applyBorder="true" applyAlignment="true" applyProtection="true">
      <alignment horizontal="general" vertical="bottom" textRotation="0" wrapText="true" indent="0" shrinkToFit="false"/>
      <protection locked="true" hidden="false"/>
    </xf>
    <xf numFmtId="164" fontId="11" fillId="4" borderId="7" xfId="0" applyFont="true" applyBorder="true" applyAlignment="true" applyProtection="true">
      <alignment horizontal="left" vertical="top" textRotation="0" wrapText="true" indent="0" shrinkToFit="false"/>
      <protection locked="true" hidden="false"/>
    </xf>
    <xf numFmtId="164" fontId="11" fillId="0" borderId="7" xfId="0" applyFont="true" applyBorder="true" applyAlignment="true" applyProtection="true">
      <alignment horizontal="left" vertical="center" textRotation="0" wrapText="true" indent="0" shrinkToFit="false"/>
      <protection locked="true" hidden="false"/>
    </xf>
    <xf numFmtId="166" fontId="11" fillId="0" borderId="7" xfId="0" applyFont="true" applyBorder="true" applyAlignment="true" applyProtection="true">
      <alignment horizontal="left" vertical="top" textRotation="0" wrapText="true" indent="0" shrinkToFit="false"/>
      <protection locked="true" hidden="false"/>
    </xf>
    <xf numFmtId="164" fontId="20" fillId="0" borderId="7" xfId="0" applyFont="true" applyBorder="true" applyAlignment="true" applyProtection="true">
      <alignment horizontal="left" vertical="top" textRotation="0" wrapText="true" indent="0" shrinkToFit="false"/>
      <protection locked="true" hidden="false"/>
    </xf>
    <xf numFmtId="164" fontId="11" fillId="0" borderId="7" xfId="0" applyFont="true" applyBorder="true" applyAlignment="true" applyProtection="true">
      <alignment horizontal="general" vertical="top" textRotation="0" wrapText="true" indent="0" shrinkToFit="false"/>
      <protection locked="true" hidden="false"/>
    </xf>
    <xf numFmtId="164" fontId="6" fillId="0" borderId="7" xfId="0" applyFont="true" applyBorder="true" applyAlignment="true" applyProtection="true">
      <alignment horizontal="left" vertical="top" textRotation="0" wrapText="true" indent="0" shrinkToFit="false"/>
      <protection locked="true" hidden="false"/>
    </xf>
    <xf numFmtId="164" fontId="11" fillId="2" borderId="10" xfId="0" applyFont="true" applyBorder="true" applyAlignment="true" applyProtection="true">
      <alignment horizontal="general" vertical="top" textRotation="0" wrapText="false" indent="0" shrinkToFit="false"/>
      <protection locked="true" hidden="false"/>
    </xf>
    <xf numFmtId="164" fontId="10" fillId="2" borderId="10" xfId="0" applyFont="true" applyBorder="true" applyAlignment="true" applyProtection="true">
      <alignment horizontal="general" vertical="top" textRotation="0" wrapText="false" indent="0" shrinkToFit="false"/>
      <protection locked="true" hidden="false"/>
    </xf>
    <xf numFmtId="164" fontId="11" fillId="2" borderId="10" xfId="0" applyFont="true" applyBorder="true" applyAlignment="true" applyProtection="true">
      <alignment horizontal="left" vertical="center" textRotation="0" wrapText="true" indent="0" shrinkToFit="false"/>
      <protection locked="true" hidden="false"/>
    </xf>
    <xf numFmtId="165" fontId="11" fillId="2" borderId="10" xfId="0" applyFont="true" applyBorder="true" applyAlignment="true" applyProtection="true">
      <alignment horizontal="center" vertical="center" textRotation="0" wrapText="true" indent="0" shrinkToFit="false"/>
      <protection locked="true" hidden="false"/>
    </xf>
    <xf numFmtId="165" fontId="10" fillId="2" borderId="7" xfId="0" applyFont="true" applyBorder="true" applyAlignment="true" applyProtection="true">
      <alignment horizontal="center" vertical="center" textRotation="0" wrapText="true" indent="0" shrinkToFit="false"/>
      <protection locked="true" hidden="false"/>
    </xf>
    <xf numFmtId="164" fontId="11" fillId="2" borderId="7" xfId="0" applyFont="true" applyBorder="true" applyAlignment="true" applyProtection="true">
      <alignment horizontal="left" vertical="center" textRotation="0" wrapText="true" indent="0" shrinkToFit="false"/>
      <protection locked="true" hidden="false"/>
    </xf>
    <xf numFmtId="165" fontId="11" fillId="2" borderId="7" xfId="0" applyFont="true" applyBorder="true" applyAlignment="true" applyProtection="true">
      <alignment horizontal="center" vertical="center" textRotation="0" wrapText="true" indent="0" shrinkToFit="false"/>
      <protection locked="true" hidden="false"/>
    </xf>
    <xf numFmtId="166" fontId="13" fillId="2" borderId="7" xfId="0" applyFont="true" applyBorder="true" applyAlignment="true" applyProtection="true">
      <alignment horizontal="left" vertical="top" textRotation="0" wrapText="true" indent="0" shrinkToFit="false"/>
      <protection locked="true" hidden="false"/>
    </xf>
    <xf numFmtId="164" fontId="11" fillId="0" borderId="7" xfId="0" applyFont="true" applyBorder="true" applyAlignment="true" applyProtection="true">
      <alignment horizontal="general" vertical="top" textRotation="0" wrapText="false" indent="0" shrinkToFit="false"/>
      <protection locked="true" hidden="false"/>
    </xf>
    <xf numFmtId="164" fontId="11" fillId="2" borderId="7" xfId="0" applyFont="true" applyBorder="true" applyAlignment="true" applyProtection="true">
      <alignment horizontal="general" vertical="top" textRotation="0" wrapText="false" indent="0" shrinkToFit="false"/>
      <protection locked="true" hidden="false"/>
    </xf>
    <xf numFmtId="164" fontId="11" fillId="2" borderId="7" xfId="0" applyFont="true" applyBorder="true" applyAlignment="true" applyProtection="true">
      <alignment horizontal="general" vertical="top" textRotation="0" wrapText="true" indent="0" shrinkToFit="false"/>
      <protection locked="true" hidden="false"/>
    </xf>
    <xf numFmtId="164" fontId="11" fillId="8" borderId="7" xfId="0" applyFont="true" applyBorder="true" applyAlignment="true" applyProtection="true">
      <alignment horizontal="left" vertical="center" textRotation="0" wrapText="true" indent="0" shrinkToFit="false"/>
      <protection locked="true" hidden="false"/>
    </xf>
    <xf numFmtId="165" fontId="11" fillId="8" borderId="7" xfId="0" applyFont="true" applyBorder="true" applyAlignment="true" applyProtection="true">
      <alignment horizontal="center" vertical="center" textRotation="0" wrapText="true" indent="0" shrinkToFit="false"/>
      <protection locked="true" hidden="false"/>
    </xf>
    <xf numFmtId="166" fontId="13" fillId="8" borderId="7" xfId="0" applyFont="true" applyBorder="true" applyAlignment="true" applyProtection="true">
      <alignment horizontal="left" vertical="top" textRotation="0" wrapText="true" indent="0" shrinkToFit="false"/>
      <protection locked="true" hidden="false"/>
    </xf>
    <xf numFmtId="168" fontId="29" fillId="9" borderId="7" xfId="15" applyFont="true" applyBorder="true" applyAlignment="true" applyProtection="true">
      <alignment horizontal="center" vertical="top" textRotation="0" wrapText="true" indent="0" shrinkToFit="false"/>
      <protection locked="true" hidden="false"/>
    </xf>
    <xf numFmtId="165" fontId="6" fillId="0" borderId="7" xfId="0" applyFont="true" applyBorder="true" applyAlignment="true" applyProtection="true">
      <alignment horizontal="general" vertical="top" textRotation="0" wrapText="true" indent="0" shrinkToFit="false"/>
      <protection locked="true" hidden="false"/>
    </xf>
    <xf numFmtId="166" fontId="22" fillId="8" borderId="7" xfId="0" applyFont="true" applyBorder="true" applyAlignment="true" applyProtection="true">
      <alignment horizontal="left" vertical="top" textRotation="0" wrapText="true" indent="0" shrinkToFit="false"/>
      <protection locked="true" hidden="false"/>
    </xf>
    <xf numFmtId="164" fontId="6" fillId="10" borderId="0" xfId="0" applyFont="true" applyBorder="false" applyAlignment="true" applyProtection="true">
      <alignment horizontal="general" vertical="top" textRotation="0" wrapText="false" indent="0" shrinkToFit="false"/>
      <protection locked="true" hidden="false"/>
    </xf>
    <xf numFmtId="164" fontId="29" fillId="2" borderId="7" xfId="0" applyFont="true" applyBorder="true" applyAlignment="true" applyProtection="true">
      <alignment horizontal="left" vertical="top" textRotation="0" wrapText="true" indent="0" shrinkToFit="false"/>
      <protection locked="true" hidden="false"/>
    </xf>
    <xf numFmtId="166" fontId="29" fillId="2" borderId="7" xfId="0" applyFont="true" applyBorder="true" applyAlignment="true" applyProtection="true">
      <alignment horizontal="left" vertical="top" textRotation="0" wrapText="true" indent="0" shrinkToFit="false"/>
      <protection locked="true" hidden="false"/>
    </xf>
    <xf numFmtId="165" fontId="29" fillId="2" borderId="7" xfId="0" applyFont="true" applyBorder="true" applyAlignment="true" applyProtection="true">
      <alignment horizontal="center" vertical="top" textRotation="0" wrapText="true" indent="0" shrinkToFit="false"/>
      <protection locked="true" hidden="false"/>
    </xf>
    <xf numFmtId="166" fontId="22" fillId="2" borderId="7" xfId="0" applyFont="true" applyBorder="true" applyAlignment="true" applyProtection="true">
      <alignment horizontal="left" vertical="top" textRotation="0" wrapText="true" indent="0" shrinkToFit="false"/>
      <protection locked="true" hidden="false"/>
    </xf>
    <xf numFmtId="164" fontId="11" fillId="11" borderId="7" xfId="0" applyFont="true" applyBorder="true" applyAlignment="true" applyProtection="true">
      <alignment horizontal="general" vertical="top" textRotation="0" wrapText="true" indent="0" shrinkToFit="false"/>
      <protection locked="true" hidden="false"/>
    </xf>
    <xf numFmtId="164" fontId="11" fillId="11" borderId="7" xfId="0" applyFont="true" applyBorder="true" applyAlignment="true" applyProtection="true">
      <alignment horizontal="general" vertical="top" textRotation="0" wrapText="false" indent="0" shrinkToFit="false"/>
      <protection locked="true" hidden="false"/>
    </xf>
    <xf numFmtId="164" fontId="11" fillId="11" borderId="7" xfId="0" applyFont="true" applyBorder="true" applyAlignment="true" applyProtection="true">
      <alignment horizontal="left" vertical="center" textRotation="0" wrapText="true" indent="0" shrinkToFit="false"/>
      <protection locked="true" hidden="false"/>
    </xf>
    <xf numFmtId="165" fontId="11" fillId="11" borderId="7" xfId="0" applyFont="true" applyBorder="true" applyAlignment="true" applyProtection="true">
      <alignment horizontal="center" vertical="center" textRotation="0" wrapText="true" indent="0" shrinkToFit="false"/>
      <protection locked="true" hidden="false"/>
    </xf>
    <xf numFmtId="166" fontId="13" fillId="11" borderId="7" xfId="0" applyFont="true" applyBorder="true" applyAlignment="true" applyProtection="true">
      <alignment horizontal="left" vertical="top" textRotation="0" wrapText="true" indent="0" shrinkToFit="false"/>
      <protection locked="true" hidden="false"/>
    </xf>
    <xf numFmtId="164" fontId="20" fillId="0" borderId="7" xfId="0" applyFont="true" applyBorder="true" applyAlignment="true" applyProtection="true">
      <alignment horizontal="general" vertical="top" textRotation="0" wrapText="true" indent="0" shrinkToFit="false"/>
      <protection locked="true" hidden="false"/>
    </xf>
    <xf numFmtId="164" fontId="6" fillId="11" borderId="0" xfId="0" applyFont="true" applyBorder="false" applyAlignment="true" applyProtection="true">
      <alignment horizontal="general" vertical="top" textRotation="0" wrapText="false" indent="0" shrinkToFit="false"/>
      <protection locked="true" hidden="false"/>
    </xf>
    <xf numFmtId="164" fontId="11" fillId="11" borderId="6" xfId="0" applyFont="true" applyBorder="true" applyAlignment="true" applyProtection="true">
      <alignment horizontal="center" vertical="top" textRotation="0" wrapText="false" indent="0" shrinkToFit="false"/>
      <protection locked="true" hidden="false"/>
    </xf>
    <xf numFmtId="166" fontId="13" fillId="12" borderId="7" xfId="0" applyFont="true" applyBorder="true" applyAlignment="true" applyProtection="true">
      <alignment horizontal="left" vertical="top" textRotation="0" wrapText="true" indent="0" shrinkToFit="false"/>
      <protection locked="true" hidden="false"/>
    </xf>
    <xf numFmtId="166" fontId="11" fillId="11" borderId="7" xfId="0" applyFont="true" applyBorder="true" applyAlignment="true" applyProtection="true">
      <alignment horizontal="left" vertical="top" textRotation="0" wrapText="true" indent="0" shrinkToFit="false"/>
      <protection locked="true" hidden="false"/>
    </xf>
    <xf numFmtId="164" fontId="11" fillId="11" borderId="0" xfId="0" applyFont="true" applyBorder="false" applyAlignment="true" applyProtection="true">
      <alignment horizontal="general" vertical="top" textRotation="0" wrapText="false" indent="0" shrinkToFit="false"/>
      <protection locked="true" hidden="false"/>
    </xf>
    <xf numFmtId="164" fontId="6" fillId="11" borderId="7" xfId="0" applyFont="true" applyBorder="true" applyAlignment="true" applyProtection="true">
      <alignment horizontal="general" vertical="top" textRotation="0" wrapText="true" indent="0" shrinkToFit="false"/>
      <protection locked="true" hidden="false"/>
    </xf>
    <xf numFmtId="169" fontId="0" fillId="11" borderId="7" xfId="0" applyFont="false" applyBorder="true" applyAlignment="true" applyProtection="true">
      <alignment horizontal="general" vertical="bottom" textRotation="0" wrapText="true" indent="0" shrinkToFit="false"/>
      <protection locked="true" hidden="false"/>
    </xf>
    <xf numFmtId="164" fontId="26" fillId="11" borderId="7" xfId="0" applyFont="true" applyBorder="true" applyAlignment="true" applyProtection="true">
      <alignment horizontal="general" vertical="top" textRotation="0" wrapText="true" indent="0" shrinkToFit="false"/>
      <protection locked="true" hidden="false"/>
    </xf>
    <xf numFmtId="164" fontId="26" fillId="11" borderId="7" xfId="0" applyFont="true" applyBorder="true" applyAlignment="true" applyProtection="true">
      <alignment horizontal="general" vertical="top" textRotation="0" wrapText="false" indent="0" shrinkToFit="false"/>
      <protection locked="true" hidden="false"/>
    </xf>
    <xf numFmtId="164" fontId="26" fillId="11" borderId="7" xfId="0" applyFont="true" applyBorder="true" applyAlignment="true" applyProtection="true">
      <alignment horizontal="left" vertical="center" textRotation="0" wrapText="true" indent="0" shrinkToFit="false"/>
      <protection locked="true" hidden="false"/>
    </xf>
    <xf numFmtId="165" fontId="26" fillId="11" borderId="7" xfId="0" applyFont="true" applyBorder="true" applyAlignment="true" applyProtection="true">
      <alignment horizontal="center" vertical="center" textRotation="0" wrapText="true" indent="0" shrinkToFit="false"/>
      <protection locked="tru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20" fillId="2" borderId="7" xfId="0" applyFont="true" applyBorder="true" applyAlignment="true" applyProtection="true">
      <alignment horizontal="left" vertical="center" textRotation="0" wrapText="true" indent="0" shrinkToFit="false"/>
      <protection locked="true" hidden="false"/>
    </xf>
    <xf numFmtId="164" fontId="11" fillId="12" borderId="7" xfId="0" applyFont="true" applyBorder="true" applyAlignment="true" applyProtection="true">
      <alignment horizontal="general" vertical="top" textRotation="0" wrapText="true" indent="0" shrinkToFit="false"/>
      <protection locked="true" hidden="false"/>
    </xf>
    <xf numFmtId="164" fontId="11" fillId="12" borderId="7" xfId="0" applyFont="true" applyBorder="true" applyAlignment="true" applyProtection="true">
      <alignment horizontal="general" vertical="top" textRotation="0" wrapText="false" indent="0" shrinkToFit="false"/>
      <protection locked="true" hidden="false"/>
    </xf>
    <xf numFmtId="164" fontId="20" fillId="12" borderId="7" xfId="0" applyFont="true" applyBorder="true" applyAlignment="true" applyProtection="true">
      <alignment horizontal="left" vertical="center" textRotation="0" wrapText="true" indent="0" shrinkToFit="false"/>
      <protection locked="true" hidden="false"/>
    </xf>
    <xf numFmtId="165" fontId="11" fillId="12" borderId="7" xfId="0" applyFont="true" applyBorder="true" applyAlignment="true" applyProtection="true">
      <alignment horizontal="center" vertical="center" textRotation="0" wrapText="true" indent="0" shrinkToFit="false"/>
      <protection locked="true" hidden="false"/>
    </xf>
    <xf numFmtId="164" fontId="11" fillId="12" borderId="7" xfId="0" applyFont="true" applyBorder="true" applyAlignment="true" applyProtection="true">
      <alignment horizontal="left" vertical="center" textRotation="0" wrapText="true" indent="0" shrinkToFit="false"/>
      <protection locked="true" hidden="false"/>
    </xf>
    <xf numFmtId="166" fontId="11" fillId="12" borderId="7" xfId="0" applyFont="true" applyBorder="true" applyAlignment="true" applyProtection="true">
      <alignment horizontal="left" vertical="top" textRotation="0" wrapText="true" indent="0" shrinkToFit="false"/>
      <protection locked="true" hidden="false"/>
    </xf>
    <xf numFmtId="164" fontId="11" fillId="13" borderId="7" xfId="0" applyFont="true" applyBorder="true" applyAlignment="true" applyProtection="true">
      <alignment horizontal="general" vertical="top" textRotation="0" wrapText="true" indent="0" shrinkToFit="false"/>
      <protection locked="true" hidden="false"/>
    </xf>
    <xf numFmtId="164" fontId="11" fillId="13" borderId="7" xfId="0" applyFont="true" applyBorder="true" applyAlignment="true" applyProtection="true">
      <alignment horizontal="general" vertical="top" textRotation="0" wrapText="false" indent="0" shrinkToFit="false"/>
      <protection locked="true" hidden="false"/>
    </xf>
    <xf numFmtId="164" fontId="20" fillId="13" borderId="7" xfId="0" applyFont="true" applyBorder="true" applyAlignment="true" applyProtection="true">
      <alignment horizontal="left" vertical="center" textRotation="0" wrapText="true" indent="0" shrinkToFit="false"/>
      <protection locked="true" hidden="false"/>
    </xf>
    <xf numFmtId="165" fontId="11" fillId="13" borderId="7" xfId="0" applyFont="true" applyBorder="true" applyAlignment="true" applyProtection="true">
      <alignment horizontal="center" vertical="center" textRotation="0" wrapText="true" indent="0" shrinkToFit="false"/>
      <protection locked="true" hidden="false"/>
    </xf>
    <xf numFmtId="166" fontId="13" fillId="13" borderId="7" xfId="0" applyFont="true" applyBorder="true" applyAlignment="true" applyProtection="true">
      <alignment horizontal="left" vertical="top" textRotation="0" wrapText="true" indent="0" shrinkToFit="false"/>
      <protection locked="true" hidden="false"/>
    </xf>
    <xf numFmtId="166" fontId="11" fillId="13" borderId="7" xfId="0" applyFont="true" applyBorder="true" applyAlignment="true" applyProtection="true">
      <alignment horizontal="left" vertical="top" textRotation="0" wrapText="true" indent="0" shrinkToFit="false"/>
      <protection locked="true" hidden="false"/>
    </xf>
    <xf numFmtId="164" fontId="11" fillId="13" borderId="7" xfId="0" applyFont="true" applyBorder="true" applyAlignment="true" applyProtection="true">
      <alignment horizontal="left" vertical="center" textRotation="0" wrapText="true" indent="0" shrinkToFit="false"/>
      <protection locked="tru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20" fillId="14" borderId="7" xfId="0" applyFont="true" applyBorder="true" applyAlignment="true" applyProtection="true">
      <alignment horizontal="left" vertical="center" textRotation="0" wrapText="true" indent="0" shrinkToFit="false"/>
      <protection locked="true" hidden="false"/>
    </xf>
    <xf numFmtId="165" fontId="11" fillId="14" borderId="7" xfId="0" applyFont="true" applyBorder="true" applyAlignment="true" applyProtection="true">
      <alignment horizontal="center" vertical="center" textRotation="0" wrapText="true" indent="0" shrinkToFit="false"/>
      <protection locked="true" hidden="false"/>
    </xf>
    <xf numFmtId="166" fontId="13" fillId="5" borderId="7" xfId="0" applyFont="true" applyBorder="true" applyAlignment="true" applyProtection="true">
      <alignment horizontal="left" vertical="top" textRotation="0" wrapText="true" indent="0" shrinkToFit="false"/>
      <protection locked="true" hidden="false"/>
    </xf>
    <xf numFmtId="164" fontId="6" fillId="2" borderId="7" xfId="0" applyFont="true" applyBorder="true" applyAlignment="true" applyProtection="true">
      <alignment horizontal="left" vertical="center" textRotation="0" wrapText="true" indent="0" shrinkToFit="false"/>
      <protection locked="true" hidden="false"/>
    </xf>
    <xf numFmtId="164" fontId="11" fillId="15" borderId="7" xfId="0" applyFont="true" applyBorder="true" applyAlignment="true" applyProtection="true">
      <alignment horizontal="general" vertical="top" textRotation="0" wrapText="true" indent="0" shrinkToFit="false"/>
      <protection locked="true" hidden="false"/>
    </xf>
    <xf numFmtId="164" fontId="6" fillId="6" borderId="0" xfId="0" applyFont="true" applyBorder="false" applyAlignment="true" applyProtection="true">
      <alignment horizontal="general" vertical="top" textRotation="0" wrapText="false" indent="0" shrinkToFit="false"/>
      <protection locked="true" hidden="false"/>
    </xf>
    <xf numFmtId="164" fontId="0" fillId="5" borderId="0" xfId="0" applyFont="false" applyBorder="false" applyAlignment="true" applyProtection="true">
      <alignment horizontal="general" vertical="bottom" textRotation="0" wrapText="false" indent="0" shrinkToFit="false"/>
      <protection locked="true" hidden="false"/>
    </xf>
    <xf numFmtId="164" fontId="6" fillId="5" borderId="0" xfId="0" applyFont="true" applyBorder="false" applyAlignment="true" applyProtection="true">
      <alignment horizontal="general" vertical="top" textRotation="0" wrapText="false" indent="0" shrinkToFit="false"/>
      <protection locked="true" hidden="false"/>
    </xf>
    <xf numFmtId="164" fontId="6" fillId="0" borderId="7" xfId="0" applyFont="true" applyBorder="true" applyAlignment="true" applyProtection="true">
      <alignment horizontal="general" vertical="top" textRotation="0" wrapText="false" indent="0" shrinkToFit="false"/>
      <protection locked="true" hidden="false"/>
    </xf>
    <xf numFmtId="164" fontId="11" fillId="0" borderId="7" xfId="0" applyFont="true" applyBorder="true" applyAlignment="true" applyProtection="true">
      <alignment horizontal="center" vertical="top" textRotation="0" wrapText="false" indent="0" shrinkToFit="false"/>
      <protection locked="true" hidden="false"/>
    </xf>
    <xf numFmtId="164" fontId="6" fillId="11" borderId="7" xfId="0" applyFont="true" applyBorder="true" applyAlignment="true" applyProtection="true">
      <alignment horizontal="left" vertical="center" textRotation="0" wrapText="true" indent="0" shrinkToFit="false"/>
      <protection locked="true" hidden="false"/>
    </xf>
    <xf numFmtId="164" fontId="20" fillId="11" borderId="7" xfId="0" applyFont="true" applyBorder="true" applyAlignment="true" applyProtection="true">
      <alignment horizontal="left" vertical="center" textRotation="0" wrapText="true" indent="0" shrinkToFit="false"/>
      <protection locked="true" hidden="false"/>
    </xf>
    <xf numFmtId="164" fontId="6" fillId="13" borderId="7" xfId="0" applyFont="true" applyBorder="true" applyAlignment="true" applyProtection="true">
      <alignment horizontal="left" vertical="center" textRotation="0" wrapText="true" indent="0" shrinkToFit="false"/>
      <protection locked="true" hidden="false"/>
    </xf>
    <xf numFmtId="164" fontId="11" fillId="5" borderId="7" xfId="0" applyFont="true" applyBorder="true" applyAlignment="true" applyProtection="true">
      <alignment horizontal="general" vertical="top" textRotation="0" wrapText="true" indent="0" shrinkToFit="false"/>
      <protection locked="true" hidden="false"/>
    </xf>
    <xf numFmtId="164" fontId="11" fillId="16" borderId="7" xfId="0" applyFont="true" applyBorder="true" applyAlignment="true" applyProtection="true">
      <alignment horizontal="general" vertical="top" textRotation="0" wrapText="true" indent="0" shrinkToFit="false"/>
      <protection locked="true" hidden="false"/>
    </xf>
    <xf numFmtId="164" fontId="11" fillId="16" borderId="7" xfId="0" applyFont="true" applyBorder="true" applyAlignment="true" applyProtection="true">
      <alignment horizontal="general" vertical="top" textRotation="0" wrapText="false" indent="0" shrinkToFit="false"/>
      <protection locked="true" hidden="false"/>
    </xf>
    <xf numFmtId="164" fontId="11" fillId="16" borderId="7" xfId="0" applyFont="true" applyBorder="true" applyAlignment="true" applyProtection="true">
      <alignment horizontal="left" vertical="center" textRotation="0" wrapText="true" indent="0" shrinkToFit="false"/>
      <protection locked="true" hidden="false"/>
    </xf>
    <xf numFmtId="165" fontId="11" fillId="16" borderId="7" xfId="0" applyFont="true" applyBorder="true" applyAlignment="true" applyProtection="true">
      <alignment horizontal="center" vertical="center" textRotation="0" wrapText="true" indent="0" shrinkToFit="false"/>
      <protection locked="true" hidden="false"/>
    </xf>
    <xf numFmtId="166" fontId="13" fillId="16" borderId="7" xfId="0" applyFont="true" applyBorder="true" applyAlignment="true" applyProtection="true">
      <alignment horizontal="left" vertical="top" textRotation="0" wrapText="true" indent="0" shrinkToFit="false"/>
      <protection locked="true" hidden="false"/>
    </xf>
    <xf numFmtId="164" fontId="20" fillId="16" borderId="7" xfId="0" applyFont="true" applyBorder="true" applyAlignment="true" applyProtection="true">
      <alignment horizontal="left" vertical="center" textRotation="0" wrapText="true" indent="0" shrinkToFit="false"/>
      <protection locked="true" hidden="false"/>
    </xf>
    <xf numFmtId="164" fontId="30" fillId="0" borderId="7" xfId="0" applyFont="true" applyBorder="true" applyAlignment="true" applyProtection="true">
      <alignment horizontal="general" vertical="top" textRotation="0" wrapText="true" indent="0" shrinkToFit="false"/>
      <protection locked="true" hidden="false"/>
    </xf>
    <xf numFmtId="164" fontId="30" fillId="17" borderId="7" xfId="0" applyFont="true" applyBorder="true" applyAlignment="true" applyProtection="true">
      <alignment horizontal="general" vertical="top" textRotation="0" wrapText="true" indent="0" shrinkToFit="false"/>
      <protection locked="true" hidden="false"/>
    </xf>
    <xf numFmtId="165" fontId="11" fillId="17" borderId="7" xfId="0" applyFont="true" applyBorder="true" applyAlignment="true" applyProtection="true">
      <alignment horizontal="center" vertical="center" textRotation="0" wrapText="true" indent="0" shrinkToFit="false"/>
      <protection locked="true" hidden="false"/>
    </xf>
    <xf numFmtId="166" fontId="13" fillId="17" borderId="7" xfId="0" applyFont="true" applyBorder="true" applyAlignment="true" applyProtection="true">
      <alignment horizontal="left" vertical="top" textRotation="0" wrapText="true" indent="0" shrinkToFit="false"/>
      <protection locked="true" hidden="false"/>
    </xf>
    <xf numFmtId="164" fontId="30" fillId="14" borderId="7" xfId="0" applyFont="true" applyBorder="true" applyAlignment="true" applyProtection="true">
      <alignment horizontal="general" vertical="top" textRotation="0" wrapText="true" indent="0" shrinkToFit="false"/>
      <protection locked="true" hidden="false"/>
    </xf>
    <xf numFmtId="164" fontId="11" fillId="17" borderId="7" xfId="0" applyFont="true" applyBorder="true" applyAlignment="true" applyProtection="true">
      <alignment horizontal="left" vertical="center" textRotation="0" wrapText="true" indent="0" shrinkToFit="false"/>
      <protection locked="true" hidden="false"/>
    </xf>
    <xf numFmtId="164" fontId="20" fillId="17" borderId="7" xfId="0" applyFont="true" applyBorder="true" applyAlignment="true" applyProtection="true">
      <alignment horizontal="left" vertical="center" textRotation="0" wrapText="true" indent="0" shrinkToFit="false"/>
      <protection locked="tru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11" fillId="18" borderId="7" xfId="0" applyFont="true" applyBorder="true" applyAlignment="true" applyProtection="true">
      <alignment horizontal="left" vertical="center" textRotation="0" wrapText="true" indent="0" shrinkToFit="false"/>
      <protection locked="true" hidden="false"/>
    </xf>
    <xf numFmtId="165" fontId="11" fillId="18" borderId="7" xfId="0" applyFont="true" applyBorder="true" applyAlignment="true" applyProtection="true">
      <alignment horizontal="center" vertical="center" textRotation="0" wrapText="true" indent="0" shrinkToFit="false"/>
      <protection locked="true" hidden="false"/>
    </xf>
    <xf numFmtId="166" fontId="13" fillId="18" borderId="7" xfId="0" applyFont="true" applyBorder="true" applyAlignment="true" applyProtection="true">
      <alignment horizontal="left" vertical="top" textRotation="0" wrapText="true" indent="0" shrinkToFit="false"/>
      <protection locked="true" hidden="false"/>
    </xf>
    <xf numFmtId="164" fontId="11" fillId="19" borderId="7" xfId="0" applyFont="true" applyBorder="true" applyAlignment="true" applyProtection="true">
      <alignment horizontal="general" vertical="top" textRotation="0" wrapText="true" indent="0" shrinkToFit="false"/>
      <protection locked="true" hidden="false"/>
    </xf>
    <xf numFmtId="164" fontId="11" fillId="19" borderId="7" xfId="0" applyFont="true" applyBorder="true" applyAlignment="true" applyProtection="true">
      <alignment horizontal="general" vertical="top" textRotation="0" wrapText="false" indent="0" shrinkToFit="false"/>
      <protection locked="true" hidden="false"/>
    </xf>
    <xf numFmtId="164" fontId="11" fillId="20" borderId="7" xfId="0" applyFont="true" applyBorder="true" applyAlignment="true" applyProtection="true">
      <alignment horizontal="general" vertical="top" textRotation="0" wrapText="true" indent="0" shrinkToFit="false"/>
      <protection locked="true" hidden="false"/>
    </xf>
    <xf numFmtId="164" fontId="11" fillId="20" borderId="7" xfId="0" applyFont="true" applyBorder="true" applyAlignment="true" applyProtection="true">
      <alignment horizontal="general" vertical="top" textRotation="0" wrapText="false" indent="0" shrinkToFit="false"/>
      <protection locked="true" hidden="false"/>
    </xf>
    <xf numFmtId="164" fontId="30" fillId="15" borderId="7" xfId="0" applyFont="true" applyBorder="true" applyAlignment="true" applyProtection="true">
      <alignment horizontal="general" vertical="top" textRotation="0" wrapText="true" indent="0" shrinkToFit="false"/>
      <protection locked="true" hidden="false"/>
    </xf>
    <xf numFmtId="164" fontId="10" fillId="0" borderId="0"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5" fontId="31" fillId="0" borderId="0" xfId="0" applyFont="true" applyBorder="true" applyAlignment="true" applyProtection="true">
      <alignment horizontal="center" vertical="center" textRotation="0" wrapText="true" indent="0" shrinkToFit="false"/>
      <protection locked="true" hidden="false"/>
    </xf>
    <xf numFmtId="164" fontId="31" fillId="0" borderId="0" xfId="0" applyFont="true" applyBorder="true" applyAlignment="true" applyProtection="true">
      <alignment horizontal="left" vertical="center" textRotation="0" wrapText="true" indent="0" shrinkToFit="false"/>
      <protection locked="true" hidden="false"/>
    </xf>
    <xf numFmtId="166" fontId="32" fillId="0" borderId="0" xfId="0" applyFont="true" applyBorder="true" applyAlignment="true" applyProtection="true">
      <alignment horizontal="general" vertical="top" textRotation="0" wrapText="false" indent="0" shrinkToFit="false"/>
      <protection locked="true" hidden="false"/>
    </xf>
    <xf numFmtId="171" fontId="32" fillId="0" borderId="0" xfId="0" applyFont="true" applyBorder="true" applyAlignment="true" applyProtection="true">
      <alignment horizontal="left" vertical="top" textRotation="0" wrapText="false" indent="0" shrinkToFit="false"/>
      <protection locked="true" hidden="false"/>
    </xf>
    <xf numFmtId="164" fontId="11" fillId="0" borderId="0" xfId="0" applyFont="true" applyBorder="true" applyAlignment="true" applyProtection="true">
      <alignment horizontal="general" vertical="top" textRotation="0" wrapText="true" indent="0" shrinkToFit="false"/>
      <protection locked="true" hidden="false"/>
    </xf>
    <xf numFmtId="164" fontId="6" fillId="21" borderId="0" xfId="0" applyFont="true" applyBorder="false" applyAlignment="true" applyProtection="true">
      <alignment horizontal="general" vertical="top" textRotation="0" wrapText="true" indent="0" shrinkToFit="false"/>
      <protection locked="true" hidden="false"/>
    </xf>
    <xf numFmtId="164" fontId="14" fillId="0" borderId="0" xfId="0" applyFont="true" applyBorder="true" applyAlignment="true" applyProtection="true">
      <alignment horizontal="general" vertical="top" textRotation="0" wrapText="tru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5" fontId="14" fillId="0" borderId="0" xfId="0" applyFont="true" applyBorder="true" applyAlignment="true" applyProtection="true">
      <alignment horizontal="center" vertical="center" textRotation="0" wrapText="true" indent="0" shrinkToFit="false"/>
      <protection locked="true" hidden="false"/>
    </xf>
    <xf numFmtId="164" fontId="11" fillId="2" borderId="0" xfId="0" applyFont="true" applyBorder="false" applyAlignment="true" applyProtection="true">
      <alignment horizontal="general" vertical="top" textRotation="0" wrapText="false" indent="0" shrinkToFit="false"/>
      <protection locked="true" hidden="false"/>
    </xf>
    <xf numFmtId="166" fontId="11" fillId="0" borderId="0" xfId="0" applyFont="true" applyBorder="false" applyAlignment="true" applyProtection="true">
      <alignment horizontal="left" vertical="top" textRotation="0" wrapText="false" indent="0" shrinkToFit="false"/>
      <protection locked="true" hidden="false"/>
    </xf>
    <xf numFmtId="164" fontId="33" fillId="0" borderId="0" xfId="0" applyFont="true" applyBorder="true" applyAlignment="true" applyProtection="true">
      <alignment horizontal="left" vertical="top" textRotation="0" wrapText="true" indent="0" shrinkToFit="false"/>
      <protection locked="true" hidden="false"/>
    </xf>
    <xf numFmtId="164" fontId="11" fillId="2" borderId="0" xfId="0" applyFont="true" applyBorder="false" applyAlignment="true" applyProtection="true">
      <alignment horizontal="left" vertical="top" textRotation="0" wrapText="true" indent="0" shrinkToFit="false"/>
      <protection locked="true" hidden="false"/>
    </xf>
    <xf numFmtId="164" fontId="11" fillId="0" borderId="0" xfId="0" applyFont="true" applyBorder="false" applyAlignment="true" applyProtection="true">
      <alignment horizontal="left" vertical="top" textRotation="0" wrapText="true" indent="0" shrinkToFit="false"/>
      <protection locked="true" hidden="false"/>
    </xf>
    <xf numFmtId="166" fontId="11" fillId="0" borderId="0" xfId="0" applyFont="true" applyBorder="false" applyAlignment="true" applyProtection="true">
      <alignment horizontal="left" vertical="top" textRotation="0" wrapText="true" indent="0" shrinkToFit="false"/>
      <protection locked="true" hidden="false"/>
    </xf>
    <xf numFmtId="164" fontId="10" fillId="2" borderId="4" xfId="0" applyFont="true" applyBorder="true" applyAlignment="true" applyProtection="true">
      <alignment horizontal="center" vertical="center" textRotation="0" wrapText="true" indent="0" shrinkToFit="false"/>
      <protection locked="true" hidden="false"/>
    </xf>
    <xf numFmtId="164" fontId="10" fillId="2" borderId="2" xfId="0" applyFont="true" applyBorder="true" applyAlignment="true" applyProtection="true">
      <alignment horizontal="center" vertical="center" textRotation="0" wrapText="true" indent="0" shrinkToFit="false"/>
      <protection locked="true" hidden="false"/>
    </xf>
    <xf numFmtId="164" fontId="10" fillId="22" borderId="4" xfId="0" applyFont="true" applyBorder="true" applyAlignment="true" applyProtection="true">
      <alignment horizontal="center" vertical="center" textRotation="0" wrapText="false" indent="0" shrinkToFit="false"/>
      <protection locked="true" hidden="false"/>
    </xf>
    <xf numFmtId="164" fontId="10" fillId="22" borderId="12" xfId="0" applyFont="true" applyBorder="true" applyAlignment="true" applyProtection="true">
      <alignment horizontal="center" vertical="center" textRotation="0" wrapText="true" indent="0" shrinkToFit="false"/>
      <protection locked="true" hidden="false"/>
    </xf>
    <xf numFmtId="164" fontId="10" fillId="23" borderId="4" xfId="0" applyFont="true" applyBorder="true" applyAlignment="true" applyProtection="true">
      <alignment horizontal="center" vertical="center" textRotation="0" wrapText="false" indent="0" shrinkToFit="false"/>
      <protection locked="true" hidden="false"/>
    </xf>
    <xf numFmtId="164" fontId="10" fillId="23" borderId="1" xfId="0" applyFont="true" applyBorder="true" applyAlignment="true" applyProtection="true">
      <alignment horizontal="center" vertical="center" textRotation="0" wrapText="true" indent="0" shrinkToFit="false"/>
      <protection locked="true" hidden="false"/>
    </xf>
    <xf numFmtId="164" fontId="10" fillId="24" borderId="4" xfId="0" applyFont="true" applyBorder="tru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center" vertical="top" textRotation="0" wrapText="true" indent="0" shrinkToFit="false"/>
      <protection locked="true" hidden="false"/>
    </xf>
    <xf numFmtId="164" fontId="10" fillId="25" borderId="13" xfId="0" applyFont="true" applyBorder="true" applyAlignment="true" applyProtection="true">
      <alignment horizontal="center" vertical="center" textRotation="0" wrapText="false" indent="0" shrinkToFit="false"/>
      <protection locked="true" hidden="false"/>
    </xf>
    <xf numFmtId="166" fontId="10" fillId="25" borderId="14" xfId="0" applyFont="true" applyBorder="true" applyAlignment="true" applyProtection="true">
      <alignment horizontal="left" vertical="center" textRotation="0" wrapText="false" indent="0" shrinkToFit="false"/>
      <protection locked="true" hidden="false"/>
    </xf>
    <xf numFmtId="164" fontId="10" fillId="25" borderId="15" xfId="0" applyFont="true" applyBorder="true" applyAlignment="true" applyProtection="true">
      <alignment horizontal="center" vertical="center" textRotation="0" wrapText="false" indent="0" shrinkToFit="false"/>
      <protection locked="true" hidden="false"/>
    </xf>
    <xf numFmtId="164" fontId="10" fillId="26" borderId="4" xfId="0" applyFont="true" applyBorder="true" applyAlignment="true" applyProtection="true">
      <alignment horizontal="center" vertical="center" textRotation="0" wrapText="true" indent="0" shrinkToFit="false"/>
      <protection locked="true" hidden="false"/>
    </xf>
    <xf numFmtId="166" fontId="10" fillId="26" borderId="12" xfId="0" applyFont="true" applyBorder="true" applyAlignment="true" applyProtection="true">
      <alignment horizontal="left" vertical="center" textRotation="0" wrapText="true" indent="0" shrinkToFit="false"/>
      <protection locked="true" hidden="false"/>
    </xf>
    <xf numFmtId="166" fontId="10" fillId="25" borderId="4" xfId="0" applyFont="true" applyBorder="true" applyAlignment="true" applyProtection="true">
      <alignment horizontal="left" vertical="center" textRotation="0" wrapText="true" indent="0" shrinkToFit="false"/>
      <protection locked="true" hidden="false"/>
    </xf>
    <xf numFmtId="164" fontId="10" fillId="25" borderId="1" xfId="0" applyFont="true" applyBorder="true" applyAlignment="true" applyProtection="true">
      <alignment horizontal="center" vertical="center" textRotation="0" wrapText="true" indent="0" shrinkToFit="false"/>
      <protection locked="true" hidden="false"/>
    </xf>
    <xf numFmtId="164" fontId="10" fillId="25" borderId="4" xfId="0" applyFont="true" applyBorder="true" applyAlignment="true" applyProtection="true">
      <alignment horizontal="center" vertical="center" textRotation="0" wrapText="true" indent="0" shrinkToFit="false"/>
      <protection locked="true" hidden="false"/>
    </xf>
    <xf numFmtId="164" fontId="10" fillId="25" borderId="12" xfId="0" applyFont="true" applyBorder="true" applyAlignment="true" applyProtection="true">
      <alignment horizontal="center" vertical="center" textRotation="0" wrapText="true" indent="0" shrinkToFit="false"/>
      <protection locked="true" hidden="false"/>
    </xf>
    <xf numFmtId="166" fontId="10" fillId="25" borderId="12" xfId="0" applyFont="true" applyBorder="true" applyAlignment="true" applyProtection="true">
      <alignment horizontal="left" vertical="center" textRotation="0" wrapText="true" indent="0" shrinkToFit="false"/>
      <protection locked="true" hidden="false"/>
    </xf>
    <xf numFmtId="165" fontId="14" fillId="0" borderId="11" xfId="0" applyFont="true" applyBorder="true" applyAlignment="true" applyProtection="true">
      <alignment horizontal="center" vertical="top" textRotation="0" wrapText="true" indent="0" shrinkToFit="false"/>
      <protection locked="true" hidden="false"/>
    </xf>
    <xf numFmtId="172" fontId="11" fillId="2" borderId="8" xfId="0" applyFont="true" applyBorder="true" applyAlignment="true" applyProtection="true">
      <alignment horizontal="center" vertical="top" textRotation="0" wrapText="false" indent="0" shrinkToFit="false"/>
      <protection locked="true" hidden="false"/>
    </xf>
    <xf numFmtId="172" fontId="11" fillId="2" borderId="16" xfId="0" applyFont="true" applyBorder="true" applyAlignment="true" applyProtection="true">
      <alignment horizontal="center" vertical="top" textRotation="0" wrapText="true" indent="0" shrinkToFit="false"/>
      <protection locked="true" hidden="false"/>
    </xf>
    <xf numFmtId="164" fontId="11" fillId="2" borderId="16" xfId="0" applyFont="true" applyBorder="true" applyAlignment="true" applyProtection="true">
      <alignment horizontal="center" vertical="top" textRotation="0" wrapText="true" indent="0" shrinkToFit="false"/>
      <protection locked="true" hidden="false"/>
    </xf>
    <xf numFmtId="164" fontId="11" fillId="2" borderId="7" xfId="0" applyFont="true" applyBorder="true" applyAlignment="true" applyProtection="true">
      <alignment horizontal="center" vertical="top" textRotation="0" wrapText="true" indent="0" shrinkToFit="false"/>
      <protection locked="true" hidden="false"/>
    </xf>
    <xf numFmtId="164" fontId="11" fillId="0" borderId="7" xfId="0" applyFont="true" applyBorder="true" applyAlignment="true" applyProtection="true">
      <alignment horizontal="center" vertical="top" textRotation="0" wrapText="true" indent="0" shrinkToFit="false"/>
      <protection locked="true" hidden="false"/>
    </xf>
    <xf numFmtId="166" fontId="11" fillId="0" borderId="7" xfId="0" applyFont="true" applyBorder="true" applyAlignment="true" applyProtection="true">
      <alignment horizontal="center" vertical="top" textRotation="0" wrapText="true" indent="0" shrinkToFit="false"/>
      <protection locked="true" hidden="false"/>
    </xf>
    <xf numFmtId="166" fontId="8" fillId="0" borderId="7" xfId="0" applyFont="true" applyBorder="true" applyAlignment="true" applyProtection="true">
      <alignment horizontal="left" vertical="top" textRotation="0" wrapText="true" indent="0" shrinkToFit="false"/>
      <protection locked="true" hidden="false"/>
    </xf>
    <xf numFmtId="166" fontId="10" fillId="0" borderId="7" xfId="0" applyFont="true" applyBorder="true" applyAlignment="true" applyProtection="true">
      <alignment horizontal="center" vertical="top" textRotation="0" wrapText="true" indent="0" shrinkToFit="false"/>
      <protection locked="true" hidden="false"/>
    </xf>
    <xf numFmtId="164" fontId="35" fillId="0" borderId="7" xfId="20" applyFont="true" applyBorder="true" applyAlignment="true" applyProtection="true">
      <alignment horizontal="left" vertical="top" textRotation="0" wrapText="true" indent="0" shrinkToFit="false"/>
      <protection locked="true" hidden="false"/>
    </xf>
    <xf numFmtId="164" fontId="11" fillId="0" borderId="7" xfId="0" applyFont="true" applyBorder="true" applyAlignment="true" applyProtection="true">
      <alignment horizontal="right" vertical="top" textRotation="0" wrapText="true" indent="0" shrinkToFit="false"/>
      <protection locked="true" hidden="false"/>
    </xf>
    <xf numFmtId="164" fontId="11" fillId="0" borderId="17" xfId="0" applyFont="true" applyBorder="true" applyAlignment="true" applyProtection="true">
      <alignment horizontal="left" vertical="top" textRotation="0" wrapText="true" indent="0" shrinkToFit="false"/>
      <protection locked="true" hidden="false"/>
    </xf>
    <xf numFmtId="173" fontId="11" fillId="0" borderId="7" xfId="0" applyFont="true" applyBorder="true" applyAlignment="true" applyProtection="true">
      <alignment horizontal="center" vertical="top" textRotation="0" wrapText="false" indent="0" shrinkToFit="false"/>
      <protection locked="true" hidden="false"/>
    </xf>
    <xf numFmtId="174" fontId="11" fillId="0" borderId="9" xfId="0" applyFont="true" applyBorder="true" applyAlignment="true" applyProtection="true">
      <alignment horizontal="left" vertical="top" textRotation="0" wrapText="true" indent="0" shrinkToFit="false"/>
      <protection locked="true" hidden="false"/>
    </xf>
    <xf numFmtId="164" fontId="11" fillId="0" borderId="7" xfId="21" applyFont="true" applyBorder="true" applyAlignment="true" applyProtection="true">
      <alignment horizontal="left" vertical="top" textRotation="0" wrapText="true" indent="0" shrinkToFit="false"/>
      <protection locked="true" hidden="false"/>
    </xf>
    <xf numFmtId="164" fontId="11" fillId="0" borderId="7" xfId="21" applyFont="true" applyBorder="true" applyAlignment="true" applyProtection="true">
      <alignment horizontal="center" vertical="top" textRotation="0" wrapText="true" indent="0" shrinkToFit="false"/>
      <protection locked="true" hidden="false"/>
    </xf>
    <xf numFmtId="175" fontId="11" fillId="0" borderId="7" xfId="21" applyFont="true" applyBorder="true" applyAlignment="true" applyProtection="true">
      <alignment horizontal="center" vertical="top" textRotation="0" wrapText="true" indent="0" shrinkToFit="false"/>
      <protection locked="true" hidden="false"/>
    </xf>
    <xf numFmtId="164" fontId="11" fillId="25" borderId="7" xfId="0" applyFont="true" applyBorder="true" applyAlignment="true" applyProtection="true">
      <alignment horizontal="center" vertical="top" textRotation="0" wrapText="false" indent="0" shrinkToFit="false"/>
      <protection locked="true" hidden="false"/>
    </xf>
    <xf numFmtId="164" fontId="11" fillId="25" borderId="7" xfId="21" applyFont="true" applyBorder="true" applyAlignment="true" applyProtection="true">
      <alignment horizontal="left" vertical="top" textRotation="0" wrapText="true" indent="0" shrinkToFit="false"/>
      <protection locked="true" hidden="false"/>
    </xf>
    <xf numFmtId="164" fontId="11" fillId="25" borderId="7" xfId="21" applyFont="true" applyBorder="true" applyAlignment="true" applyProtection="true">
      <alignment horizontal="center" vertical="top" textRotation="0" wrapText="true" indent="0" shrinkToFit="false"/>
      <protection locked="true" hidden="false"/>
    </xf>
    <xf numFmtId="175" fontId="11" fillId="25" borderId="7" xfId="21" applyFont="true" applyBorder="true" applyAlignment="true" applyProtection="true">
      <alignment horizontal="center" vertical="top" textRotation="0" wrapText="true" indent="0" shrinkToFit="false"/>
      <protection locked="true" hidden="false"/>
    </xf>
    <xf numFmtId="164" fontId="11" fillId="25" borderId="7" xfId="0" applyFont="true" applyBorder="true" applyAlignment="true" applyProtection="true">
      <alignment horizontal="right" vertical="top" textRotation="0" wrapText="true" indent="0" shrinkToFit="false"/>
      <protection locked="true" hidden="false"/>
    </xf>
    <xf numFmtId="166" fontId="11" fillId="25" borderId="7" xfId="0" applyFont="true" applyBorder="true" applyAlignment="true" applyProtection="true">
      <alignment horizontal="left" vertical="top" textRotation="0" wrapText="true" indent="0" shrinkToFit="false"/>
      <protection locked="true" hidden="false"/>
    </xf>
    <xf numFmtId="164" fontId="11" fillId="25" borderId="7" xfId="0" applyFont="true" applyBorder="true" applyAlignment="true" applyProtection="true">
      <alignment horizontal="left" vertical="top" textRotation="0" wrapText="true" indent="0" shrinkToFit="false"/>
      <protection locked="true" hidden="false"/>
    </xf>
    <xf numFmtId="164" fontId="11" fillId="25" borderId="7" xfId="0" applyFont="true" applyBorder="true" applyAlignment="true" applyProtection="true">
      <alignment horizontal="center" vertical="top" textRotation="0" wrapText="true" indent="0" shrinkToFit="false"/>
      <protection locked="true" hidden="false"/>
    </xf>
    <xf numFmtId="166" fontId="11" fillId="25" borderId="7" xfId="0" applyFont="true" applyBorder="true" applyAlignment="true" applyProtection="true">
      <alignment horizontal="center" vertical="top" textRotation="0" wrapText="true" indent="0" shrinkToFit="false"/>
      <protection locked="true" hidden="false"/>
    </xf>
    <xf numFmtId="166" fontId="8" fillId="25" borderId="7" xfId="0" applyFont="true" applyBorder="true" applyAlignment="true" applyProtection="true">
      <alignment horizontal="left" vertical="top" textRotation="0" wrapText="true" indent="0" shrinkToFit="false"/>
      <protection locked="true" hidden="false"/>
    </xf>
    <xf numFmtId="166" fontId="10" fillId="25" borderId="7" xfId="0" applyFont="true" applyBorder="true" applyAlignment="true" applyProtection="true">
      <alignment horizontal="center" vertical="top" textRotation="0" wrapText="true" indent="0" shrinkToFit="false"/>
      <protection locked="true" hidden="false"/>
    </xf>
    <xf numFmtId="164" fontId="35" fillId="25" borderId="7" xfId="20" applyFont="true" applyBorder="true" applyAlignment="true" applyProtection="true">
      <alignment horizontal="left" vertical="top" textRotation="0" wrapText="true" indent="0" shrinkToFit="false"/>
      <protection locked="true" hidden="false"/>
    </xf>
    <xf numFmtId="164" fontId="11" fillId="25" borderId="17" xfId="0" applyFont="true" applyBorder="true" applyAlignment="true" applyProtection="true">
      <alignment horizontal="left" vertical="top" textRotation="0" wrapText="true" indent="0" shrinkToFit="false"/>
      <protection locked="true" hidden="false"/>
    </xf>
    <xf numFmtId="173" fontId="11" fillId="25" borderId="7" xfId="0" applyFont="true" applyBorder="true" applyAlignment="true" applyProtection="true">
      <alignment horizontal="center" vertical="top" textRotation="0" wrapText="false" indent="0" shrinkToFit="false"/>
      <protection locked="true" hidden="false"/>
    </xf>
    <xf numFmtId="164" fontId="11" fillId="25" borderId="0" xfId="0" applyFont="true" applyBorder="false" applyAlignment="true" applyProtection="true">
      <alignment horizontal="left" vertical="top" textRotation="0" wrapText="false" indent="0" shrinkToFit="false"/>
      <protection locked="true" hidden="false"/>
    </xf>
    <xf numFmtId="164" fontId="11" fillId="2" borderId="0" xfId="0" applyFont="true" applyBorder="true" applyAlignment="true" applyProtection="true">
      <alignment horizontal="general" vertical="top" textRotation="0" wrapText="false" indent="0" shrinkToFit="false"/>
      <protection locked="true" hidden="false"/>
    </xf>
    <xf numFmtId="166" fontId="11" fillId="0" borderId="0" xfId="0" applyFont="true" applyBorder="true" applyAlignment="true" applyProtection="true">
      <alignment horizontal="left" vertical="top" textRotation="0" wrapText="false" indent="0" shrinkToFit="false"/>
      <protection locked="true" hidden="false"/>
    </xf>
    <xf numFmtId="164" fontId="10" fillId="0" borderId="0" xfId="0" applyFont="true" applyBorder="true" applyAlignment="true" applyProtection="true">
      <alignment horizontal="right" vertical="top" textRotation="0" wrapText="false" indent="0" shrinkToFit="false"/>
      <protection locked="true" hidden="false"/>
    </xf>
    <xf numFmtId="166" fontId="10" fillId="0" borderId="0" xfId="0" applyFont="true" applyBorder="true" applyAlignment="true" applyProtection="true">
      <alignment horizontal="left" vertical="top" textRotation="0" wrapText="false" indent="0" shrinkToFit="false"/>
      <protection locked="true" hidden="false"/>
    </xf>
    <xf numFmtId="164" fontId="10" fillId="0" borderId="0" xfId="0" applyFont="true" applyBorder="true" applyAlignment="true" applyProtection="true">
      <alignment horizontal="general" vertical="top" textRotation="0" wrapText="false" indent="0" shrinkToFit="false"/>
      <protection locked="true" hidden="false"/>
    </xf>
    <xf numFmtId="164" fontId="36" fillId="0" borderId="0" xfId="0" applyFont="true" applyBorder="true" applyAlignment="true" applyProtection="true">
      <alignment horizontal="left" vertical="top" textRotation="0" wrapText="true" indent="0" shrinkToFit="false"/>
      <protection locked="true" hidden="false"/>
    </xf>
    <xf numFmtId="164" fontId="37" fillId="0" borderId="0" xfId="0" applyFont="true" applyBorder="true" applyAlignment="true" applyProtection="true">
      <alignment horizontal="general" vertical="top" textRotation="0" wrapText="false" indent="0" shrinkToFit="false"/>
      <protection locked="true" hidden="false"/>
    </xf>
    <xf numFmtId="164" fontId="38" fillId="0" borderId="0" xfId="0" applyFont="true" applyBorder="false" applyAlignment="true" applyProtection="true">
      <alignment horizontal="general" vertical="top" textRotation="0" wrapText="true" indent="0" shrinkToFit="false"/>
      <protection locked="true" hidden="false"/>
    </xf>
    <xf numFmtId="164" fontId="38" fillId="2" borderId="0" xfId="0" applyFont="true" applyBorder="false" applyAlignment="true" applyProtection="true">
      <alignment horizontal="general" vertical="top" textRotation="0" wrapText="true" indent="0" shrinkToFit="false"/>
      <protection locked="true" hidden="false"/>
    </xf>
    <xf numFmtId="164" fontId="38" fillId="2" borderId="0" xfId="0" applyFont="true" applyBorder="false" applyAlignment="true" applyProtection="true">
      <alignment horizontal="center" vertical="top" textRotation="0" wrapText="true" indent="0" shrinkToFit="false"/>
      <protection locked="true" hidden="false"/>
    </xf>
    <xf numFmtId="164" fontId="38" fillId="2" borderId="0" xfId="0" applyFont="true" applyBorder="false" applyAlignment="true" applyProtection="true">
      <alignment horizontal="center" vertical="center" textRotation="0" wrapText="true" indent="0" shrinkToFit="false"/>
      <protection locked="true" hidden="false"/>
    </xf>
    <xf numFmtId="165" fontId="38" fillId="2" borderId="0" xfId="0" applyFont="true" applyBorder="false" applyAlignment="true" applyProtection="true">
      <alignment horizontal="general" vertical="top" textRotation="0" wrapText="true" indent="0" shrinkToFit="false"/>
      <protection locked="true" hidden="false"/>
    </xf>
    <xf numFmtId="164" fontId="38" fillId="0" borderId="0" xfId="0" applyFont="true" applyBorder="true" applyAlignment="true" applyProtection="true">
      <alignment horizontal="right" vertical="top" textRotation="0" wrapText="true" indent="0" shrinkToFit="false"/>
      <protection locked="true" hidden="false"/>
    </xf>
    <xf numFmtId="164" fontId="39" fillId="0" borderId="0" xfId="0" applyFont="true" applyBorder="true" applyAlignment="true" applyProtection="true">
      <alignment horizontal="center" vertical="top" textRotation="0" wrapText="true" indent="0" shrinkToFit="false"/>
      <protection locked="true" hidden="false"/>
    </xf>
    <xf numFmtId="164" fontId="40" fillId="0" borderId="0" xfId="0" applyFont="true" applyBorder="false" applyAlignment="true" applyProtection="true">
      <alignment horizontal="general" vertical="top" textRotation="0" wrapText="true" indent="0" shrinkToFit="false"/>
      <protection locked="true" hidden="false"/>
    </xf>
    <xf numFmtId="164" fontId="40" fillId="0" borderId="0" xfId="0" applyFont="true" applyBorder="false" applyAlignment="true" applyProtection="true">
      <alignment horizontal="left" vertical="top" textRotation="0" wrapText="true" indent="0" shrinkToFit="false"/>
      <protection locked="true" hidden="false"/>
    </xf>
    <xf numFmtId="164" fontId="40" fillId="2" borderId="0" xfId="0" applyFont="true" applyBorder="false" applyAlignment="true" applyProtection="true">
      <alignment horizontal="left" vertical="top" textRotation="0" wrapText="true" indent="0" shrinkToFit="false"/>
      <protection locked="true" hidden="false"/>
    </xf>
    <xf numFmtId="164" fontId="40" fillId="2" borderId="0" xfId="0" applyFont="true" applyBorder="false" applyAlignment="true" applyProtection="true">
      <alignment horizontal="center" vertical="top" textRotation="0" wrapText="true" indent="0" shrinkToFit="false"/>
      <protection locked="true" hidden="false"/>
    </xf>
    <xf numFmtId="164" fontId="40" fillId="2" borderId="0" xfId="0" applyFont="true" applyBorder="false" applyAlignment="true" applyProtection="true">
      <alignment horizontal="center" vertical="center" textRotation="0" wrapText="true" indent="0" shrinkToFit="false"/>
      <protection locked="true" hidden="false"/>
    </xf>
    <xf numFmtId="165" fontId="40" fillId="2" borderId="0" xfId="0" applyFont="true" applyBorder="false" applyAlignment="true" applyProtection="true">
      <alignment horizontal="left" vertical="top" textRotation="0" wrapText="true" indent="0" shrinkToFit="false"/>
      <protection locked="true" hidden="false"/>
    </xf>
    <xf numFmtId="164" fontId="41" fillId="0" borderId="0" xfId="0" applyFont="true" applyBorder="true" applyAlignment="true" applyProtection="true">
      <alignment horizontal="center" vertical="top" textRotation="0" wrapText="true" indent="0" shrinkToFit="false"/>
      <protection locked="true" hidden="false"/>
    </xf>
    <xf numFmtId="164" fontId="40" fillId="2" borderId="0" xfId="0" applyFont="true" applyBorder="false" applyAlignment="true" applyProtection="true">
      <alignment horizontal="general" vertical="top" textRotation="0" wrapText="true" indent="0" shrinkToFit="false"/>
      <protection locked="true" hidden="false"/>
    </xf>
    <xf numFmtId="165" fontId="40" fillId="2" borderId="0" xfId="0" applyFont="true" applyBorder="false" applyAlignment="true" applyProtection="true">
      <alignment horizontal="general" vertical="top" textRotation="0" wrapText="true" indent="0" shrinkToFit="false"/>
      <protection locked="true" hidden="false"/>
    </xf>
    <xf numFmtId="164" fontId="41" fillId="2" borderId="7" xfId="0" applyFont="true" applyBorder="true" applyAlignment="true" applyProtection="true">
      <alignment horizontal="center" vertical="top" textRotation="0" wrapText="true" indent="0" shrinkToFit="false"/>
      <protection locked="true" hidden="false"/>
    </xf>
    <xf numFmtId="164" fontId="41" fillId="22" borderId="7" xfId="0" applyFont="true" applyBorder="true" applyAlignment="true" applyProtection="true">
      <alignment horizontal="center" vertical="top" textRotation="0" wrapText="true" indent="0" shrinkToFit="false"/>
      <protection locked="true" hidden="false"/>
    </xf>
    <xf numFmtId="164" fontId="41" fillId="2" borderId="7" xfId="0" applyFont="true" applyBorder="true" applyAlignment="true" applyProtection="true">
      <alignment horizontal="center" vertical="center" textRotation="0" wrapText="true" indent="0" shrinkToFit="false"/>
      <protection locked="true" hidden="false"/>
    </xf>
    <xf numFmtId="165" fontId="41" fillId="2" borderId="7" xfId="0" applyFont="true" applyBorder="true" applyAlignment="true" applyProtection="true">
      <alignment horizontal="center" vertical="top" textRotation="0" wrapText="true" indent="0" shrinkToFit="false"/>
      <protection locked="true" hidden="false"/>
    </xf>
    <xf numFmtId="164" fontId="42" fillId="24" borderId="7" xfId="0" applyFont="true" applyBorder="true" applyAlignment="true" applyProtection="true">
      <alignment horizontal="center" vertical="top" textRotation="0" wrapText="true" indent="0" shrinkToFit="false"/>
      <protection locked="true" hidden="false"/>
    </xf>
    <xf numFmtId="164" fontId="40" fillId="2" borderId="7" xfId="0" applyFont="true" applyBorder="true" applyAlignment="true" applyProtection="true">
      <alignment horizontal="center" vertical="top" textRotation="0" wrapText="true" indent="0" shrinkToFit="false"/>
      <protection locked="true" hidden="false"/>
    </xf>
    <xf numFmtId="164" fontId="40" fillId="2" borderId="7" xfId="0" applyFont="true" applyBorder="true" applyAlignment="true" applyProtection="true">
      <alignment horizontal="center" vertical="center" textRotation="0" wrapText="true" indent="0" shrinkToFit="false"/>
      <protection locked="true" hidden="false"/>
    </xf>
    <xf numFmtId="165" fontId="40" fillId="2" borderId="7" xfId="0" applyFont="true" applyBorder="true" applyAlignment="true" applyProtection="true">
      <alignment horizontal="center" vertical="top" textRotation="0" wrapText="true" indent="0" shrinkToFit="false"/>
      <protection locked="true" hidden="false"/>
    </xf>
    <xf numFmtId="164" fontId="43" fillId="2" borderId="9" xfId="0" applyFont="true" applyBorder="true" applyAlignment="true" applyProtection="true">
      <alignment horizontal="left" vertical="top" textRotation="0" wrapText="true" indent="0" shrinkToFit="false"/>
      <protection locked="true" hidden="false"/>
    </xf>
    <xf numFmtId="165" fontId="43" fillId="2" borderId="9" xfId="0" applyFont="true" applyBorder="true" applyAlignment="true" applyProtection="true">
      <alignment horizontal="left" vertical="top" textRotation="0" wrapText="true" indent="0" shrinkToFit="false"/>
      <protection locked="true" hidden="false"/>
    </xf>
    <xf numFmtId="164" fontId="40" fillId="2" borderId="7" xfId="0" applyFont="true" applyBorder="true" applyAlignment="true" applyProtection="true">
      <alignment horizontal="left" vertical="top" textRotation="0" wrapText="true" indent="0" shrinkToFit="false"/>
      <protection locked="true" hidden="false"/>
    </xf>
    <xf numFmtId="164" fontId="40" fillId="0" borderId="7" xfId="0" applyFont="true" applyBorder="true" applyAlignment="true" applyProtection="true">
      <alignment horizontal="left" vertical="top" textRotation="0" wrapText="true" indent="0" shrinkToFit="false"/>
      <protection locked="true" hidden="false"/>
    </xf>
    <xf numFmtId="165" fontId="40" fillId="2" borderId="7" xfId="0" applyFont="true" applyBorder="true" applyAlignment="true" applyProtection="true">
      <alignment horizontal="center" vertical="center" textRotation="0" wrapText="true" indent="0" shrinkToFit="false"/>
      <protection locked="true" hidden="false"/>
    </xf>
    <xf numFmtId="166" fontId="43" fillId="2" borderId="7" xfId="0" applyFont="true" applyBorder="true" applyAlignment="true" applyProtection="true">
      <alignment horizontal="left" vertical="top" textRotation="0" wrapText="true" indent="0" shrinkToFit="false"/>
      <protection locked="true" hidden="false"/>
    </xf>
    <xf numFmtId="165" fontId="41" fillId="22" borderId="7" xfId="0" applyFont="true" applyBorder="true" applyAlignment="true" applyProtection="true">
      <alignment horizontal="center" vertical="top" textRotation="0" wrapText="true" indent="0" shrinkToFit="false"/>
      <protection locked="true" hidden="false"/>
    </xf>
    <xf numFmtId="176" fontId="43" fillId="0" borderId="7" xfId="15" applyFont="true" applyBorder="true" applyAlignment="true" applyProtection="true">
      <alignment horizontal="center" vertical="top" textRotation="0" wrapText="true" indent="0" shrinkToFit="false"/>
      <protection locked="true" hidden="false"/>
    </xf>
    <xf numFmtId="166" fontId="43" fillId="2" borderId="7" xfId="0" applyFont="true" applyBorder="true" applyAlignment="true" applyProtection="true">
      <alignment horizontal="center" vertical="center" textRotation="0" wrapText="true" indent="0" shrinkToFit="false"/>
      <protection locked="true" hidden="false"/>
    </xf>
    <xf numFmtId="164" fontId="43" fillId="0" borderId="7" xfId="0" applyFont="true" applyBorder="true" applyAlignment="true" applyProtection="true">
      <alignment horizontal="left" vertical="top" textRotation="0" wrapText="true" indent="0" shrinkToFit="false"/>
      <protection locked="true" hidden="false"/>
    </xf>
    <xf numFmtId="165" fontId="43" fillId="2" borderId="7" xfId="0" applyFont="true" applyBorder="true" applyAlignment="true" applyProtection="true">
      <alignment horizontal="left" vertical="top" textRotation="0" wrapText="true" indent="0" shrinkToFit="false"/>
      <protection locked="true" hidden="false"/>
    </xf>
    <xf numFmtId="164" fontId="11" fillId="2" borderId="9" xfId="0" applyFont="true" applyBorder="true" applyAlignment="true" applyProtection="true">
      <alignment horizontal="left" vertical="top" textRotation="0" wrapText="true" indent="0" shrinkToFit="false"/>
      <protection locked="true" hidden="false"/>
    </xf>
    <xf numFmtId="164" fontId="44" fillId="2" borderId="7" xfId="20" applyFont="true" applyBorder="true" applyAlignment="true" applyProtection="true">
      <alignment horizontal="left" vertical="top" textRotation="0" wrapText="true" indent="0" shrinkToFit="false"/>
      <protection locked="true" hidden="false"/>
    </xf>
    <xf numFmtId="164" fontId="30" fillId="2" borderId="7" xfId="0" applyFont="true" applyBorder="true" applyAlignment="true" applyProtection="true">
      <alignment horizontal="left" vertical="top" textRotation="0" wrapText="true" indent="0" shrinkToFit="false"/>
      <protection locked="true" hidden="false"/>
    </xf>
    <xf numFmtId="164" fontId="40" fillId="27" borderId="7" xfId="0" applyFont="true" applyBorder="true" applyAlignment="true" applyProtection="true">
      <alignment horizontal="center" vertical="top" textRotation="0" wrapText="true" indent="0" shrinkToFit="false"/>
      <protection locked="true" hidden="false"/>
    </xf>
    <xf numFmtId="164" fontId="40" fillId="5" borderId="7" xfId="0" applyFont="true" applyBorder="true" applyAlignment="true" applyProtection="true">
      <alignment horizontal="left" vertical="top" textRotation="0" wrapText="true" indent="0" shrinkToFit="false"/>
      <protection locked="true" hidden="false"/>
    </xf>
    <xf numFmtId="164" fontId="40" fillId="27" borderId="7" xfId="0" applyFont="true" applyBorder="true" applyAlignment="true" applyProtection="true">
      <alignment horizontal="left" vertical="top" textRotation="0" wrapText="true" indent="0" shrinkToFit="false"/>
      <protection locked="true" hidden="false"/>
    </xf>
    <xf numFmtId="164" fontId="40" fillId="27" borderId="0" xfId="0" applyFont="true" applyBorder="false" applyAlignment="true" applyProtection="true">
      <alignment horizontal="left" vertical="top" textRotation="0" wrapText="true" indent="0" shrinkToFit="false"/>
      <protection locked="true" hidden="false"/>
    </xf>
    <xf numFmtId="164" fontId="0" fillId="27" borderId="0" xfId="0" applyFont="false" applyBorder="false" applyAlignment="true" applyProtection="true">
      <alignment horizontal="general" vertical="bottom" textRotation="0" wrapText="false" indent="0" shrinkToFit="false"/>
      <protection locked="true" hidden="false"/>
    </xf>
    <xf numFmtId="164" fontId="17" fillId="2" borderId="7" xfId="20" applyFont="true" applyBorder="true" applyAlignment="true" applyProtection="true">
      <alignment horizontal="left" vertical="top" textRotation="0" wrapText="true" indent="0" shrinkToFit="false"/>
      <protection locked="true" hidden="false"/>
    </xf>
    <xf numFmtId="165" fontId="41" fillId="27" borderId="7" xfId="0" applyFont="true" applyBorder="true" applyAlignment="true" applyProtection="true">
      <alignment horizontal="center" vertical="top" textRotation="0" wrapText="true" indent="0" shrinkToFit="false"/>
      <protection locked="true" hidden="false"/>
    </xf>
    <xf numFmtId="176" fontId="43" fillId="27" borderId="7" xfId="15" applyFont="true" applyBorder="true" applyAlignment="true" applyProtection="true">
      <alignment horizontal="center" vertical="top" textRotation="0" wrapText="true" indent="0" shrinkToFit="false"/>
      <protection locked="true" hidden="false"/>
    </xf>
    <xf numFmtId="164" fontId="45" fillId="2" borderId="7" xfId="20" applyFont="true" applyBorder="true" applyAlignment="true" applyProtection="true">
      <alignment horizontal="left" vertical="top" textRotation="0" wrapText="true" indent="0" shrinkToFit="false"/>
      <protection locked="true" hidden="false"/>
    </xf>
    <xf numFmtId="164" fontId="40" fillId="28" borderId="7" xfId="0" applyFont="true" applyBorder="true" applyAlignment="true" applyProtection="true">
      <alignment horizontal="center" vertical="top" textRotation="0" wrapText="true" indent="0" shrinkToFit="false"/>
      <protection locked="true" hidden="false"/>
    </xf>
    <xf numFmtId="165" fontId="41" fillId="28" borderId="7" xfId="0" applyFont="true" applyBorder="true" applyAlignment="true" applyProtection="true">
      <alignment horizontal="center" vertical="top" textRotation="0" wrapText="true" indent="0" shrinkToFit="false"/>
      <protection locked="true" hidden="false"/>
    </xf>
    <xf numFmtId="164" fontId="0" fillId="2" borderId="7" xfId="20" applyFont="true" applyBorder="true" applyAlignment="true" applyProtection="true">
      <alignment horizontal="left" vertical="top" textRotation="0" wrapText="true" indent="0" shrinkToFit="false"/>
      <protection locked="true" hidden="false"/>
    </xf>
    <xf numFmtId="166" fontId="43" fillId="2" borderId="7" xfId="0" applyFont="true" applyBorder="true" applyAlignment="true" applyProtection="true">
      <alignment horizontal="center" vertical="top" textRotation="0" wrapText="true" indent="0" shrinkToFit="false"/>
      <protection locked="true" hidden="false"/>
    </xf>
    <xf numFmtId="165" fontId="43" fillId="2" borderId="7" xfId="0" applyFont="true" applyBorder="true" applyAlignment="true" applyProtection="true">
      <alignment horizontal="center" vertical="top" textRotation="0" wrapText="true" indent="0" shrinkToFit="false"/>
      <protection locked="true" hidden="false"/>
    </xf>
    <xf numFmtId="164" fontId="44" fillId="2" borderId="7" xfId="0" applyFont="true" applyBorder="true" applyAlignment="true" applyProtection="true">
      <alignment horizontal="left" vertical="top" textRotation="0" wrapText="true" indent="0" shrinkToFit="false"/>
      <protection locked="true" hidden="false"/>
    </xf>
    <xf numFmtId="164" fontId="38" fillId="0" borderId="7" xfId="0" applyFont="true" applyBorder="true" applyAlignment="true" applyProtection="true">
      <alignment horizontal="left" vertical="top" textRotation="0" wrapText="true" indent="0" shrinkToFit="false"/>
      <protection locked="true" hidden="false"/>
    </xf>
    <xf numFmtId="164" fontId="46" fillId="0" borderId="7" xfId="0" applyFont="true" applyBorder="true" applyAlignment="true" applyProtection="true">
      <alignment horizontal="left" vertical="top" textRotation="0" wrapText="true" indent="0" shrinkToFit="false"/>
      <protection locked="true" hidden="false"/>
    </xf>
    <xf numFmtId="176" fontId="43" fillId="29" borderId="7" xfId="15" applyFont="true" applyBorder="true" applyAlignment="true" applyProtection="true">
      <alignment horizontal="center" vertical="top" textRotation="0" wrapText="true" indent="0" shrinkToFit="false"/>
      <protection locked="true" hidden="false"/>
    </xf>
    <xf numFmtId="164" fontId="46" fillId="2" borderId="7" xfId="0" applyFont="true" applyBorder="true" applyAlignment="true" applyProtection="true">
      <alignment horizontal="left" vertical="top" textRotation="0" wrapText="true" indent="0" shrinkToFit="false"/>
      <protection locked="true" hidden="false"/>
    </xf>
    <xf numFmtId="164" fontId="40" fillId="0" borderId="7" xfId="0" applyFont="true" applyBorder="true" applyAlignment="true" applyProtection="true">
      <alignment horizontal="center" vertical="top" textRotation="0" wrapText="true" indent="0" shrinkToFit="false"/>
      <protection locked="true" hidden="false"/>
    </xf>
    <xf numFmtId="166" fontId="43" fillId="2" borderId="7" xfId="0" applyFont="true" applyBorder="true" applyAlignment="true" applyProtection="true">
      <alignment horizontal="left" vertical="center" textRotation="0" wrapText="true" indent="0" shrinkToFit="false"/>
      <protection locked="true" hidden="false"/>
    </xf>
    <xf numFmtId="164" fontId="44" fillId="0" borderId="7" xfId="20" applyFont="true" applyBorder="true" applyAlignment="true" applyProtection="true">
      <alignment horizontal="left" vertical="top" textRotation="0" wrapText="true" indent="0" shrinkToFit="false"/>
      <protection locked="true" hidden="false"/>
    </xf>
    <xf numFmtId="164" fontId="47" fillId="2" borderId="9" xfId="0" applyFont="true" applyBorder="true" applyAlignment="true" applyProtection="true">
      <alignment horizontal="left" vertical="top" textRotation="0" wrapText="true" indent="0" shrinkToFit="false"/>
      <protection locked="true" hidden="false"/>
    </xf>
    <xf numFmtId="164" fontId="43" fillId="2" borderId="9" xfId="0" applyFont="true" applyBorder="true" applyAlignment="true" applyProtection="true">
      <alignment horizontal="center" vertical="top" textRotation="0" wrapText="true" indent="0" shrinkToFit="false"/>
      <protection locked="true" hidden="false"/>
    </xf>
    <xf numFmtId="164" fontId="38" fillId="2" borderId="7" xfId="0" applyFont="true" applyBorder="true" applyAlignment="true" applyProtection="true">
      <alignment horizontal="left" vertical="top" textRotation="0" wrapText="true" indent="0" shrinkToFit="false"/>
      <protection locked="true" hidden="false"/>
    </xf>
    <xf numFmtId="165" fontId="40" fillId="2" borderId="7" xfId="0" applyFont="true" applyBorder="true" applyAlignment="true" applyProtection="true">
      <alignment horizontal="left" vertical="top" textRotation="0" wrapText="true" indent="0" shrinkToFit="false"/>
      <protection locked="true" hidden="false"/>
    </xf>
    <xf numFmtId="164" fontId="43" fillId="2" borderId="7" xfId="0" applyFont="true" applyBorder="true" applyAlignment="true" applyProtection="true">
      <alignment horizontal="left" vertical="top" textRotation="0" wrapText="true" indent="0" shrinkToFit="false"/>
      <protection locked="true" hidden="false"/>
    </xf>
    <xf numFmtId="166" fontId="48" fillId="2" borderId="7" xfId="0" applyFont="true" applyBorder="true" applyAlignment="true" applyProtection="true">
      <alignment horizontal="left" vertical="top" textRotation="0" wrapText="true" indent="0" shrinkToFit="false"/>
      <protection locked="true" hidden="false"/>
    </xf>
    <xf numFmtId="176" fontId="43" fillId="2" borderId="7" xfId="15"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5" fontId="41" fillId="0" borderId="7" xfId="0" applyFont="true" applyBorder="true" applyAlignment="true" applyProtection="true">
      <alignment horizontal="center" vertical="top" textRotation="0" wrapText="true" indent="0" shrinkToFit="false"/>
      <protection locked="true" hidden="false"/>
    </xf>
    <xf numFmtId="164" fontId="38" fillId="2" borderId="7" xfId="0" applyFont="true" applyBorder="true" applyAlignment="true" applyProtection="true">
      <alignment horizontal="center" vertical="top" textRotation="0" wrapText="true" indent="0" shrinkToFit="false"/>
      <protection locked="true" hidden="false"/>
    </xf>
    <xf numFmtId="164" fontId="49" fillId="2" borderId="7" xfId="0" applyFont="true" applyBorder="true" applyAlignment="true" applyProtection="true">
      <alignment horizontal="left" vertical="top" textRotation="0" wrapText="true" indent="0" shrinkToFit="false"/>
      <protection locked="true" hidden="false"/>
    </xf>
    <xf numFmtId="164" fontId="50" fillId="2" borderId="7" xfId="0" applyFont="true" applyBorder="true" applyAlignment="true" applyProtection="true">
      <alignment horizontal="center" vertical="top" textRotation="0" wrapText="true" indent="0" shrinkToFit="false"/>
      <protection locked="true" hidden="false"/>
    </xf>
    <xf numFmtId="164" fontId="47" fillId="2" borderId="7" xfId="0" applyFont="true" applyBorder="true" applyAlignment="true" applyProtection="true">
      <alignment horizontal="left" vertical="top" textRotation="0" wrapText="true" indent="0" shrinkToFit="false"/>
      <protection locked="true" hidden="false"/>
    </xf>
    <xf numFmtId="164" fontId="51" fillId="2" borderId="7" xfId="22" applyFont="true" applyBorder="true" applyAlignment="true" applyProtection="true">
      <alignment horizontal="left" vertical="center" textRotation="0" wrapText="true" indent="0" shrinkToFit="false"/>
      <protection locked="true" hidden="false"/>
    </xf>
    <xf numFmtId="165" fontId="38" fillId="2" borderId="7" xfId="0" applyFont="true" applyBorder="true" applyAlignment="true" applyProtection="true">
      <alignment horizontal="center" vertical="top" textRotation="0" wrapText="true" indent="0" shrinkToFit="false"/>
      <protection locked="true" hidden="false"/>
    </xf>
    <xf numFmtId="175" fontId="51" fillId="2" borderId="7" xfId="22" applyFont="true" applyBorder="true" applyAlignment="true" applyProtection="true">
      <alignment horizontal="left" vertical="center" textRotation="0" wrapText="true" indent="0" shrinkToFit="false"/>
      <protection locked="true" hidden="false"/>
    </xf>
    <xf numFmtId="164" fontId="0" fillId="5" borderId="7" xfId="0" applyFont="true" applyBorder="true" applyAlignment="true" applyProtection="true">
      <alignment horizontal="left" vertical="top" textRotation="0" wrapText="true" indent="0" shrinkToFit="false"/>
      <protection locked="true" hidden="false"/>
    </xf>
    <xf numFmtId="166" fontId="43" fillId="5" borderId="7" xfId="0" applyFont="true" applyBorder="true" applyAlignment="true" applyProtection="true">
      <alignment horizontal="center" vertical="center" textRotation="0" wrapText="true" indent="0" shrinkToFit="false"/>
      <protection locked="true" hidden="false"/>
    </xf>
    <xf numFmtId="164" fontId="0" fillId="2" borderId="7" xfId="0" applyFont="true" applyBorder="true" applyAlignment="true" applyProtection="true">
      <alignment horizontal="left" vertical="top" textRotation="0" wrapText="true" indent="0" shrinkToFit="false"/>
      <protection locked="true" hidden="false"/>
    </xf>
    <xf numFmtId="166" fontId="48" fillId="2" borderId="7" xfId="0" applyFont="true" applyBorder="true" applyAlignment="true" applyProtection="true">
      <alignment horizontal="center" vertical="top" textRotation="0" wrapText="true" indent="0" shrinkToFit="false"/>
      <protection locked="true" hidden="false"/>
    </xf>
    <xf numFmtId="175" fontId="49" fillId="2" borderId="7" xfId="22" applyFont="true" applyBorder="true" applyAlignment="true" applyProtection="true">
      <alignment horizontal="left" vertical="center" textRotation="0" wrapText="true" indent="0" shrinkToFit="false"/>
      <protection locked="true" hidden="false"/>
    </xf>
    <xf numFmtId="164" fontId="38" fillId="0" borderId="7" xfId="0" applyFont="true" applyBorder="true" applyAlignment="true" applyProtection="true">
      <alignment horizontal="center" vertical="top" textRotation="0" wrapText="true" indent="0" shrinkToFit="false"/>
      <protection locked="true" hidden="false"/>
    </xf>
    <xf numFmtId="175" fontId="49" fillId="0" borderId="7" xfId="22" applyFont="true" applyBorder="true" applyAlignment="true" applyProtection="true">
      <alignment horizontal="left" vertical="center" textRotation="0" wrapText="true" indent="0" shrinkToFit="false"/>
      <protection locked="true" hidden="false"/>
    </xf>
    <xf numFmtId="165" fontId="38" fillId="0" borderId="7" xfId="0" applyFont="true" applyBorder="true" applyAlignment="true" applyProtection="true">
      <alignment horizontal="center" vertical="top" textRotation="0" wrapText="true" indent="0" shrinkToFit="false"/>
      <protection locked="true" hidden="false"/>
    </xf>
    <xf numFmtId="164" fontId="0" fillId="0" borderId="7" xfId="0" applyFont="true" applyBorder="true" applyAlignment="true" applyProtection="true">
      <alignment horizontal="left" vertical="top" textRotation="0" wrapText="true" indent="0" shrinkToFit="false"/>
      <protection locked="true" hidden="false"/>
    </xf>
    <xf numFmtId="166" fontId="44" fillId="0" borderId="7" xfId="0" applyFont="true" applyBorder="true" applyAlignment="true" applyProtection="true">
      <alignment horizontal="left" vertical="top" textRotation="0" wrapText="true" indent="0" shrinkToFit="false"/>
      <protection locked="true" hidden="false"/>
    </xf>
    <xf numFmtId="166" fontId="30" fillId="0" borderId="7" xfId="0" applyFont="true" applyBorder="true" applyAlignment="true" applyProtection="true">
      <alignment horizontal="center" vertical="center" textRotation="0" wrapText="true" indent="0" shrinkToFit="false"/>
      <protection locked="true" hidden="false"/>
    </xf>
    <xf numFmtId="165" fontId="38" fillId="0" borderId="7" xfId="0" applyFont="true" applyBorder="true" applyAlignment="true" applyProtection="true">
      <alignment horizontal="left" vertical="top" textRotation="0" wrapText="true" indent="0" shrinkToFit="false"/>
      <protection locked="true" hidden="false"/>
    </xf>
    <xf numFmtId="165" fontId="52" fillId="0" borderId="7" xfId="0" applyFont="true" applyBorder="true" applyAlignment="true" applyProtection="true">
      <alignment horizontal="center" vertical="top" textRotation="0" wrapText="true" indent="0" shrinkToFit="false"/>
      <protection locked="true" hidden="false"/>
    </xf>
    <xf numFmtId="164" fontId="38" fillId="0" borderId="0" xfId="0" applyFont="true" applyBorder="false" applyAlignment="true" applyProtection="true">
      <alignment horizontal="left" vertical="top" textRotation="0" wrapText="true" indent="0" shrinkToFit="false"/>
      <protection locked="true" hidden="false"/>
    </xf>
    <xf numFmtId="176" fontId="30" fillId="0" borderId="7" xfId="15" applyFont="true" applyBorder="true" applyAlignment="true" applyProtection="true">
      <alignment horizontal="center"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5" fontId="43" fillId="2" borderId="9" xfId="0" applyFont="true" applyBorder="true" applyAlignment="true" applyProtection="true">
      <alignment horizontal="center" vertical="top" textRotation="0" wrapText="true" indent="0" shrinkToFit="false"/>
      <protection locked="true" hidden="false"/>
    </xf>
    <xf numFmtId="164" fontId="40" fillId="0" borderId="7" xfId="0" applyFont="true" applyBorder="true" applyAlignment="true" applyProtection="true">
      <alignment horizontal="general" vertical="top" textRotation="0" wrapText="tru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41" fillId="2" borderId="0" xfId="0" applyFont="true" applyBorder="true" applyAlignment="true" applyProtection="true">
      <alignment horizontal="general" vertical="top" textRotation="0" wrapText="true" indent="0" shrinkToFit="false"/>
      <protection locked="true" hidden="false"/>
    </xf>
    <xf numFmtId="165" fontId="38" fillId="2" borderId="0" xfId="0" applyFont="true" applyBorder="false" applyAlignment="true" applyProtection="true">
      <alignment horizontal="left" vertical="top" textRotation="0" wrapText="true" indent="0" shrinkToFit="false"/>
      <protection locked="true" hidden="false"/>
    </xf>
    <xf numFmtId="164" fontId="52" fillId="0" borderId="0" xfId="0" applyFont="true" applyBorder="true" applyAlignment="true" applyProtection="true">
      <alignment horizontal="general"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Обычный 2" xfId="21"/>
    <cellStyle name="Обычный 4 2 2 2" xfId="22"/>
    <cellStyle name="*unknown*" xfId="20" builtinId="8"/>
  </cellStyles>
  <dxfs count="36">
    <dxf>
      <fill>
        <patternFill patternType="solid">
          <fgColor rgb="FFB3CAC7"/>
        </patternFill>
      </fill>
    </dxf>
    <dxf>
      <fill>
        <patternFill patternType="solid">
          <fgColor rgb="FFFFB66C"/>
        </patternFill>
      </fill>
    </dxf>
    <dxf>
      <fill>
        <patternFill patternType="solid">
          <fgColor rgb="00FFFFFF"/>
        </patternFill>
      </fill>
    </dxf>
    <dxf>
      <fill>
        <patternFill patternType="solid">
          <fgColor rgb="FF000000"/>
          <bgColor rgb="FFFFFFFF"/>
        </patternFill>
      </fill>
    </dxf>
    <dxf>
      <fill>
        <patternFill patternType="solid">
          <fgColor rgb="FFC9211E"/>
        </patternFill>
      </fill>
    </dxf>
    <dxf>
      <fill>
        <patternFill patternType="solid">
          <fgColor rgb="FFFF0000"/>
        </patternFill>
      </fill>
    </dxf>
    <dxf>
      <fill>
        <patternFill patternType="solid">
          <fgColor rgb="FFFFFF00"/>
        </patternFill>
      </fill>
    </dxf>
    <dxf>
      <fill>
        <patternFill patternType="solid">
          <fgColor rgb="FF0000FF"/>
        </patternFill>
      </fill>
    </dxf>
    <dxf>
      <fill>
        <patternFill patternType="solid">
          <fgColor rgb="FF0563C1"/>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ill>
        <patternFill patternType="solid">
          <fgColor rgb="FFFFFFFF"/>
        </patternFill>
      </fill>
    </dxf>
    <dxf>
      <fill>
        <patternFill patternType="solid">
          <fgColor rgb="FFADB9CA"/>
        </patternFill>
      </fill>
    </dxf>
    <dxf>
      <fill>
        <patternFill patternType="solid">
          <fgColor rgb="FFF2F2F2"/>
        </patternFill>
      </fill>
    </dxf>
    <dxf>
      <fill>
        <patternFill patternType="solid">
          <fgColor rgb="FF9DC3E6"/>
        </patternFill>
      </fill>
    </dxf>
    <dxf>
      <fill>
        <patternFill patternType="solid">
          <fgColor rgb="FFF8CBAD"/>
        </patternFill>
      </fill>
    </dxf>
    <dxf>
      <fill>
        <patternFill patternType="solid">
          <fgColor rgb="FFC5E0B4"/>
        </patternFill>
      </fill>
    </dxf>
    <dxf>
      <fill>
        <patternFill patternType="solid">
          <fgColor rgb="FFFFC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s>
  <colors>
    <indexedColors>
      <rgbColor rgb="FF000000"/>
      <rgbColor rgb="FFFFFFFF"/>
      <rgbColor rgb="FFFF0000"/>
      <rgbColor rgb="FF00FF00"/>
      <rgbColor rgb="FF0000FF"/>
      <rgbColor rgb="FFFFFF00"/>
      <rgbColor rgb="FFFF00FF"/>
      <rgbColor rgb="FFEDE7F6"/>
      <rgbColor rgb="FF800000"/>
      <rgbColor rgb="FF008000"/>
      <rgbColor rgb="FF000080"/>
      <rgbColor rgb="FF616161"/>
      <rgbColor rgb="FF800080"/>
      <rgbColor rgb="FF008080"/>
      <rgbColor rgb="FFB3CAC7"/>
      <rgbColor rgb="FF7986CB"/>
      <rgbColor rgb="FFA6A6A6"/>
      <rgbColor rgb="FFE91E63"/>
      <rgbColor rgb="FFF9FBE7"/>
      <rgbColor rgb="FFE8EAF6"/>
      <rgbColor rgb="FF660066"/>
      <rgbColor rgb="FFADB9CA"/>
      <rgbColor rgb="FF0563C1"/>
      <rgbColor rgb="FFC5CAE9"/>
      <rgbColor rgb="FF000080"/>
      <rgbColor rgb="FFFF00FF"/>
      <rgbColor rgb="FFFFD7D7"/>
      <rgbColor rgb="FF00FFFF"/>
      <rgbColor rgb="FF800080"/>
      <rgbColor rgb="FF800000"/>
      <rgbColor rgb="FF008080"/>
      <rgbColor rgb="FF0000FF"/>
      <rgbColor rgb="FF00B0F0"/>
      <rgbColor rgb="FFF2F2F2"/>
      <rgbColor rgb="FFC5E0B4"/>
      <rgbColor rgb="FFFFD966"/>
      <rgbColor rgb="FF9DC3E6"/>
      <rgbColor rgb="FFFFB66C"/>
      <rgbColor rgb="FFD1C4E9"/>
      <rgbColor rgb="FFF8CBAD"/>
      <rgbColor rgb="FF3366FF"/>
      <rgbColor rgb="FFAFD095"/>
      <rgbColor rgb="FF81D41A"/>
      <rgbColor rgb="FFFFC000"/>
      <rgbColor rgb="FFFFBF00"/>
      <rgbColor rgb="FFFF4000"/>
      <rgbColor rgb="FF666666"/>
      <rgbColor rgb="FF999999"/>
      <rgbColor rgb="FF003366"/>
      <rgbColor rgb="FFB1DBFD"/>
      <rgbColor rgb="FF003300"/>
      <rgbColor rgb="FF333300"/>
      <rgbColor rgb="FFC9211E"/>
      <rgbColor rgb="FF993366"/>
      <rgbColor rgb="FF333399"/>
      <rgbColor rgb="FF222A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33</xdr:col>
      <xdr:colOff>478440</xdr:colOff>
      <xdr:row>158</xdr:row>
      <xdr:rowOff>104400</xdr:rowOff>
    </xdr:from>
    <xdr:to>
      <xdr:col>43</xdr:col>
      <xdr:colOff>427680</xdr:colOff>
      <xdr:row>161</xdr:row>
      <xdr:rowOff>816480</xdr:rowOff>
    </xdr:to>
    <xdr:pic>
      <xdr:nvPicPr>
        <xdr:cNvPr id="0" name="Рисунок 1" descr=""/>
        <xdr:cNvPicPr/>
      </xdr:nvPicPr>
      <xdr:blipFill>
        <a:blip r:embed="rId1"/>
        <a:srcRect l="10204" t="27385" r="53823" b="38146"/>
        <a:stretch/>
      </xdr:blipFill>
      <xdr:spPr>
        <a:xfrm>
          <a:off x="22314960" y="10181880"/>
          <a:ext cx="7170480" cy="4598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www.vseinstrumenti.ru/product/universalnoe-sredstvo-dlya-ochistki-ekoaktiv-50-4603784315009-1505506/" TargetMode="External"/><Relationship Id="rId2" Type="http://schemas.openxmlformats.org/officeDocument/2006/relationships/hyperlink" Target="https://garwin.ru/tovar/promyshlennyy-ochistitel-ekoaktiv-20-l" TargetMode="External"/><Relationship Id="rId3" Type="http://schemas.openxmlformats.org/officeDocument/2006/relationships/hyperlink" Target="https://www.chipdip.ru/product0/8011076829" TargetMode="External"/><Relationship Id="rId4" Type="http://schemas.openxmlformats.org/officeDocument/2006/relationships/hyperlink" Target="https://loctite.gluesale.ru/ind/anaerob/flange_fixation/142502/" TargetMode="External"/><Relationship Id="rId5" Type="http://schemas.openxmlformats.org/officeDocument/2006/relationships/hyperlink" Target="https://www.abc-nn.ru/autohimia/vysokotemperaturnye_germetiki/?aeID=20276" TargetMode="External"/><Relationship Id="rId6" Type="http://schemas.openxmlformats.org/officeDocument/2006/relationships/hyperlink" Target="https://svm24.ru/catalog/tekhnicheskaya_khimiya/germetik_prokladka_vysokotemperaturnyy_343_s_krasnyy_tyubik_85_gr_avk_345/" TargetMode="External"/><Relationship Id="rId7" Type="http://schemas.openxmlformats.org/officeDocument/2006/relationships/hyperlink" Target="https://bpks.ru/product/labomid-m?yclid=5545745816781062143" TargetMode="External"/><Relationship Id="rId8" Type="http://schemas.openxmlformats.org/officeDocument/2006/relationships/hyperlink" Target="https://vetagro161.ru/shop/goods/moyuschee_sredstvo_labomid_m_-1199523053?ysclid=lvc2gleqh0552187812" TargetMode="External"/><Relationship Id="rId9" Type="http://schemas.openxmlformats.org/officeDocument/2006/relationships/hyperlink" Target="https://ugreaktiv-galvanika.ru/magazin-2/product/moyushchee-sredstvo-labomid-203-s-vysokoj-ochishchayushchej-sposobnostyu-1?ysclid=lvc2am6k3f983367692" TargetMode="External"/><Relationship Id="rId10" Type="http://schemas.openxmlformats.org/officeDocument/2006/relationships/hyperlink" Target="https://nizhnij-novgorod.regtorg.ru/goods/t511475-negagel_universalnoe_mojuschee_sredstvo.htm" TargetMode="External"/><Relationship Id="rId11" Type="http://schemas.openxmlformats.org/officeDocument/2006/relationships/hyperlink" Target="https://fe-ltd.ru/catalog/khozyaystvennye-tovary/moyushchee-sredstvo-nega.html" TargetMode="External"/><Relationship Id="rId12" Type="http://schemas.openxmlformats.org/officeDocument/2006/relationships/hyperlink" Target="https://npo-mhc.ru/product/smazka-lita/?ysclid=lvc32feni5920337600" TargetMode="External"/><Relationship Id="rId13" Type="http://schemas.openxmlformats.org/officeDocument/2006/relationships/hyperlink" Target="https://www.zarechie.ru/catalogue/lubricants/low-temperature/lita.html" TargetMode="External"/><Relationship Id="rId14" Type="http://schemas.openxmlformats.org/officeDocument/2006/relationships/hyperlink" Target="https://satom.ru/p/621118245-smazka-lita-5kg/?ysclid=lvc45fgdzw82950893" TargetMode="External"/><Relationship Id="rId15" Type="http://schemas.openxmlformats.org/officeDocument/2006/relationships/hyperlink" Target="https://vdkras.ru/shop/goods/nerjamet_3_v_1_kraska_dlya_metalla_po_rjavchine_antikorrozionnaya_alkidnaya_kraska_po_metallu_20_kg-619?ysclid=lvc5i8uezt535849208" TargetMode="External"/><Relationship Id="rId16" Type="http://schemas.openxmlformats.org/officeDocument/2006/relationships/hyperlink" Target="https://zentrkrasok.ru/catalog/grunt-emali-po-metallu-i-rzhavchine/nerzhamet-antikorrozionnaya-kraska-dlya-metalla-po-rzhavchine-3-v-1-10-kg.html?ysclid=lvde2ugcjx603732068" TargetMode="External"/><Relationship Id="rId17" Type="http://schemas.openxmlformats.org/officeDocument/2006/relationships/hyperlink" Target="https://www.vse-kraski.ru/catalog/emali/7497-emal_nerzhamet.html?ysclid=lvde4kfuio914654908" TargetMode="External"/><Relationship Id="rId18" Type="http://schemas.openxmlformats.org/officeDocument/2006/relationships/hyperlink" Target="https://npp-sofit.ru/internetmagazin/product/antikorrozionnaya-grunt-emalevaya-kompoziciya-kornika" TargetMode="External"/><Relationship Id="rId19" Type="http://schemas.openxmlformats.org/officeDocument/2006/relationships/hyperlink" Target="https://dkc-msk.ru/products/lotok-perforirovannyy-400kh100-l3000-tolshch-1-2-mm-3534512/" TargetMode="External"/><Relationship Id="rId20" Type="http://schemas.openxmlformats.org/officeDocument/2006/relationships/hyperlink" Target="https://www.dkcmarket.ru/3534512.html" TargetMode="External"/><Relationship Id="rId21" Type="http://schemas.openxmlformats.org/officeDocument/2006/relationships/hyperlink" Target="https://ekfgroup.com/catalog/products/lotok-perforirovannyj-metallicheskij-100-400x3000-1-2mm-12m-hdz-ekf" TargetMode="External"/><Relationship Id="rId22" Type="http://schemas.openxmlformats.org/officeDocument/2006/relationships/hyperlink" Target="https://rs24.ru/product/21333" TargetMode="External"/><Relationship Id="rId23" Type="http://schemas.openxmlformats.org/officeDocument/2006/relationships/hyperlink" Target="https://ekfgroup.com/catalog/products/lotok-perforirovannyj-metallicheskij-50-400x3000-1-2mm-12-m-ekf" TargetMode="External"/><Relationship Id="rId24" Type="http://schemas.openxmlformats.org/officeDocument/2006/relationships/hyperlink" Target="https://www.rezina-evraz.ru/goods/229554451-nabivka_pgn_3100" TargetMode="External"/><Relationship Id="rId25" Type="http://schemas.openxmlformats.org/officeDocument/2006/relationships/hyperlink" Target="https://nn.pulscen.ru/products/nabivka_pgn_3100_229554451?ysclid=lvdqj5zivi891522434" TargetMode="External"/><Relationship Id="rId26" Type="http://schemas.openxmlformats.org/officeDocument/2006/relationships/hyperlink" Target="https://pd-shop.ru/nasos-drenazhnyj-pedrollo-dm-30-kabel-10m?ysclid=lvezrfxgsv121982973" TargetMode="External"/><Relationship Id="rId27" Type="http://schemas.openxmlformats.org/officeDocument/2006/relationships/hyperlink" Target="https://e-nasos.ru/drenajnye/pedrollo/d/dm30-n-10m?uta_channel=yandex_v3_cl1000117_search_none_type1_c26848922_g3113400984_a5197035063_k11934781882&amp;yclid=13314420956541747199" TargetMode="External"/><Relationship Id="rId28" Type="http://schemas.openxmlformats.org/officeDocument/2006/relationships/hyperlink" Target="https://nnov.tssib.ru/nasosnoe-oborudovanie/drenazhnye/pedrollo/nasos-pedrollo-dm-10/?ysclid=lvf6adjnas474789919" TargetMode="External"/><Relationship Id="rId29" Type="http://schemas.openxmlformats.org/officeDocument/2006/relationships/hyperlink" Target="https://pd-shop.ru/nasos-drenazhnyj-pedrollo-dm-10?ysclid=lvf69ncrv11839670" TargetMode="External"/><Relationship Id="rId30" Type="http://schemas.openxmlformats.org/officeDocument/2006/relationships/hyperlink" Target="https://top-tehno.store/avtoshampun-rein-premium-20-kg-17l-0-001-503" TargetMode="External"/><Relationship Id="rId31" Type="http://schemas.openxmlformats.org/officeDocument/2006/relationships/hyperlink" Target="https://bistrotehnika.ru/sadovaya-tehnika/professionalnye-mojki-minimojki/aksessuary-dlya-mojki/avtoshampun-rein-premium-20-kg-17l-0-001-503.html" TargetMode="External"/><Relationship Id="rId32" Type="http://schemas.openxmlformats.org/officeDocument/2006/relationships/hyperlink" Target="https://texuborka.ru/product/avtoshampun-rein-agent-s-20-l/?ysclid=lvf6ro86f483183781" TargetMode="External"/><Relationship Id="rId33" Type="http://schemas.openxmlformats.org/officeDocument/2006/relationships/hyperlink" Target="https://superoil.ru/shop/smazki/kluber-asonic-ghy-72-1-kg-smazka-dlya-podshipnikov-kacheniya/" TargetMode="External"/><Relationship Id="rId34" Type="http://schemas.openxmlformats.org/officeDocument/2006/relationships/hyperlink" Target="https://korporacia.ru/&#1089;&#1084;&#1072;&#1079;&#1082;&#1072;-&#1087;&#1086;&#1083;&#1080;&#1090;&#1077;&#1088;&#1084;?utm_source=YandexDirect&amp;utm_medium=cpc&amp;utm_campaign=102854659&amp;utm_content=1827549063441118906&amp;utm_term=---autotargeting&amp;yclid=13517762041992970239" TargetMode="External"/><Relationship Id="rId35" Type="http://schemas.openxmlformats.org/officeDocument/2006/relationships/hyperlink" Target="https://www.beoil.ru/smazki/termostoykie/politerm-s-1-18-kg" TargetMode="External"/><Relationship Id="rId36" Type="http://schemas.openxmlformats.org/officeDocument/2006/relationships/hyperlink" Target="https://appnn.ru/catalog/promyshlennaya_khimiya/kley/24987/?ysclid=lvf7oth56y297583143" TargetMode="External"/><Relationship Id="rId37" Type="http://schemas.openxmlformats.org/officeDocument/2006/relationships/hyperlink" Target="https://loctite.com.ru/loctite-195678" TargetMode="External"/><Relationship Id="rId38" Type="http://schemas.openxmlformats.org/officeDocument/2006/relationships/hyperlink" Target="https://loctite.gluesale.ru/ind/cyanoacrylate_glue/142597/" TargetMode="External"/><Relationship Id="rId39" Type="http://schemas.openxmlformats.org/officeDocument/2006/relationships/hyperlink" Target="https://www.geo-st.ru/catalogue/komplekty-dlya-tsd/penetrant_sherwin_dp_51/?ysclid=lvgnicbctk242917777" TargetMode="External"/><Relationship Id="rId40" Type="http://schemas.openxmlformats.org/officeDocument/2006/relationships/hyperlink" Target="https://www.centr-kachestvo.ru/catalog/-_29/sherwin_d_100_proqvitelx_a_rozolx_500_ml_1/" TargetMode="External"/><Relationship Id="rId41" Type="http://schemas.openxmlformats.org/officeDocument/2006/relationships/hyperlink" Target="https://acnkru.ru/catalog/d-100/" TargetMode="External"/><Relationship Id="rId42" Type="http://schemas.openxmlformats.org/officeDocument/2006/relationships/hyperlink" Target="https://www.centr-kachestvo.ru/catalog/cvetnoj_metod/ochistitelx_sherwin_dr_60_a_rozolx_500ml_1/?sphrase_id=246907" TargetMode="External"/><Relationship Id="rId43" Type="http://schemas.openxmlformats.org/officeDocument/2006/relationships/hyperlink" Target="https://acnkru.ru/catalog/ochistitel-dr-60/" TargetMode="External"/><Relationship Id="rId44" Type="http://schemas.openxmlformats.org/officeDocument/2006/relationships/hyperlink" Target="https://order-nn.ru/kmo/catalog/7021/325898?ysclid=lvgas8j1jd55589706" TargetMode="External"/><Relationship Id="rId45" Type="http://schemas.openxmlformats.org/officeDocument/2006/relationships/hyperlink" Target="https://stroykray.ru/krug-lepestkovyj-torcevoj-klt1-r60-25-125-h-22-m-92181" TargetMode="External"/><Relationship Id="rId46" Type="http://schemas.openxmlformats.org/officeDocument/2006/relationships/hyperlink" Target="https://www.krepco.ru/catalog/raskhodnye-materialy/diski/krug-lepestkovyy-tortsevoy/krug-lepestkovyy-tortsevoy-180-22-25/" TargetMode="External"/><Relationship Id="rId47" Type="http://schemas.openxmlformats.org/officeDocument/2006/relationships/hyperlink" Target="https://baki.ru/katalog/teploventilyatory/elektroteploventilyator-etv-3-uspekh-3-kvt-na-100-m3-detail" TargetMode="External"/><Relationship Id="rId48" Type="http://schemas.openxmlformats.org/officeDocument/2006/relationships/hyperlink" Target="https://www.vent-style.ru/goods/etv-3-ten" TargetMode="External"/><Relationship Id="rId49" Type="http://schemas.openxmlformats.org/officeDocument/2006/relationships/hyperlink" Target="https://www.roomklimat.ru/catalog/otoplenie/teplovye-pushki/teplovye-pushki-elektricheskie/teplovye-pushki-elektricheskie-etv/elektricheskaya-teplovaya-pushka-etv-3-3kvt-220v/" TargetMode="External"/><Relationship Id="rId50" Type="http://schemas.openxmlformats.org/officeDocument/2006/relationships/hyperlink" Target="https://halal-spb.ru/product/zhir-govyazhiy" TargetMode="External"/><Relationship Id="rId51" Type="http://schemas.openxmlformats.org/officeDocument/2006/relationships/hyperlink" Target="https://shukur.ru/products/avtogermetik-prokladka-avtosil-180-gr.-685" TargetMode="External"/><Relationship Id="rId52" Type="http://schemas.openxmlformats.org/officeDocument/2006/relationships/hyperlink" Target="https://kealan.ru/catalog/834/22325/" TargetMode="External"/><Relationship Id="rId53" Type="http://schemas.openxmlformats.org/officeDocument/2006/relationships/hyperlink" Target="https://www.vseinstrumenti.ru/product/avtogermetik-prokladka-kazanskij-silikon-180-g-7012019w180-11266886/?ysclid=ly5h2yjh3k835818896" TargetMode="External"/><Relationship Id="rId54" Type="http://schemas.openxmlformats.org/officeDocument/2006/relationships/hyperlink" Target="https://teplo-as.ru/catalogue/boiler/electro/kotel-evan-epo-72/?ysclid=lvgew0l4r4187183497" TargetMode="External"/><Relationship Id="rId55" Type="http://schemas.openxmlformats.org/officeDocument/2006/relationships/hyperlink" Target="https://valterra.ru/catalog/elektrootopitelnye-kotly/elektrootopitelnye-kotly-klassa-professional-epo-72-120-evan/?ysclid=lvgexi9ujf846243869" TargetMode="External"/><Relationship Id="rId56" Type="http://schemas.openxmlformats.org/officeDocument/2006/relationships/hyperlink" Target="https://mircli.ru/evan-epo-72/" TargetMode="External"/><Relationship Id="rId57" Type="http://schemas.openxmlformats.org/officeDocument/2006/relationships/hyperlink" Target="https://mircli.ru/evan-epvn-120/" TargetMode="External"/><Relationship Id="rId58" Type="http://schemas.openxmlformats.org/officeDocument/2006/relationships/hyperlink" Target="https://kotel-evan.ru/epvn-120-kvt-protochnyiy-elektricheskiy-vodonagrevatel/" TargetMode="External"/><Relationship Id="rId59" Type="http://schemas.openxmlformats.org/officeDocument/2006/relationships/hyperlink" Target="https://nnov.kuvalda.ru/catalog/10581/product-52167/?ysclid=lvgek5rvn0128917644" TargetMode="External"/><Relationship Id="rId60" Type="http://schemas.openxmlformats.org/officeDocument/2006/relationships/hyperlink" Target="https://www.virage24.ru/shop/elastichnyy-material-em-1-gost-15960-96-10-160mm/" TargetMode="External"/><Relationship Id="rId61" Type="http://schemas.openxmlformats.org/officeDocument/2006/relationships/hyperlink" Target="https://ttochka.com/catalog/10-160-em-1-lenta-tormoznaya/" TargetMode="External"/><Relationship Id="rId62" Type="http://schemas.openxmlformats.org/officeDocument/2006/relationships/hyperlink" Target="https://best-vendor.ru/product/belting-filtrovalnyj/" TargetMode="External"/><Relationship Id="rId63" Type="http://schemas.openxmlformats.org/officeDocument/2006/relationships/hyperlink" Target="https://td-ogural.ru/catalog/filtrovalnye_tkani/khlopchatobumazhnye_tkani/2295/?ysclid=lvgdcx79e3540594738" TargetMode="External"/><Relationship Id="rId64" Type="http://schemas.openxmlformats.org/officeDocument/2006/relationships/hyperlink" Target="https://ttkan.ru/product/tkan-belting-bf-bd-art-2030-gost-332-91-shirinoj-140sm/?ysclid=lvgdaxm6na306566837" TargetMode="External"/><Relationship Id="rId65" Type="http://schemas.openxmlformats.org/officeDocument/2006/relationships/hyperlink" Target="https://santehtula.com/catalog/klapany-chugunnye/39439/" TargetMode="External"/><Relationship Id="rId66" Type="http://schemas.openxmlformats.org/officeDocument/2006/relationships/hyperlink" Target="https://tehtepla.ru/catalog/ventili/ventili_chugunnye/10104/" TargetMode="External"/><Relationship Id="rId67" Type="http://schemas.openxmlformats.org/officeDocument/2006/relationships/hyperlink" Target="https://teharmatura.ru/catalog/truboprovodnaya-armatura/ventili_klapany_zapornye/ventili_chugunnye/ventili_15kch18p/34256/" TargetMode="External"/><Relationship Id="rId68" Type="http://schemas.openxmlformats.org/officeDocument/2006/relationships/hyperlink" Target="https://valtec.ru/catalog/truboprovodnaya_armatura/sharovye_krany_dlya_vody_standart_pn40/vt120gn_kran_sharovoj_standart_s_dlinnoj_rukoyatkoj_i_vnutrennej_rezboj.html" TargetMode="External"/><Relationship Id="rId69" Type="http://schemas.openxmlformats.org/officeDocument/2006/relationships/hyperlink" Target="https://all4bath.ru/inzhenernaya-santekhnika/zapornaya-armatura/sharovye-krany/kran-sharovyy-valtec-standart-dlinnaya-rukoyatka-3-4-vn-vn-pn40-vt-120-gn-05/" TargetMode="External"/><Relationship Id="rId70" Type="http://schemas.openxmlformats.org/officeDocument/2006/relationships/hyperlink" Target="https://www.termokit.ru/product/kran_sharovoy_valtec_standart_3_4_vv_pn40_rychag.htm?ysclid=lvgcxjsd96603051771" TargetMode="External"/><Relationship Id="rId71" Type="http://schemas.openxmlformats.org/officeDocument/2006/relationships/hyperlink" Target="https://www.stoc.ru/catalog/oborudovanie-dlya-sistem-pozharotusheniya/golovka-gm-50-napornaya-muftovaya-gost-28352-89/?ysclid=lvdv3qocmh574812107" TargetMode="External"/><Relationship Id="rId72" Type="http://schemas.openxmlformats.org/officeDocument/2006/relationships/hyperlink" Target="https://www.magazin01.ru/catalog/rukava-inventar/Stvoly-pojarnye-i-golovki-soedinitelnye/Golovki-napornye/Golovka-muftovaya-GM-50/?ysclid=lvduk2dh8322797419" TargetMode="External"/><Relationship Id="rId73" Type="http://schemas.openxmlformats.org/officeDocument/2006/relationships/hyperlink" Target="https://dn.ru/pojarnoe_oborudovanie/armatura/golovka/apogej/gm/dn50" TargetMode="External"/><Relationship Id="rId74" Type="http://schemas.openxmlformats.org/officeDocument/2006/relationships/hyperlink" Target="https://nizhnij-novgorod.eterial.com/catalog/soplo-dlya-moyushchey-golovki-hkf-50-030/" TargetMode="External"/><Relationship Id="rId75" Type="http://schemas.openxmlformats.org/officeDocument/2006/relationships/hyperlink" Target="https://k-nadom.ru/catalog/soplo_dlya_moyuschey_golovki_hkf_50_030/?ysclid=lvex16zbus76110799" TargetMode="External"/><Relationship Id="rId76" Type="http://schemas.openxmlformats.org/officeDocument/2006/relationships/hyperlink" Target="https://k24-shop.ru/products/53238973?ysclid=lvex84ul9r391632205" TargetMode="External"/><Relationship Id="rId77" Type="http://schemas.openxmlformats.org/officeDocument/2006/relationships/hyperlink" Target="https://letfix.ru/rigging/chain/8x24_mm_kruglozvennye_kalibrovannye.html?ysclid=lveyabgpx7288427672" TargetMode="External"/><Relationship Id="rId78" Type="http://schemas.openxmlformats.org/officeDocument/2006/relationships/hyperlink" Target="https://www.nordicwind.ru/catalog/44/531/?ysclid=lvexpx9b8g55232772" TargetMode="External"/><Relationship Id="rId79" Type="http://schemas.openxmlformats.org/officeDocument/2006/relationships/hyperlink" Target="https://ocalift.ru/cepi-gruzovye-g80/cepi-dlya-cepnyh-strop/8x24-dlya-cepnyh-strop?ysclid=lvexzqnt78516282455" TargetMode="External"/><Relationship Id="rId80" Type="http://schemas.openxmlformats.org/officeDocument/2006/relationships/hyperlink" Target="https://www.etm.ru/cat/nn/2103010" TargetMode="External"/><Relationship Id="rId81" Type="http://schemas.openxmlformats.org/officeDocument/2006/relationships/hyperlink" Target="https://www.chipdip.ru/product0/8000848990" TargetMode="External"/><Relationship Id="rId82" Type="http://schemas.openxmlformats.org/officeDocument/2006/relationships/hyperlink" Target="https://www.electro-mpo.ru/catalog/rele_puskateli_kontaktory/a45_puskateli_i_kontaktory_na_380v_kashin_kemerovo/a4515_puskatel_magnitnyy_pme_211_380v_25a_2z_2r_ip/" TargetMode="External"/><Relationship Id="rId83" Type="http://schemas.openxmlformats.org/officeDocument/2006/relationships/hyperlink" Target="https://gremir.ru/otvody-krutoizognutye-gost-17375/stalnye-stal-20/90-gradusov-gr/otvod-stalnoy-90-gradusov-89h6-89-6/?ysclid=ly89gwhygt419702973" TargetMode="External"/><Relationship Id="rId84" Type="http://schemas.openxmlformats.org/officeDocument/2006/relationships/hyperlink" Target="https://www.vseinstrumenti.ru/product/krutoizognutyj-otvod-smgtool-d-89x6-stal-20-gost-89602017375-2890100/?ysclid=lz9rsywfzu792260894" TargetMode="External"/><Relationship Id="rId85" Type="http://schemas.openxmlformats.org/officeDocument/2006/relationships/hyperlink" Target="https://dn.ru/fiting/otvody/stalnye/rus/17375-2001-zn/89-6" TargetMode="External"/><Relationship Id="rId86" Type="http://schemas.openxmlformats.org/officeDocument/2006/relationships/hyperlink" Target="https://www.etm.ru/cat/nn/9770437" TargetMode="External"/><Relationship Id="rId87" Type="http://schemas.openxmlformats.org/officeDocument/2006/relationships/hyperlink" Target="https://rs24.ru/product/49478" TargetMode="External"/><Relationship Id="rId88" Type="http://schemas.openxmlformats.org/officeDocument/2006/relationships/hyperlink" Target="https://www.minimaks.ru/product/usilennyy-klinovoy-anker-m8x65-kod-cm480865-dkc/" TargetMode="External"/><Relationship Id="rId89" Type="http://schemas.openxmlformats.org/officeDocument/2006/relationships/hyperlink" Target="https://emal-kanash.ru/catalog/grunt-emal/?item=72" TargetMode="External"/><Relationship Id="rId90" Type="http://schemas.openxmlformats.org/officeDocument/2006/relationships/hyperlink" Target="https://emal-kanash.ru/catalog/grunt-emal/?item=72" TargetMode="External"/><Relationship Id="rId91" Type="http://schemas.openxmlformats.org/officeDocument/2006/relationships/hyperlink" Target="https://megamarket.ru/catalog/details/hammerite-smooth-grunt-emal-3v1-na-rzhavchinu-chernyy-ral-9005-gladkiy-glyancevyy-25l-100034479961/" TargetMode="External"/><Relationship Id="rId92" Type="http://schemas.openxmlformats.org/officeDocument/2006/relationships/hyperlink" Target="https://nizhny-novgorod.climate-group.ru/grunt-emal-3-v-1-hammerite-glyantsevaya-tsvet-chernyy-ral9005-5-l/" TargetMode="External"/><Relationship Id="rId93" Type="http://schemas.openxmlformats.org/officeDocument/2006/relationships/hyperlink" Target="https://horoshie-kraski.ru/catalog/81194002_color_expert_kist_fleytsevaya_40mm_tolshch_6mm_smeshannaya_svetlaya_shchetina_ruchka_tverdo.html" TargetMode="External"/><Relationship Id="rId94" Type="http://schemas.openxmlformats.org/officeDocument/2006/relationships/hyperlink" Target="https://www.vseinstrumenti.ru/product/flejtsevaya-kist-color-expert-40mm-81344002-979617/?ysclid=lxiqhyr2a1367167712" TargetMode="External"/><Relationship Id="rId95" Type="http://schemas.openxmlformats.org/officeDocument/2006/relationships/hyperlink" Target="https://www.chipdip.ru/product0/8000756344" TargetMode="External"/><Relationship Id="rId96" Type="http://schemas.openxmlformats.org/officeDocument/2006/relationships/hyperlink" Target="https://www.etm.ru/cat/nn/9694462" TargetMode="External"/><Relationship Id="rId97" Type="http://schemas.openxmlformats.org/officeDocument/2006/relationships/hyperlink" Target="https://www.idkc.ru/product/dkc-35103/100369" TargetMode="External"/><Relationship Id="rId98" Type="http://schemas.openxmlformats.org/officeDocument/2006/relationships/hyperlink" Target="https://www.idkc.ru/product/dkc-35023hdz/101948" TargetMode="External"/><Relationship Id="rId99" Type="http://schemas.openxmlformats.org/officeDocument/2006/relationships/hyperlink" Target="https://rs24.ru/product/138269" TargetMode="External"/><Relationship Id="rId100" Type="http://schemas.openxmlformats.org/officeDocument/2006/relationships/hyperlink" Target="https://elevel.ru/shop/kabelnye-lotki/-kabelnyy-lotok-listovoy/dkc-lotok-150kh50-l3000-goryacheotsinkovannyy/" TargetMode="External"/><Relationship Id="rId101" Type="http://schemas.openxmlformats.org/officeDocument/2006/relationships/hyperlink" Target="https://dkc.spb.ru/kryshka-na-lotok-s-zazemleniem-osn-150-l3000-goryacheocinkovannaya.html" TargetMode="External"/><Relationship Id="rId102" Type="http://schemas.openxmlformats.org/officeDocument/2006/relationships/hyperlink" Target="https://www.etm.ru/cat/nn/9861355" TargetMode="External"/><Relationship Id="rId103" Type="http://schemas.openxmlformats.org/officeDocument/2006/relationships/hyperlink" Target="https://www.etm.ru/cat/nn/9752624" TargetMode="External"/><Relationship Id="rId104" Type="http://schemas.openxmlformats.org/officeDocument/2006/relationships/hyperlink" Target="https://www.idkc.ru/product/dkc-cm010610/116754" TargetMode="External"/><Relationship Id="rId105" Type="http://schemas.openxmlformats.org/officeDocument/2006/relationships/hyperlink" Target="https://rs24.ru/product/28459" TargetMode="External"/><Relationship Id="rId106" Type="http://schemas.openxmlformats.org/officeDocument/2006/relationships/hyperlink" Target="https://elevel.ru/shop/instrumenty-i-montazhnye-materialy/montazhnye-materialy/metizy/dkc-6_44016/" TargetMode="External"/><Relationship Id="rId107" Type="http://schemas.openxmlformats.org/officeDocument/2006/relationships/hyperlink" Target="https://rs24.ru/product/81907" TargetMode="External"/><Relationship Id="rId108" Type="http://schemas.openxmlformats.org/officeDocument/2006/relationships/hyperlink" Target="https://www.etm.ru/cat/nn/9752636" TargetMode="External"/><Relationship Id="rId109" Type="http://schemas.openxmlformats.org/officeDocument/2006/relationships/hyperlink" Target="https://arlight.ru/catalog/product/016989/?ysclid=lz0y9ogoqu134802375" TargetMode="External"/><Relationship Id="rId110" Type="http://schemas.openxmlformats.org/officeDocument/2006/relationships/hyperlink" Target="https://nn.ugol-ok.com/catalog/profil-dlya-svetodiodnoy-lenty/podvesnoy/profil-dlya-svetodiodnoy-lenty-50mm/index.php?oid=7505&amp;ysclid=lz0y85qdbp187200667" TargetMode="External"/><Relationship Id="rId111" Type="http://schemas.openxmlformats.org/officeDocument/2006/relationships/hyperlink" Target="https://www.elektro.ru/product/arlight_alyuminievyy_profil_top-linia53-2000_anod/?ysclid=lz0y75w81r839685200" TargetMode="External"/><Relationship Id="rId112" Type="http://schemas.openxmlformats.org/officeDocument/2006/relationships/hyperlink" Target="https://plan01.ru/fotolyuminescentnaya-svetonakopitelnaya-lenta-s-izobrazheniem-shirinoj-50-mm-na-tverdoj-osnove-pvh-2mm" TargetMode="External"/><Relationship Id="rId113" Type="http://schemas.openxmlformats.org/officeDocument/2006/relationships/hyperlink" Target="https://oohreklama.ru/index.php?dispatch=mp_vendor_store.view&amp;product_id=1269461&amp;ysclid=lz8e9s1xe2120305599" TargetMode="External"/><Relationship Id="rId114" Type="http://schemas.openxmlformats.org/officeDocument/2006/relationships/hyperlink" Target="https://chimautotrade.ru/shop/product/winkel-pro-automatic-cartridge-liquid-gasket-oxyme-grey-silikonovyy-neytralnyy-kley-germetik-dlya-formirovaniya-prokladok-seryy/" TargetMode="External"/><Relationship Id="rId115" Type="http://schemas.openxmlformats.org/officeDocument/2006/relationships/hyperlink" Target="https://super-kley.ru/flange-seals/winkel-pro-5w18" TargetMode="External"/><Relationship Id="rId116" Type="http://schemas.openxmlformats.org/officeDocument/2006/relationships/hyperlink" Target="https://eonk.ru/products/zamok-dlya-schitka-tundra-pod-trehgrannyy-klyuch-bez-klyuchey" TargetMode="External"/><Relationship Id="rId117" Type="http://schemas.openxmlformats.org/officeDocument/2006/relationships/hyperlink" Target="https://mircli.ru/Mdv-MDTI-48HWN1-MDOU-48HN1-L/" TargetMode="External"/><Relationship Id="rId118" Type="http://schemas.openxmlformats.org/officeDocument/2006/relationships/hyperlink" Target="https://iclim.ru/catalog/konditsionery/kanalnye/mdv_mdti_48hwn1_mdou_48hn1_l/" TargetMode="External"/><Relationship Id="rId119" Type="http://schemas.openxmlformats.org/officeDocument/2006/relationships/hyperlink" Target="https://climstore.ru/product/mdv-mdti-48hwn1-mdou-48hn1-l-kanalnaya-split-sistema/" TargetMode="External"/><Relationship Id="rId120" Type="http://schemas.openxmlformats.org/officeDocument/2006/relationships/hyperlink" Target="https://eko-tec.ru/product/5168984/?yclid=13925813857912619007" TargetMode="External"/><Relationship Id="rId121" Type="http://schemas.openxmlformats.org/officeDocument/2006/relationships/hyperlink" Target="https://www.wildberries.ru/catalog/212954024/detail.aspx" TargetMode="External"/><Relationship Id="rId122" Type="http://schemas.openxmlformats.org/officeDocument/2006/relationships/hyperlink" Target="https://www.tehnoclime.ru/products/split-sistema-mitsubishi-heavy-srk20zspr-ssrc20zspr-s-seriya-standart" TargetMode="External"/><Relationship Id="rId123" Type="http://schemas.openxmlformats.org/officeDocument/2006/relationships/hyperlink" Target="https://planetatechniki.ru/catalog/byitovyie/nastennyie-kondiczioneryi/811-mitsubishi-heavy/seriy-standart-inverter/nastennyij-kondiczioner-mitsubishi-heavy-srk25zmp-sjsrc25zmp-sj" TargetMode="External"/><Relationship Id="rId124" Type="http://schemas.openxmlformats.org/officeDocument/2006/relationships/hyperlink" Target="https://www.etm.ru/cat/nn/3841091" TargetMode="External"/><Relationship Id="rId125" Type="http://schemas.openxmlformats.org/officeDocument/2006/relationships/hyperlink" Target="https://rs24.ru/product/250325" TargetMode="External"/><Relationship Id="rId126" Type="http://schemas.openxmlformats.org/officeDocument/2006/relationships/hyperlink" Target="https://www.chipdip.ru/product0/8014397390?utm_source=direct&amp;utm_medium=cpc&amp;position_type=other%7Ck50id%7C010000005534600_5534600%7Ccid%7C108406362%7Cgid%7C5417208505%7Caid%7C15932461528%7Csrc%7Csearch_none&amp;utm_campaign=Y_dinamicheskaya&amp;utm_content=text1_" TargetMode="External"/><Relationship Id="rId127" Type="http://schemas.openxmlformats.org/officeDocument/2006/relationships/hyperlink" Target="https://electroline.ru/product/skt300-540x-ctyazhka-kab-khomut-spec-kon-pa-66-chernyy-uf-76kh300mm-skt300-540x.html" TargetMode="External"/><Relationship Id="rId128" Type="http://schemas.openxmlformats.org/officeDocument/2006/relationships/hyperlink" Target="https://ledgoods.ru/ehlektrotekhnika/material-montazhnyj/styazhki-homuty/styazhka-kabelnaya-300kh7-6mm-chernyj-100sht-skt300-540x-100-7tca300300r0000-abb/" TargetMode="External"/><Relationship Id="rId129" Type="http://schemas.openxmlformats.org/officeDocument/2006/relationships/hyperlink" Target="https://www.rkm-electro.ru/product/ctyazhka-kab-khomut-spec-kon-pa-66-chernyy-uf-7-6kh300mm-skt300-540x-100-abb/" TargetMode="External"/><Relationship Id="rId130" Type="http://schemas.openxmlformats.org/officeDocument/2006/relationships/hyperlink" Target="https://electroline.ru/product/skt300-220x-100-ctyazhka-kab-khomut-spec-kon-pa-66-chernyy-uf-48kh300mm-skt300-220x-100.html" TargetMode="External"/><Relationship Id="rId131" Type="http://schemas.openxmlformats.org/officeDocument/2006/relationships/hyperlink" Target="https://ledgoods.ru/ehlektrotekhnika/material-montazhnyj/styazhki-homuty/styazhka-kabelnaya-300kh4-8mm-chernaya-100sht-skt300-220x-100-7tca300220r0003-abb/" TargetMode="External"/><Relationship Id="rId132" Type="http://schemas.openxmlformats.org/officeDocument/2006/relationships/hyperlink" Target="https://www.vseinstrumenti.ru/product/shlifshkurka-bobina-6n-0-1x50-m-p180-14a-na-tkanevoj-osnove-vodostojkaya-cnic-54038-6840097/?ysclid=lwypmeq71n614041303" TargetMode="External"/><Relationship Id="rId133" Type="http://schemas.openxmlformats.org/officeDocument/2006/relationships/hyperlink" Target="https://pmtehno.ru/instrumenty/abrazivnyj-instrument/shlifshkurka/shlifshkurka-na-tkanevoj-osnove-vodost/shlifshkurka-bobina--6n-p180-14a-na-tkanevoy-osnove-vodostoykaya-bobina-0150kh50metrov-cnic" TargetMode="External"/><Relationship Id="rId134" Type="http://schemas.openxmlformats.org/officeDocument/2006/relationships/hyperlink" Target="https://www.chipdip.ru/product0/8021349018?utm_source=direct&amp;utm_medium=cpc&amp;position_type=premium%7Ck50id%7C010000005534682_5534682%7Ccid%7C108407036%7Cgid%7C5417217906%7Caid%7C15932527553%7Csrc%7Csearch_none&amp;utm_campaign=Y_dinamicheskaya_ext&amp;utm_content=" TargetMode="External"/><Relationship Id="rId135" Type="http://schemas.openxmlformats.org/officeDocument/2006/relationships/hyperlink" Target="https://www.zkabel.ru/catalog/metallorukav/metallorukav-v-pvkh-izolyatsii/shlang-shem-elektromontazhnyy/shlang-elektromontazhnyy-shem-22-u2-5-zeta/" TargetMode="External"/><Relationship Id="rId136" Type="http://schemas.openxmlformats.org/officeDocument/2006/relationships/hyperlink" Target="https://vilden.ru/products/shlang-elektromontazhnyj-shem-22-u25-d22mm-up50m-gofromatikzetarus-zeta42710?utm_source=se_new_yandex&amp;utm_medium=se_cpc&amp;utm_campaign=97864972&amp;utm_content=15562648498&amp;utm_term=---autotargeting&amp;yclid=6492831790404468735" TargetMode="External"/><Relationship Id="rId137" Type="http://schemas.openxmlformats.org/officeDocument/2006/relationships/hyperlink" Target="https://isotop-nn.ru/catalog/osb_3_montazhnye_peny/antiseptik_senezh_ekobio/" TargetMode="External"/><Relationship Id="rId138" Type="http://schemas.openxmlformats.org/officeDocument/2006/relationships/hyperlink" Target="https://rem52.ru/zashita-dlja-dereva/senezh/zashita-dlja-dereva-senezh-ekobio-5kg/" TargetMode="External"/><Relationship Id="rId139" Type="http://schemas.openxmlformats.org/officeDocument/2006/relationships/hyperlink" Target="https://stroyrem-nn.ru/products/antiseptik-senezh-ekobio-10-kg" TargetMode="External"/><Relationship Id="rId140" Type="http://schemas.openxmlformats.org/officeDocument/2006/relationships/hyperlink" Target="https://isotop-nn.ru/catalog/osb_3_montazhnye_peny/antiseptik_senezh_ekobio/" TargetMode="External"/><Relationship Id="rId141" Type="http://schemas.openxmlformats.org/officeDocument/2006/relationships/hyperlink" Target="https://rem52.ru/zashita-dlja-dereva/senezh/zashita-dlja-dereva-senezh-ekobio-5kg/" TargetMode="External"/><Relationship Id="rId142" Type="http://schemas.openxmlformats.org/officeDocument/2006/relationships/hyperlink" Target="https://stroyrem-nn.ru/products/antiseptik-senezh-ekobio-10-kg" TargetMode="External"/><Relationship Id="rId143" Type="http://schemas.openxmlformats.org/officeDocument/2006/relationships/hyperlink" Target="https://promsnab.me/catalog/lakokrasochnye_materialy/gruntovki/vinikor_061/" TargetMode="External"/><Relationship Id="rId144" Type="http://schemas.openxmlformats.org/officeDocument/2006/relationships/hyperlink" Target="https://plkfarba.ru/product/vinikor-061/?yclid=17831455496159363071" TargetMode="External"/><Relationship Id="rId145" Type="http://schemas.openxmlformats.org/officeDocument/2006/relationships/hyperlink" Target="https://lemanapro.ru/product/spc-plitka-grigio-classica-43-klass-tolshchina-4-mm-30692-m-88010968/?ysclid=mdn57xbsl6138406720&amp;utm_referrer=https%3A%2F%2Fya.ru%2Fsearch%2F%3Ftext%3D%25D0%259B%25D0%25B0%25D0%25BC%25D0%25B8%25D0%25BD%25D0%25B0%25D1%2582%2BGr" TargetMode="External"/><Relationship Id="rId146" Type="http://schemas.openxmlformats.org/officeDocument/2006/relationships/hyperlink" Target="https://santreyd.ru/product/88010968-pvh-plitka-grigio-classica-43-klass-tolschina-4-mm-3-0692-m-stlm-0076518-santreyd/" TargetMode="External"/><Relationship Id="rId147" Type="http://schemas.openxmlformats.org/officeDocument/2006/relationships/hyperlink" Target="https://www.stroyportal.ru/catalog/section-vinilovaya-plitka-1482/spc-plitka-grigio-classica-43-klass-tolshchina-4-m-708423072/?ysclid=mdn59uq05z385321196" TargetMode="External"/><Relationship Id="rId148" Type="http://schemas.openxmlformats.org/officeDocument/2006/relationships/hyperlink" Target="https://lemanapro.ru/product/spc-plitka-grigio-classica-43-klass-tolshchina-4-mm-30692-m-88010968/?ysclid=mdn57xbsl6138406720&amp;utm_referrer=https%3A%2F%2Fya.ru%2Fsearch%2F%3Ftext%3D%25D0%259B%25D0%25B0%25D0%25BC%25D0%25B8%25D0%25BD%25D0%25B0%25D1%2582%2BGr" TargetMode="External"/><Relationship Id="rId149" Type="http://schemas.openxmlformats.org/officeDocument/2006/relationships/hyperlink" Target="https://santreyd.ru/product/88010968-pvh-plitka-grigio-classica-43-klass-tolschina-4-mm-3-0692-m-stlm-0076518-santreyd/" TargetMode="External"/><Relationship Id="rId150" Type="http://schemas.openxmlformats.org/officeDocument/2006/relationships/hyperlink" Target="https://www.stroyportal.ru/catalog/section-vinilovaya-plitka-1482/spc-plitka-grigio-classica-43-klass-tolshchina-4-m-708423072/?ysclid=mdn59uq05z385321196" TargetMode="External"/><Relationship Id="rId151" Type="http://schemas.openxmlformats.org/officeDocument/2006/relationships/hyperlink" Target="https://www.maxidom.ru/catalog/laki-spetsialnye/1001162574/" TargetMode="External"/><Relationship Id="rId152" Type="http://schemas.openxmlformats.org/officeDocument/2006/relationships/hyperlink" Target="https://order-nn.ru/kmo/catalog/6000/450094" TargetMode="External"/><Relationship Id="rId153" Type="http://schemas.openxmlformats.org/officeDocument/2006/relationships/hyperlink" Target="https://banapal.ru/lak-dlya-dereva-na-vodnoj-osnove-koleruemyj-pinotex-lacker-aqua-10-matovyj1-l-5254104/" TargetMode="External"/><Relationship Id="rId154" Type="http://schemas.openxmlformats.org/officeDocument/2006/relationships/hyperlink" Target="https://www.maxidom.ru/catalog/laki-spetsialnye/1001162574/" TargetMode="External"/><Relationship Id="rId155" Type="http://schemas.openxmlformats.org/officeDocument/2006/relationships/hyperlink" Target="https://order-nn.ru/kmo/catalog/6000/450094" TargetMode="External"/><Relationship Id="rId156" Type="http://schemas.openxmlformats.org/officeDocument/2006/relationships/hyperlink" Target="https://banapal.ru/lak-dlya-dereva-na-vodnoj-osnove-koleruemyj-pinotex-lacker-aqua-10-matovyj1-l-5254104/" TargetMode="External"/><Relationship Id="rId157" Type="http://schemas.openxmlformats.org/officeDocument/2006/relationships/hyperlink" Target="https://www.samotsvet.com/catalog/dlya_naruzhnykh_rabot_2/pinotex_focus_aqua_zashchitnaya_propitka_dlya_derevyannykh_zaborov_i_sadovykh_stroeniy/?ysclid=mdn5nsdsj0390305188" TargetMode="External"/><Relationship Id="rId158" Type="http://schemas.openxmlformats.org/officeDocument/2006/relationships/hyperlink" Target="http://pinotik.ru/products/pin-focus-zeleniy-les" TargetMode="External"/><Relationship Id="rId159" Type="http://schemas.openxmlformats.org/officeDocument/2006/relationships/hyperlink" Target="https://www.edkm.ru/pinotex-focus-aqua-pinoteks-fokus-akva-zashchitnaya-propitka-dlya-derevyannyh-zaborov-i-sadovyh-stroenij-9-l/" TargetMode="External"/><Relationship Id="rId160" Type="http://schemas.openxmlformats.org/officeDocument/2006/relationships/hyperlink" Target="https://www.samotsvet.com/catalog/dlya_naruzhnykh_rabot_2/pinotex_focus_aqua_zashchitnaya_propitka_dlya_derevyannykh_zaborov_i_sadovykh_stroeniy/?ysclid=mdn5nsdsj0390305188" TargetMode="External"/><Relationship Id="rId161" Type="http://schemas.openxmlformats.org/officeDocument/2006/relationships/hyperlink" Target="http://pinotik.ru/products/pin-focus-zeleniy-les" TargetMode="External"/><Relationship Id="rId162" Type="http://schemas.openxmlformats.org/officeDocument/2006/relationships/hyperlink" Target="https://www.edkm.ru/pinotex-focus-aqua-pinoteks-fokus-akva-zashchitnaya-propitka-dlya-derevyannyh-zaborov-i-sadovyh-stroenij-9-l/" TargetMode="External"/><Relationship Id="rId163" Type="http://schemas.openxmlformats.org/officeDocument/2006/relationships/hyperlink" Target="https://s-stroy.ru/product/shpatlevka_gipsovaya_ek_k200_20_kg/" TargetMode="External"/><Relationship Id="rId164" Type="http://schemas.openxmlformats.org/officeDocument/2006/relationships/hyperlink" Target="https://nnv.saturn.net/product/shpaklevka-dlya-bolshogo-obema-rabot-ek-k-200-20-kg/" TargetMode="External"/><Relationship Id="rId165" Type="http://schemas.openxmlformats.org/officeDocument/2006/relationships/hyperlink" Target="https://ardinn.ru/catalog/sukhie-smesi/shpatlevki/universalnaya-gipsovaya-shpatlevka-ek-k200-line/?oid=107029&amp;yclid=8396479760764239871" TargetMode="External"/><Relationship Id="rId166" Type="http://schemas.openxmlformats.org/officeDocument/2006/relationships/hyperlink" Target="https://stroybaza-nn.ru/catalog/shpaklevka_shpatlevka/shpaklevka_tsementnaya_ek_vh30_20_kg/" TargetMode="External"/><Relationship Id="rId167" Type="http://schemas.openxmlformats.org/officeDocument/2006/relationships/hyperlink" Target="https://nizhniy-novgorod.arttn.ru/catalog/seraya-tsementnaya-shpatlevka-ek-vh30-gray-20-kg/" TargetMode="External"/><Relationship Id="rId168" Type="http://schemas.openxmlformats.org/officeDocument/2006/relationships/hyperlink" Target="https://www.virage24.ru/product/gruntovka-betonkontakt-3kg-cerezit-311108?utm_referrer=https://yandex.ru/products/search?text=%25D0%2593%25D1%2580%25D1%2583%25D0%25BD%25D1%2582%25D0%25BE%25D0%25B2%25D0%25BA%25D0%25B0%2520%25D0%25B0%25D0%25BA%25D1%2580%25D" TargetMode="External"/><Relationship Id="rId169" Type="http://schemas.openxmlformats.org/officeDocument/2006/relationships/hyperlink" Target="https://glavsnab.net/gruntovka-betonkontakt-ceresit-st19-3kg-morozostoykaya.html?ysclid=mc1xjkqay6603894147" TargetMode="External"/><Relationship Id="rId170" Type="http://schemas.openxmlformats.org/officeDocument/2006/relationships/hyperlink" Target="https://stroyrem-nn.ru/products/gruntovka-betonkontakt-ceresit-ct-19-3-kg" TargetMode="External"/><Relationship Id="rId171" Type="http://schemas.openxmlformats.org/officeDocument/2006/relationships/hyperlink" Target="https://koop01.ru/shop/&#1077;&#1082;-&#1090;&#1090;30-&#1094;&#1077;&#1084;&#1077;&#1085;&#1090;&#1085;&#1072;&#1103;-&#1096;&#1090;&#1091;&#1082;&#1072;&#1090;&#1091;&#1088;&#1082;&#1072;-25-&#1082;&#1075;/" TargetMode="External"/><Relationship Id="rId172" Type="http://schemas.openxmlformats.org/officeDocument/2006/relationships/hyperlink" Target="https://www.tsmnn.ru/catalog/stroymaterialy/sukhie-smesi/shtukaturka/shtukaturka-tsementnaya-ek-tt30-25kg/?yclid=6480404912259727359" TargetMode="External"/><Relationship Id="rId173" Type="http://schemas.openxmlformats.org/officeDocument/2006/relationships/hyperlink" Target="https://gelios52.ru/stroymaterialy/shtukaturnye-i-stroitelnye-smesi/shtukaturka-yek-tt-30-25kg/" TargetMode="External"/><Relationship Id="rId174" Type="http://schemas.openxmlformats.org/officeDocument/2006/relationships/hyperlink" Target="https://mp-stroy24.ru/catalog/p/suhie-smesi-dlya-ustrojstva-polov81/pol_nalivnoj_starateli_bystrotverdeyushhij_20_kg_2017776/" TargetMode="External"/><Relationship Id="rId175" Type="http://schemas.openxmlformats.org/officeDocument/2006/relationships/hyperlink" Target="https://globalsnab.com/catalog/nalivnoy_pol/nalivnoy_pol_starateli_bystrotverdeyushchiy_20kg/" TargetMode="External"/><Relationship Id="rId176" Type="http://schemas.openxmlformats.org/officeDocument/2006/relationships/hyperlink" Target="https://kant-stroy.ru/catalog/p/suhie-smesi-dlya-ustrojstva-polov2/pol_nalivnoj_starateli_bystrotverdeyushhij_20_kg_1632658/?ysclid=mc4hv87zx9969217144" TargetMode="External"/><Relationship Id="rId177" Type="http://schemas.openxmlformats.org/officeDocument/2006/relationships/hyperlink" Target="https://kraski-dl.ru/product/lak-tikkurila-evro-kiri-euro-kiri-parketnyj-alkidno-uretanovyj-glyanczevyj-bazis-ep-9l-tikkurila/" TargetMode="External"/><Relationship Id="rId178" Type="http://schemas.openxmlformats.org/officeDocument/2006/relationships/hyperlink" Target="https://www.samotsvet.com/catalog/dlya_parketa_i_derevyanogo_pola/tikkurila_euro_kiri_lak_parketnyy_polumatovyy/" TargetMode="External"/><Relationship Id="rId179" Type="http://schemas.openxmlformats.org/officeDocument/2006/relationships/hyperlink" Target="https://glavsnab.net/lak-parketniy-tikkurila-euro-kiri-ep-polumatoviy-9-l.html" TargetMode="External"/><Relationship Id="rId180" Type="http://schemas.openxmlformats.org/officeDocument/2006/relationships/hyperlink" Target="https://www.etm.ru/cat/nn/1301544" TargetMode="External"/><Relationship Id="rId181" Type="http://schemas.openxmlformats.org/officeDocument/2006/relationships/hyperlink" Target="https://rs24.ru/product/2992673" TargetMode="External"/><Relationship Id="rId182" Type="http://schemas.openxmlformats.org/officeDocument/2006/relationships/hyperlink" Target="https://www.promrukav.ru/catalog/ankery/anker-klinovoy-usilennyy-m8kh80-50-sht-up-promrukav/" TargetMode="External"/><Relationship Id="rId183" Type="http://schemas.openxmlformats.org/officeDocument/2006/relationships/hyperlink" Target="https://www.toledo24.pro/products/usilennyy-klinovoy-anker-m10kh100-dkc-cm481001-kratno-25/" TargetMode="External"/><Relationship Id="rId184" Type="http://schemas.openxmlformats.org/officeDocument/2006/relationships/hyperlink" Target="https://rs24.ru/product/432288" TargetMode="External"/><Relationship Id="rId185" Type="http://schemas.openxmlformats.org/officeDocument/2006/relationships/hyperlink" Target="https://www.chipdip.ru/product0/8007141996" TargetMode="External"/><Relationship Id="rId186" Type="http://schemas.openxmlformats.org/officeDocument/2006/relationships/hyperlink" Target="https://lemanapro.ru/product/zabivnoy-anker-m12x40-mm-10-sht-89415168/?ysclid=mdo6wytay7544772704&amp;utm_referrer=https%3A%2F%2Fya.ru%2Fsearch%2F%3Ftext%3D%25D0%2590%25D0%25BD%25D0%25BA%25D0%25B5%25D1%2580%2B%25D0%25B7%25D0%25B0%25D0%25B1%25D0%25B8%25D0%25B2" TargetMode="External"/><Relationship Id="rId187" Type="http://schemas.openxmlformats.org/officeDocument/2006/relationships/hyperlink" Target="https://electroguru.ru/ankeri/lider/54551/?ysclid=mdo6zzy37o896334298" TargetMode="External"/><Relationship Id="rId188" Type="http://schemas.openxmlformats.org/officeDocument/2006/relationships/hyperlink" Target="https://www.materik-m.ru/shop/anker_zabivnoy_latunnyy_m12_40sht_up/" TargetMode="External"/><Relationship Id="rId189" Type="http://schemas.openxmlformats.org/officeDocument/2006/relationships/hyperlink" Target="https://snabline.com/shop/product/himicheskij-anker-stalmax-te100-epoksidnyj-450ml-artikul-12056" TargetMode="External"/><Relationship Id="rId190" Type="http://schemas.openxmlformats.org/officeDocument/2006/relationships/hyperlink" Target="https://1001krep.ru/himicheskij-anker-epoksidnyj-stalmax-te100-450-ml-artikul-12056?ysclid=mc5susp8vr839881165" TargetMode="External"/><Relationship Id="rId191" Type="http://schemas.openxmlformats.org/officeDocument/2006/relationships/hyperlink" Target="https://stalmax.ru/ankery-himicheskie/him-anker-te100-450ml-epoksidnyj-art-12056?ysclid=mc5suma0o2675630097" TargetMode="External"/><Relationship Id="rId192" Type="http://schemas.openxmlformats.org/officeDocument/2006/relationships/hyperlink" Target="https://www.bestceramic.ru/goods/vyaz_gp_seryy_594x147" TargetMode="External"/><Relationship Id="rId193" Type="http://schemas.openxmlformats.org/officeDocument/2006/relationships/hyperlink" Target="https://napolnye-istorii.ru/catalog/p/plitka-keramogranit-mozaika-kamen43/keramogranit_beryoza_ceramica_vyaz_gp_seryj_14-7x59-4_sm_2280441/" TargetMode="External"/><Relationship Id="rId194" Type="http://schemas.openxmlformats.org/officeDocument/2006/relationships/hyperlink" Target="https://lemanapro.ru/product/keramogranit-beryoza-ceramica-vyaz-gp-16585-seryy-597x148sm-90568663/?ysclid=mc93qnkofw960021605&amp;utm_referrer=https%3A%2F%2Fya.ru%2Fsearch%2F%3Ftext%3D%25D0%259F%25D0%25BB%25D0%25B8%25D1%2582%25D0%25BA%25D0%25B0%2B%25D0%25BD%2" TargetMode="External"/><Relationship Id="rId195" Type="http://schemas.openxmlformats.org/officeDocument/2006/relationships/hyperlink" Target="https://bnk-sm.ru/shop/product/zaklepka-vytyazhnaya-4.8x12-mm-nerzhaveyushchaya-stal" TargetMode="External"/><Relationship Id="rId196" Type="http://schemas.openxmlformats.org/officeDocument/2006/relationships/hyperlink" Target="https://formula-krepega.ru/catalog/zaklyepki/vytyazhnye/nerzhaveyushchie/1228/?ysclid=memivwmh79432379705&amp;utm_referrer=https%3A%2F%2Fya.ru%2Fsearch%2F%3Ftext%3D%25D0%2597%25D0%25B0%25D0%25BA%25D0%25BB%25D0%25B5%25D0%25BF%25D0%25BA%25D0%25B0%2B%25D0%25B2%2" TargetMode="External"/><Relationship Id="rId197" Type="http://schemas.openxmlformats.org/officeDocument/2006/relationships/hyperlink" Target="https://centerkrep.ru/krepezh/bolty-i-shpilki/zaklepki-vytyazhnye/zaklepka-vytyazhnaya-din7337-a2-4-8x12-nerzhaveyushchaya-stal/?ysclid=memj24s9e8970276105" TargetMode="External"/><Relationship Id="rId198" Type="http://schemas.openxmlformats.org/officeDocument/2006/relationships/hyperlink" Target="https://www.vseinstrumenti.ru/product/gibridnyj-klej-germetik-soudal-fiks-all-flexi-belyj-117383-935819/" TargetMode="External"/><Relationship Id="rId199" Type="http://schemas.openxmlformats.org/officeDocument/2006/relationships/hyperlink" Target="https://cmm-k.ru/catalog/germetiki_i_klei/gibridnye_ms_polimernye_/163488/?ysclid=mdx38vgx2u372262061" TargetMode="External"/><Relationship Id="rId200" Type="http://schemas.openxmlformats.org/officeDocument/2006/relationships/hyperlink" Target="https://www.vent-style.ru/goods/typhoon-150-2sp-kanalnyy-ventilyator?yclid=4984175753823518719" TargetMode="External"/><Relationship Id="rId201" Type="http://schemas.openxmlformats.org/officeDocument/2006/relationships/hyperlink" Target="https://www.etm.ru/cat/nn/2999936" TargetMode="External"/><Relationship Id="rId202" Type="http://schemas.openxmlformats.org/officeDocument/2006/relationships/hyperlink" Target="https://lemanapro.ru/product/troynik-dlya-kruglyh-vozduhovodov-ore-d160-mm-ocinkovannyy-metall-82509329/" TargetMode="External"/><Relationship Id="rId203" Type="http://schemas.openxmlformats.org/officeDocument/2006/relationships/hyperlink" Target="https://rmio.ru/catalog/otvod_90_160_mm_dlya_kruglykh_vozdukhovodov/?ysclid=melfab5ibo791470992" TargetMode="External"/><Relationship Id="rId204" Type="http://schemas.openxmlformats.org/officeDocument/2006/relationships/hyperlink" Target="https://www.vent-style.ru/goods/ugol-90-otvod-f160-iz-ocinkovannoj-stali?yclid=240437176694996991" TargetMode="External"/><Relationship Id="rId205" Type="http://schemas.openxmlformats.org/officeDocument/2006/relationships/hyperlink" Target="https://rmio.ru/catalog/otvod_90_160_mm_dlya_kruglykh_vozdukhovodov/" TargetMode="External"/><Relationship Id="rId206" Type="http://schemas.openxmlformats.org/officeDocument/2006/relationships/hyperlink" Target="https://rmio.ru/catalog/otvod_90_100_mm_dlya_kruglykh_vozdukhovodov/?ysclid=melfgvtmfo935744238" TargetMode="External"/><Relationship Id="rId207" Type="http://schemas.openxmlformats.org/officeDocument/2006/relationships/hyperlink" Target="https://rmio.ru/catalog/otvod_90_100_mm_dlya_kruglykh_vozdukhovodov/" TargetMode="External"/><Relationship Id="rId208" Type="http://schemas.openxmlformats.org/officeDocument/2006/relationships/hyperlink" Target="https://ppk-levsha.ru/collection/katalog-1-7b4a51/product/truba-vitaya-d-160-3-m-otsinkovka" TargetMode="External"/><Relationship Id="rId209" Type="http://schemas.openxmlformats.org/officeDocument/2006/relationships/hyperlink" Target="https://ppk-levsha.ru/collection/katalog-1-7b4a51/product/truba-vitaya-d-160-3-m-otsinkovka" TargetMode="External"/><Relationship Id="rId210" Type="http://schemas.openxmlformats.org/officeDocument/2006/relationships/hyperlink" Target="https://www.vent-style.ru/goods/vozduxovod-truba-f-100-1m-iz-ocinkovannoj-stali" TargetMode="External"/><Relationship Id="rId211" Type="http://schemas.openxmlformats.org/officeDocument/2006/relationships/hyperlink" Target="https://myvent.ru/product/vozduhovod-spiralno-navivnoj-100mm-3m-iz-ocinkovannoj-stali/" TargetMode="External"/><Relationship Id="rId212" Type="http://schemas.openxmlformats.org/officeDocument/2006/relationships/hyperlink" Target="https://nizhnij-novgorod.dushevoi.ru/products/dushevaya-sistema-haiba-hb2413-khrom-318749-ware/" TargetMode="External"/><Relationship Id="rId213" Type="http://schemas.openxmlformats.org/officeDocument/2006/relationships/hyperlink" Target="https://smesx.ru/catalog/dushi_paneli_garnitury/dushevye_sistemy/dushevaya_sistema_dlya_dusha_haiba_hb2413_bez_izliva/?ysclid=mdqzkqvqnt830634747" TargetMode="External"/><Relationship Id="rId214" Type="http://schemas.openxmlformats.org/officeDocument/2006/relationships/hyperlink" Target="https://spb.santehnica.ru/product/298091.html?ysclid=mdr0hrvg2h994265023" TargetMode="External"/><Relationship Id="rId215" Type="http://schemas.openxmlformats.org/officeDocument/2006/relationships/hyperlink" Target="https://www.dkcmarket.ru/r5stx0432.html" TargetMode="External"/><Relationship Id="rId216" Type="http://schemas.openxmlformats.org/officeDocument/2006/relationships/hyperlink" Target="https://www.etm.ru/cat/nn/6819836" TargetMode="External"/><Relationship Id="rId217" Type="http://schemas.openxmlformats.org/officeDocument/2006/relationships/hyperlink" Target="https://bonpet.tech/product/avr-k-63-2-1" TargetMode="External"/><Relationship Id="rId218" Type="http://schemas.openxmlformats.org/officeDocument/2006/relationships/hyperlink" Target="https://piris.ru/product/avr-prs-k-2-1-63-andeli" TargetMode="External"/><Relationship Id="rId219" Type="http://schemas.openxmlformats.org/officeDocument/2006/relationships/hyperlink" Target="https://sankt-peterburg.der-com.ru/product/avr/shkaf-avr-63a-02-01-iek-na-baze-silovykh-kontaktorov-iek/" TargetMode="External"/><Relationship Id="rId220" Type="http://schemas.openxmlformats.org/officeDocument/2006/relationships/hyperlink" Target="https://bonpet.tech/product/avr-k-63-2-1" TargetMode="External"/><Relationship Id="rId221" Type="http://schemas.openxmlformats.org/officeDocument/2006/relationships/hyperlink" Target="https://piris.ru/product/avr-prs-k-2-1-63-andeli" TargetMode="External"/><Relationship Id="rId222" Type="http://schemas.openxmlformats.org/officeDocument/2006/relationships/hyperlink" Target="https://sankt-peterburg.der-com.ru/product/avr/shkaf-avr-63a-02-01-iek-na-baze-silovykh-kontaktorov-iek/" TargetMode="External"/><Relationship Id="rId223" Type="http://schemas.openxmlformats.org/officeDocument/2006/relationships/hyperlink" Target="https://www.skm-electro.ru/catalog/shkafy-boksy-aksessuary/shkafy-napolnye/shkafy-napolnye-dkc/53611/" TargetMode="External"/><Relationship Id="rId224" Type="http://schemas.openxmlformats.org/officeDocument/2006/relationships/hyperlink" Target="https://www.skm-electro.ru/catalog/shkafy-boksy-aksessuary/shkafy-napolnye/shkafy-napolnye-dkc/53611/" TargetMode="External"/><Relationship Id="rId225" Type="http://schemas.openxmlformats.org/officeDocument/2006/relationships/hyperlink" Target="https://www.sin-el.ru/list_r5stmf43.html?ysclid=mebeiyvnkz807562174" TargetMode="External"/><Relationship Id="rId226" Type="http://schemas.openxmlformats.org/officeDocument/2006/relationships/hyperlink" Target="https://volt-market.com/catalog/shchitovoe-oborudovanie-i-aksessuary/elementy-komplektatsii-shkafov/plastrony-i-perednie-paneli/rama-plastronnoy-sistemy-vkhsh-400kh300-mm-dkc/" TargetMode="External"/><Relationship Id="rId227" Type="http://schemas.openxmlformats.org/officeDocument/2006/relationships/hyperlink" Target="https://www.etm.ru/cat/nn/2347540?utm_source=yandex&amp;utm_medium=cpc&amp;utm_campaign=Brend_DKC_SHHitovoe_oborudovanie_55_DSA_RF_119200195&amp;utm_content=brand-dkc_5561694353_dynamic_places&amp;utm_term=---autotargeting&amp;yclid=14581724295737114623" TargetMode="External"/><Relationship Id="rId228" Type="http://schemas.openxmlformats.org/officeDocument/2006/relationships/hyperlink" Target="https://dkc-msk.ru/products/rama-plastronnoy-sistemy-400kh300-dkc-r5stmf43-r5stmf43/?ysclid=mebelgjkrj945344651" TargetMode="External"/><Relationship Id="rId229" Type="http://schemas.openxmlformats.org/officeDocument/2006/relationships/hyperlink" Target="https://incom-elektro.ru/p-kronshteyn-dlya-nastennogo-krepleniya-dlya-navesnykh-i-klemmnykh-korpusov-up-4-sht-dkc-r5a55r/" TargetMode="External"/><Relationship Id="rId230" Type="http://schemas.openxmlformats.org/officeDocument/2006/relationships/hyperlink" Target="https://elektrokontinent.ru/e-kronshteyn_dlya_nastennogo_krepleniya_dlya_navesnykh_i_klemmnykh_korpusov_up_4_sht_dkc_r5a55r/" TargetMode="External"/><Relationship Id="rId231" Type="http://schemas.openxmlformats.org/officeDocument/2006/relationships/hyperlink" Target="https://union-el.ru/shop/goods/kronshteyn_dlya_nastennogo_krepleniya_dlya_navesnyih_i_klemmnyih_korpusov_up4_sht_DKC_R5A55R-107277" TargetMode="External"/><Relationship Id="rId232" Type="http://schemas.openxmlformats.org/officeDocument/2006/relationships/hyperlink" Target="https://incom-elektro.ru/p-kronshteyn-dlya-nastennogo-krepleniya-dlya-navesnykh-i-klemmnykh-korpusov-up-4-sht-dkc-r5a55r/" TargetMode="External"/><Relationship Id="rId233" Type="http://schemas.openxmlformats.org/officeDocument/2006/relationships/hyperlink" Target="https://elektrokontinent.ru/e-kronshteyn_dlya_nastennogo_krepleniya_dlya_navesnykh_i_klemmnykh_korpusov_up_4_sht_dkc_r5a55r/" TargetMode="External"/><Relationship Id="rId234" Type="http://schemas.openxmlformats.org/officeDocument/2006/relationships/hyperlink" Target="https://union-el.ru/shop/goods/kronshteyn_dlya_nastennogo_krepleniya_dlya_navesnyih_i_klemmnyih_korpusov_up4_sht_DKC_R5A55R-107277" TargetMode="External"/><Relationship Id="rId235" Type="http://schemas.openxmlformats.org/officeDocument/2006/relationships/hyperlink" Target="https://www.etm.ru/cat/nn/9830764" TargetMode="External"/><Relationship Id="rId236" Type="http://schemas.openxmlformats.org/officeDocument/2006/relationships/hyperlink" Target="https://www.etm.ru/cat/nn/9830764" TargetMode="External"/><Relationship Id="rId237" Type="http://schemas.openxmlformats.org/officeDocument/2006/relationships/hyperlink" Target="https://www.sin-el.ru/list_87512_dks.html?ysclid=mebexme5c5458471168" TargetMode="External"/><Relationship Id="rId238" Type="http://schemas.openxmlformats.org/officeDocument/2006/relationships/hyperlink" Target="https://dkc-msk.ru/products/klemmnyy-blok-2kh12mod-supporty-v-komplekte-s-krepezhom-87512/?ysclid=mebezseoqx785038025" TargetMode="External"/><Relationship Id="rId239" Type="http://schemas.openxmlformats.org/officeDocument/2006/relationships/hyperlink" Target="https://ielectrik.ru/nizhnij-novgorod/product/dkc_lichinka_zamka_dlya_vkladysha_pod_klyuch_treugolnogo_profilya_8mm/?ysclid=mebf38iec630127050" TargetMode="External"/><Relationship Id="rId240" Type="http://schemas.openxmlformats.org/officeDocument/2006/relationships/hyperlink" Target="https://www.sin-el.ru/list_r5ce224_dks.html?ysclid=mebf113k86588243033" TargetMode="External"/><Relationship Id="rId241" Type="http://schemas.openxmlformats.org/officeDocument/2006/relationships/hyperlink" Target="https://v-energo.ru/katalog/dkc/dkc-ramblock/lichinka-zamka-dlya-vkladysha-pod-klyuch-treugolnogo-profilya-8mm.html" TargetMode="External"/><Relationship Id="rId242" Type="http://schemas.openxmlformats.org/officeDocument/2006/relationships/hyperlink" Target="https://ielectrik.ru/nizhnij-novgorod/product/dkc_lichinka_zamka_dlya_vkladysha_pod_klyuch_treugolnogo_profilya_8mm/?ysclid=mebf38iec630127050" TargetMode="External"/><Relationship Id="rId243" Type="http://schemas.openxmlformats.org/officeDocument/2006/relationships/hyperlink" Target="https://www.sin-el.ru/list_87165_dks.html?ysclid=mebf4mrhwe283528390" TargetMode="External"/><Relationship Id="rId244" Type="http://schemas.openxmlformats.org/officeDocument/2006/relationships/hyperlink" Target="https://www.nvo24.ru/catalog/korpusa_elektroshchitov/aksessuary_dlya_shkafov_i_boksov/zaglushka_na_4mod_ral7035_dlya_nastennykh_shchitkov_ip65_ip40_upak_40sht/?ysclid=mebf5ap0p0243045627" TargetMode="External"/><Relationship Id="rId245" Type="http://schemas.openxmlformats.org/officeDocument/2006/relationships/hyperlink" Target="https://ielectrik.ru/nizhnij-novgorod/product/dkc_zaglushka_na_4_modulya_ral7035_dlya_nastennyh_schitkov_ip65/?ysclid=mebf6dfikp654623115" TargetMode="External"/><Relationship Id="rId246" Type="http://schemas.openxmlformats.org/officeDocument/2006/relationships/hyperlink" Target="https://al-teh.ru/search/179705/" TargetMode="External"/><Relationship Id="rId247" Type="http://schemas.openxmlformats.org/officeDocument/2006/relationships/hyperlink" Target="https://al-teh.ru/search/179705/" TargetMode="External"/><Relationship Id="rId248" Type="http://schemas.openxmlformats.org/officeDocument/2006/relationships/hyperlink" Target="https://www.ozon.ru/product/avtomaticheskiy-vyklyuchatel-chint-nb1-63-3p-32a-6ka-h-ka-c-179705-1230775027/" TargetMode="External"/><Relationship Id="rId249" Type="http://schemas.openxmlformats.org/officeDocument/2006/relationships/hyperlink" Target="https://www.chipdip.ru/product/nb1-63-3p-32a-6ka-h-ka-c-r-chint-9001124801" TargetMode="External"/><Relationship Id="rId250" Type="http://schemas.openxmlformats.org/officeDocument/2006/relationships/hyperlink" Target="https://al-teh.ru/product/avt-vykl-nb163-1p-16a-6ka-khka-c-db/" TargetMode="External"/><Relationship Id="rId251" Type="http://schemas.openxmlformats.org/officeDocument/2006/relationships/hyperlink" Target="https://www.ozon.ru/product/avtomaticheskiy-vyklyuchatel-chint-nb1-63-1p-16a-6ka-h-ka-c-179616-1227550971/" TargetMode="External"/><Relationship Id="rId252" Type="http://schemas.openxmlformats.org/officeDocument/2006/relationships/hyperlink" Target="https://www.chipdip.ru/product0/8000840855" TargetMode="External"/><Relationship Id="rId253" Type="http://schemas.openxmlformats.org/officeDocument/2006/relationships/hyperlink" Target="https://rs24.ru/product/143114" TargetMode="External"/><Relationship Id="rId254" Type="http://schemas.openxmlformats.org/officeDocument/2006/relationships/hyperlink" Target="https://electric-spb.com/element-rozetka-2-m-op-etyud-16a-ip44-250v-zashch-shtorki-s-zazeml-bel-sche-pa16-244b.html?ysclid=mdpmyob1ae71533062" TargetMode="External"/><Relationship Id="rId255" Type="http://schemas.openxmlformats.org/officeDocument/2006/relationships/hyperlink" Target="https://spb.ledpremium.ru/catalog/rozetki_220_volt/rozetka_1_m_op_etyud_16a_s_zashch_kryshkoy_zashch_shtorki_s_zazeml_ip44_bel_sche_pa16_044b/?r1=yandext&amp;r2=&amp;offer-id=462617&amp;utm_source=yandex_search_sp&amp;utm_medium=&#1069;&#1083;&#1077;&#1082;&#1090;&#1088;&#1086;&#1090;&#1077;&#1093;&#1085;&#1080;&#1082;&#1072;&amp;utm_campaign=&#1069;&#1083;&#1077;&#1082;&#1090;&#1088;&#1086;&#1091;&#1089;&#1090;&#1072;&#1085;&#1086;&#1074;" TargetMode="External"/><Relationship Id="rId256" Type="http://schemas.openxmlformats.org/officeDocument/2006/relationships/hyperlink" Target="https://www.chipdip.ru/product0/8000846053" TargetMode="External"/><Relationship Id="rId257" Type="http://schemas.openxmlformats.org/officeDocument/2006/relationships/hyperlink" Target="https://rs24.ru/product/2251" TargetMode="External"/><Relationship Id="rId258" Type="http://schemas.openxmlformats.org/officeDocument/2006/relationships/hyperlink" Target="https://www.chipdip.ru/product/rozetka-1-m-op-etyud-systeme-electric-8000846053" TargetMode="External"/><Relationship Id="rId259" Type="http://schemas.openxmlformats.org/officeDocument/2006/relationships/hyperlink" Target="https://mircli.ru/IVigo-EPK4590M20/" TargetMode="External"/><Relationship Id="rId260" Type="http://schemas.openxmlformats.org/officeDocument/2006/relationships/hyperlink" Target="https://ivigo-rus.ru/epk-4590-m20-2000w-manual/?ysclid=mdplhdob91656208830" TargetMode="External"/><Relationship Id="rId261" Type="http://schemas.openxmlformats.org/officeDocument/2006/relationships/hyperlink" Target="https://www.vseinstrumenti.ru/product/konvektor-ivigo-epk4590m20-8373-5529211/?ysclid=mdplgb7fdp508280711&amp;utm_referrer=https://ya.ru/search/?text=%25D0%259A%25D0%25BE%25D0%25BD%25D0%25B2%25D0%25B5%25D0%25BA%25D1%2582%25D0%25BE%25D1%2580%25C2%25A02%2B%2B%2" TargetMode="External"/><Relationship Id="rId262" Type="http://schemas.openxmlformats.org/officeDocument/2006/relationships/hyperlink" Target="https://mircli.ru/IVigo-EPK4590M20/" TargetMode="External"/><Relationship Id="rId263" Type="http://schemas.openxmlformats.org/officeDocument/2006/relationships/hyperlink" Target="https://www.tophouse.ru/price/soudaflex-40-fc-tyomno-seryiy-ral-7015-600ml-poliuretanovyiy-kley-germetik-soudal-54929/?ysclid=mdomnxygmr297514911" TargetMode="External"/><Relationship Id="rId264" Type="http://schemas.openxmlformats.org/officeDocument/2006/relationships/hyperlink" Target="https://tdstroitel.ru/lakokrasochnye-izdeliya/peny-klei-germetiki-silikony/germetiki-silikony/germetiki-poliuretanovye/germetik-poliuretanovyy-soudaflex-40fc-seryy-600ml-12/?utm_referrer=https%3A%2F%2Fya.ru%2Fsearch%2F%3Ftext%3D%25D0%2593%25D0%25B5%25D1%2" TargetMode="External"/><Relationship Id="rId265" Type="http://schemas.openxmlformats.org/officeDocument/2006/relationships/hyperlink" Target="https://vbh24.ru/catalog/view.php?ID=MS902.9016.67.00&amp;ysclid=mdokr8ok6y579501152" TargetMode="External"/><Relationship Id="rId266" Type="http://schemas.openxmlformats.org/officeDocument/2006/relationships/hyperlink" Target="https://www.tbmmarket.ru/dvernye-komplektuyuschie/furnitura/petli/med006107/?ysclid=mdokpm0dla216636170" TargetMode="External"/><Relationship Id="rId267" Type="http://schemas.openxmlformats.org/officeDocument/2006/relationships/hyperlink" Target="https://spb.pro1oo.ru/dvernaya-furnitura/dvernye-petli/petlya-dvernaya-medos-dvuhsekcionnaya-67-mm-belaya-ral9016-dlya-alyuminievyh-dverey-jocker-alu?ysclid=mdokowdc8j433396166" TargetMode="External"/><Relationship Id="rId268" Type="http://schemas.openxmlformats.org/officeDocument/2006/relationships/hyperlink" Target="https://www.vseinstrumenti.ru/product/sredstvo-dlya-ochistki-fasadov-zdanij-ot-vysolov-neomid-1-l-n-550-1-k1-2-902374/?utm_source=yandex&amp;utm_medium=cpc&amp;utm_campaign=36617871%7Cdsa_13_na_nashi-fid_rf&amp;utm_content=1852689750071244785&amp;utm_term=ST:search%7CS:n" TargetMode="External"/><Relationship Id="rId269" Type="http://schemas.openxmlformats.org/officeDocument/2006/relationships/hyperlink" Target="https://www.bafus.ru/product/neomid-550-antisol-dlya-udaleniya-vysolov-mineralnyh-i-fosfatnyh-1-l/" TargetMode="External"/><Relationship Id="rId270" Type="http://schemas.openxmlformats.org/officeDocument/2006/relationships/hyperlink" Target="https://vertical.ru/product/antisol-dlya-fasadov-zdaniy-neomid-550-1-l/" TargetMode="External"/><Relationship Id="rId271" Type="http://schemas.openxmlformats.org/officeDocument/2006/relationships/hyperlink" Target="https://nnv.saturn.net/product/germetik-bitumno-kauchukoviy-tytan-dlya-krovli-cherniy-031-l/" TargetMode="External"/><Relationship Id="rId27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www.aquateka.ru/?cat=products&amp;prod=himicheskaya-produkciya-vertolin-74-sredstvo-moyushee-tehnicheskoe-5-l-650205" TargetMode="External"/><Relationship Id="rId2" Type="http://schemas.openxmlformats.org/officeDocument/2006/relationships/hyperlink" Target="https://samara.harat.ru/catalog/1613879-vertolin-74-marka-a" TargetMode="External"/><Relationship Id="rId3" Type="http://schemas.openxmlformats.org/officeDocument/2006/relationships/hyperlink" Target="https://gms1520.ru/product/rezinovye-rukava/rukava-napornye/g-iv-10-32-47-khl-gost-18698-79/" TargetMode="External"/><Relationship Id="rId4" Type="http://schemas.openxmlformats.org/officeDocument/2006/relationships/hyperlink" Target="https://www.rezina-evraz.ru/goods/231179733-rukav_g_iv_10_32_47_khl_gost_18698_79" TargetMode="External"/><Relationship Id="rId5" Type="http://schemas.openxmlformats.org/officeDocument/2006/relationships/hyperlink" Target="https://www.beoil.ru/smazki/termostoykie/politerm-s-1-18-kg" TargetMode="External"/><Relationship Id="rId6" Type="http://schemas.openxmlformats.org/officeDocument/2006/relationships/hyperlink" Target="https://snab-n.ru/catalog/smazki/politerm-s-1-0-8-kg/" TargetMode="External"/><Relationship Id="rId7" Type="http://schemas.openxmlformats.org/officeDocument/2006/relationships/hyperlink" Target="https://ivatex.ru/teh-tkani/belting-bf-bd-2030/belting-bf-bd-art-2030-140-gost-332-91-1/" TargetMode="External"/><Relationship Id="rId8" Type="http://schemas.openxmlformats.org/officeDocument/2006/relationships/hyperlink" Target="https://rostexika.ru/p/753645734-belting-art-2030-sh-110-sm/" TargetMode="External"/><Relationship Id="rId9" Type="http://schemas.openxmlformats.org/officeDocument/2006/relationships/hyperlink" Target="https://nn.vseinstrumenti.ru/product/muftovaya-golovka-prestizh-gm-50-779083/" TargetMode="External"/><Relationship Id="rId10" Type="http://schemas.openxmlformats.org/officeDocument/2006/relationships/hyperlink" Target="https://www.magazin01.ru/catalog/rukava-inventar/Stvoly-pojarnye-i-golovki-soedinitelnye/Golovki-napornye/Golovka-GM-50-latun/" TargetMode="External"/><Relationship Id="rId11" Type="http://schemas.openxmlformats.org/officeDocument/2006/relationships/hyperlink" Target="https://www.hidrocontrol.ru/products/golovka-napornaya-legmash-50-mm-gm-50-aliuminii-muftovaya" TargetMode="External"/><Relationship Id="rId12"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https://tualet.biz/" TargetMode="External"/><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AN356"/>
  <sheetViews>
    <sheetView showFormulas="false" showGridLines="true" showRowColHeaders="true" showZeros="true" rightToLeft="false" tabSelected="false" showOutlineSymbols="true" defaultGridColor="true" view="normal" topLeftCell="C257" colorId="64" zoomScale="88" zoomScaleNormal="88" zoomScalePageLayoutView="100" workbookViewId="0">
      <selection pane="topLeft" activeCell="E125" activeCellId="0" sqref="E1:BS1048576"/>
    </sheetView>
  </sheetViews>
  <sheetFormatPr defaultColWidth="9.1484375" defaultRowHeight="15" zeroHeight="false" outlineLevelRow="0" outlineLevelCol="0"/>
  <cols>
    <col collapsed="false" customWidth="true" hidden="true" outlineLevel="0" max="2" min="1" style="1" width="7.29"/>
    <col collapsed="false" customWidth="true" hidden="false" outlineLevel="0" max="3" min="3" style="1" width="6.29"/>
    <col collapsed="false" customWidth="true" hidden="false" outlineLevel="0" max="4" min="4" style="1" width="5.29"/>
    <col collapsed="false" customWidth="true" hidden="false" outlineLevel="0" max="5" min="5" style="1" width="29.57"/>
    <col collapsed="false" customWidth="true" hidden="false" outlineLevel="0" max="6" min="6" style="1" width="9.42"/>
    <col collapsed="false" customWidth="true" hidden="false" outlineLevel="0" max="7" min="7" style="1" width="7.57"/>
    <col collapsed="false" customWidth="true" hidden="false" outlineLevel="0" max="8" min="8" style="1" width="8.15"/>
    <col collapsed="false" customWidth="true" hidden="false" outlineLevel="0" max="10" min="9" style="1" width="10.57"/>
    <col collapsed="false" customWidth="true" hidden="false" outlineLevel="0" max="11" min="11" style="1" width="16.57"/>
    <col collapsed="false" customWidth="true" hidden="false" outlineLevel="0" max="13" min="12" style="1" width="10.57"/>
    <col collapsed="false" customWidth="true" hidden="false" outlineLevel="0" max="14" min="14" style="1" width="17"/>
    <col collapsed="false" customWidth="true" hidden="false" outlineLevel="0" max="16" min="15" style="1" width="10.57"/>
    <col collapsed="false" customWidth="true" hidden="false" outlineLevel="0" max="17" min="17" style="1" width="16.84"/>
    <col collapsed="false" customWidth="true" hidden="false" outlineLevel="0" max="18" min="18" style="1" width="13.71"/>
    <col collapsed="false" customWidth="true" hidden="false" outlineLevel="0" max="19" min="19" style="1" width="18.86"/>
    <col collapsed="false" customWidth="true" hidden="false" outlineLevel="0" max="20" min="20" style="1" width="22.42"/>
    <col collapsed="false" customWidth="true" hidden="false" outlineLevel="0" max="23" min="21" style="1" width="8.71"/>
    <col collapsed="false" customWidth="true" hidden="true" outlineLevel="0" max="29" min="24" style="1" width="15.14"/>
    <col collapsed="false" customWidth="true" hidden="false" outlineLevel="0" max="31" min="30" style="1" width="15.14"/>
    <col collapsed="false" customWidth="true" hidden="false" outlineLevel="0" max="34" min="34" style="1" width="12"/>
    <col collapsed="false" customWidth="true" hidden="false" outlineLevel="0" max="37" min="37" style="1" width="13.29"/>
    <col collapsed="false" customWidth="true" hidden="false" outlineLevel="0" max="40" min="40" style="1" width="13.15"/>
  </cols>
  <sheetData>
    <row r="1" s="2" customFormat="true" ht="15" hidden="false" customHeight="false" outlineLevel="0" collapsed="false">
      <c r="I1" s="3"/>
      <c r="J1" s="4"/>
      <c r="K1" s="4"/>
      <c r="L1" s="3"/>
      <c r="M1" s="4"/>
      <c r="N1" s="4"/>
      <c r="O1" s="3"/>
      <c r="P1" s="4"/>
      <c r="Q1" s="4"/>
      <c r="R1" s="5" t="s">
        <v>0</v>
      </c>
      <c r="S1" s="5"/>
      <c r="T1" s="5"/>
      <c r="AE1" s="6"/>
      <c r="AF1" s="6"/>
      <c r="AG1" s="6"/>
      <c r="AH1" s="6"/>
      <c r="AI1" s="6"/>
      <c r="AJ1" s="6"/>
      <c r="AK1" s="6"/>
      <c r="AL1" s="6"/>
      <c r="AM1" s="7"/>
      <c r="AN1" s="6"/>
    </row>
    <row r="2" s="2" customFormat="true" ht="32.25" hidden="false" customHeight="true" outlineLevel="0" collapsed="false">
      <c r="I2" s="3"/>
      <c r="J2" s="4"/>
      <c r="K2" s="4"/>
      <c r="L2" s="3"/>
      <c r="M2" s="4"/>
      <c r="N2" s="4"/>
      <c r="O2" s="3"/>
      <c r="P2" s="4"/>
      <c r="Q2" s="4"/>
      <c r="R2" s="8" t="s">
        <v>1</v>
      </c>
      <c r="S2" s="8"/>
      <c r="T2" s="8"/>
      <c r="AE2" s="6"/>
      <c r="AF2" s="6"/>
      <c r="AG2" s="6"/>
      <c r="AH2" s="6"/>
      <c r="AI2" s="6"/>
      <c r="AJ2" s="6"/>
      <c r="AK2" s="6"/>
      <c r="AL2" s="6"/>
      <c r="AM2" s="7"/>
      <c r="AN2" s="6"/>
    </row>
    <row r="3" s="2" customFormat="true" ht="25.5" hidden="false" customHeight="true" outlineLevel="0" collapsed="false">
      <c r="A3" s="9" t="s">
        <v>2</v>
      </c>
      <c r="B3" s="9"/>
      <c r="C3" s="9"/>
      <c r="D3" s="9"/>
      <c r="E3" s="9"/>
      <c r="F3" s="9"/>
      <c r="G3" s="9"/>
      <c r="H3" s="9"/>
      <c r="I3" s="9"/>
      <c r="J3" s="9"/>
      <c r="K3" s="9"/>
      <c r="L3" s="9"/>
      <c r="M3" s="9"/>
      <c r="N3" s="9"/>
      <c r="O3" s="9"/>
      <c r="P3" s="9"/>
      <c r="Q3" s="9"/>
      <c r="R3" s="9"/>
      <c r="S3" s="9"/>
      <c r="T3" s="9"/>
      <c r="AE3" s="6"/>
      <c r="AF3" s="6"/>
      <c r="AG3" s="6"/>
      <c r="AH3" s="6"/>
      <c r="AI3" s="6"/>
      <c r="AJ3" s="6"/>
      <c r="AK3" s="6"/>
      <c r="AL3" s="6"/>
      <c r="AM3" s="7"/>
      <c r="AN3" s="6"/>
    </row>
    <row r="4" s="2" customFormat="true" ht="17.25" hidden="false" customHeight="true" outlineLevel="0" collapsed="false">
      <c r="A4" s="10"/>
      <c r="B4" s="10"/>
      <c r="C4" s="10"/>
      <c r="D4" s="10"/>
      <c r="E4" s="10"/>
      <c r="F4" s="10"/>
      <c r="G4" s="10"/>
      <c r="H4" s="10"/>
      <c r="I4" s="11"/>
      <c r="J4" s="12"/>
      <c r="K4" s="12"/>
      <c r="L4" s="11"/>
      <c r="M4" s="12"/>
      <c r="N4" s="12"/>
      <c r="O4" s="11"/>
      <c r="P4" s="12"/>
      <c r="Q4" s="12"/>
      <c r="R4" s="13"/>
      <c r="S4" s="13"/>
      <c r="T4" s="6"/>
      <c r="AE4" s="6"/>
      <c r="AF4" s="6"/>
      <c r="AG4" s="6"/>
      <c r="AH4" s="6"/>
      <c r="AI4" s="6"/>
      <c r="AJ4" s="6"/>
      <c r="AK4" s="6"/>
      <c r="AL4" s="6"/>
      <c r="AM4" s="7"/>
      <c r="AN4" s="6"/>
    </row>
    <row r="5" s="15" customFormat="true" ht="12.75" hidden="false" customHeight="true" outlineLevel="0" collapsed="false">
      <c r="A5" s="14" t="s">
        <v>3</v>
      </c>
      <c r="B5" s="14"/>
      <c r="C5" s="14"/>
      <c r="D5" s="14"/>
      <c r="E5" s="14"/>
      <c r="F5" s="14"/>
      <c r="G5" s="14"/>
      <c r="H5" s="14"/>
      <c r="I5" s="14"/>
      <c r="J5" s="14"/>
      <c r="K5" s="14"/>
      <c r="L5" s="14"/>
      <c r="M5" s="14"/>
      <c r="N5" s="14"/>
      <c r="O5" s="14"/>
      <c r="P5" s="14"/>
      <c r="Q5" s="14"/>
      <c r="R5" s="14"/>
      <c r="S5" s="14"/>
      <c r="T5" s="14"/>
      <c r="AE5" s="16"/>
      <c r="AF5" s="16"/>
      <c r="AG5" s="16"/>
      <c r="AH5" s="16"/>
      <c r="AI5" s="16"/>
      <c r="AJ5" s="16"/>
      <c r="AK5" s="16"/>
      <c r="AL5" s="16"/>
      <c r="AM5" s="7"/>
      <c r="AN5" s="16"/>
    </row>
    <row r="6" s="15" customFormat="true" ht="15" hidden="false" customHeight="false" outlineLevel="0" collapsed="false">
      <c r="I6" s="17"/>
      <c r="J6" s="18"/>
      <c r="K6" s="18"/>
      <c r="L6" s="17"/>
      <c r="M6" s="18"/>
      <c r="N6" s="18"/>
      <c r="O6" s="17"/>
      <c r="P6" s="18"/>
      <c r="Q6" s="18"/>
      <c r="R6" s="19"/>
      <c r="S6" s="19"/>
      <c r="T6" s="16"/>
      <c r="AE6" s="16"/>
      <c r="AF6" s="16"/>
      <c r="AG6" s="16"/>
      <c r="AH6" s="16"/>
      <c r="AI6" s="16"/>
      <c r="AJ6" s="16"/>
      <c r="AK6" s="16"/>
      <c r="AL6" s="16"/>
      <c r="AM6" s="7"/>
      <c r="AN6" s="16"/>
    </row>
    <row r="7" s="15" customFormat="true" ht="21" hidden="false" customHeight="true" outlineLevel="0" collapsed="false">
      <c r="A7" s="20" t="s">
        <v>4</v>
      </c>
      <c r="B7" s="21" t="s">
        <v>4</v>
      </c>
      <c r="C7" s="21" t="s">
        <v>5</v>
      </c>
      <c r="D7" s="21" t="s">
        <v>6</v>
      </c>
      <c r="E7" s="22" t="s">
        <v>7</v>
      </c>
      <c r="F7" s="21" t="s">
        <v>8</v>
      </c>
      <c r="G7" s="21" t="s">
        <v>9</v>
      </c>
      <c r="H7" s="21"/>
      <c r="I7" s="23" t="s">
        <v>10</v>
      </c>
      <c r="J7" s="23"/>
      <c r="K7" s="23"/>
      <c r="L7" s="24" t="s">
        <v>11</v>
      </c>
      <c r="M7" s="24"/>
      <c r="N7" s="24"/>
      <c r="O7" s="25" t="s">
        <v>12</v>
      </c>
      <c r="P7" s="25"/>
      <c r="Q7" s="25"/>
      <c r="R7" s="26" t="s">
        <v>13</v>
      </c>
      <c r="S7" s="27" t="s">
        <v>14</v>
      </c>
      <c r="T7" s="21" t="s">
        <v>15</v>
      </c>
      <c r="U7" s="28" t="s">
        <v>16</v>
      </c>
      <c r="V7" s="28"/>
      <c r="W7" s="28"/>
      <c r="AE7" s="23" t="s">
        <v>10</v>
      </c>
      <c r="AF7" s="23"/>
      <c r="AG7" s="23"/>
      <c r="AH7" s="23" t="s">
        <v>11</v>
      </c>
      <c r="AI7" s="23"/>
      <c r="AJ7" s="23"/>
      <c r="AK7" s="29" t="s">
        <v>12</v>
      </c>
      <c r="AL7" s="29"/>
      <c r="AM7" s="29"/>
      <c r="AN7" s="26" t="s">
        <v>13</v>
      </c>
    </row>
    <row r="8" s="15" customFormat="true" ht="21" hidden="false" customHeight="true" outlineLevel="0" collapsed="false">
      <c r="A8" s="20"/>
      <c r="B8" s="21"/>
      <c r="C8" s="21"/>
      <c r="D8" s="21"/>
      <c r="E8" s="21"/>
      <c r="F8" s="21"/>
      <c r="G8" s="21"/>
      <c r="H8" s="21"/>
      <c r="I8" s="23"/>
      <c r="J8" s="23"/>
      <c r="K8" s="23"/>
      <c r="L8" s="24"/>
      <c r="M8" s="24"/>
      <c r="N8" s="24"/>
      <c r="O8" s="25"/>
      <c r="P8" s="25"/>
      <c r="Q8" s="25"/>
      <c r="R8" s="26"/>
      <c r="S8" s="26"/>
      <c r="T8" s="21"/>
      <c r="U8" s="28"/>
      <c r="V8" s="28"/>
      <c r="W8" s="28"/>
      <c r="AE8" s="23"/>
      <c r="AF8" s="23"/>
      <c r="AG8" s="23"/>
      <c r="AH8" s="23"/>
      <c r="AI8" s="23"/>
      <c r="AJ8" s="23"/>
      <c r="AK8" s="29"/>
      <c r="AL8" s="29"/>
      <c r="AM8" s="29"/>
      <c r="AN8" s="26"/>
    </row>
    <row r="9" customFormat="false" ht="108" hidden="false" customHeight="true" outlineLevel="0" collapsed="false">
      <c r="A9" s="20"/>
      <c r="B9" s="21"/>
      <c r="C9" s="21"/>
      <c r="D9" s="21"/>
      <c r="E9" s="22"/>
      <c r="F9" s="22"/>
      <c r="G9" s="22"/>
      <c r="H9" s="22"/>
      <c r="I9" s="21" t="s">
        <v>17</v>
      </c>
      <c r="J9" s="30" t="s">
        <v>18</v>
      </c>
      <c r="K9" s="30" t="s">
        <v>14</v>
      </c>
      <c r="L9" s="21" t="s">
        <v>17</v>
      </c>
      <c r="M9" s="30" t="s">
        <v>18</v>
      </c>
      <c r="N9" s="30" t="s">
        <v>14</v>
      </c>
      <c r="O9" s="21" t="s">
        <v>17</v>
      </c>
      <c r="P9" s="30" t="s">
        <v>19</v>
      </c>
      <c r="Q9" s="30" t="s">
        <v>20</v>
      </c>
      <c r="R9" s="26"/>
      <c r="S9" s="26"/>
      <c r="T9" s="21"/>
      <c r="U9" s="31" t="s">
        <v>10</v>
      </c>
      <c r="V9" s="31" t="s">
        <v>11</v>
      </c>
      <c r="W9" s="31" t="s">
        <v>12</v>
      </c>
      <c r="X9" s="15"/>
      <c r="Y9" s="15"/>
      <c r="Z9" s="15"/>
      <c r="AA9" s="15"/>
      <c r="AB9" s="15"/>
      <c r="AC9" s="15"/>
      <c r="AD9" s="15"/>
      <c r="AE9" s="21" t="s">
        <v>17</v>
      </c>
      <c r="AF9" s="30" t="s">
        <v>18</v>
      </c>
      <c r="AG9" s="30" t="s">
        <v>14</v>
      </c>
      <c r="AH9" s="21" t="s">
        <v>17</v>
      </c>
      <c r="AI9" s="30" t="s">
        <v>18</v>
      </c>
      <c r="AJ9" s="30" t="s">
        <v>14</v>
      </c>
      <c r="AK9" s="21" t="s">
        <v>17</v>
      </c>
      <c r="AL9" s="30" t="s">
        <v>18</v>
      </c>
      <c r="AM9" s="30" t="s">
        <v>14</v>
      </c>
      <c r="AN9" s="26"/>
    </row>
    <row r="10" s="44" customFormat="true" ht="27" hidden="true" customHeight="true" outlineLevel="0" collapsed="false">
      <c r="A10" s="32" t="n">
        <v>75</v>
      </c>
      <c r="B10" s="33"/>
      <c r="C10" s="33"/>
      <c r="D10" s="33"/>
      <c r="E10" s="34" t="s">
        <v>21</v>
      </c>
      <c r="F10" s="35"/>
      <c r="G10" s="36"/>
      <c r="H10" s="36"/>
      <c r="I10" s="37"/>
      <c r="J10" s="38"/>
      <c r="K10" s="39"/>
      <c r="L10" s="37"/>
      <c r="M10" s="38"/>
      <c r="N10" s="38"/>
      <c r="O10" s="37"/>
      <c r="P10" s="38"/>
      <c r="Q10" s="38"/>
      <c r="R10" s="40"/>
      <c r="S10" s="40"/>
      <c r="T10" s="41"/>
      <c r="U10" s="42" t="e">
        <f aca="false">ROUND(J10*100/R10-100,0)</f>
        <v>#DIV/0!</v>
      </c>
      <c r="V10" s="42" t="e">
        <f aca="false">ROUND(M10*100/R10-100,0)</f>
        <v>#DIV/0!</v>
      </c>
      <c r="W10" s="42" t="e">
        <f aca="false">ROUND(P10*100/R10-100,0)</f>
        <v>#DIV/0!</v>
      </c>
      <c r="X10" s="43"/>
      <c r="Y10" s="43"/>
      <c r="Z10" s="43"/>
      <c r="AA10" s="43"/>
      <c r="AB10" s="43"/>
      <c r="AC10" s="43"/>
      <c r="AD10" s="43"/>
      <c r="AE10" s="43"/>
      <c r="AF10" s="43"/>
      <c r="AG10" s="43"/>
      <c r="AH10" s="43"/>
      <c r="AI10" s="43"/>
      <c r="AJ10" s="43"/>
      <c r="AK10" s="43"/>
      <c r="AL10" s="43"/>
      <c r="AM10" s="1"/>
    </row>
    <row r="11" s="44" customFormat="true" ht="44.25" hidden="true" customHeight="true" outlineLevel="0" collapsed="false">
      <c r="A11" s="45" t="n">
        <v>76</v>
      </c>
      <c r="B11" s="33" t="n">
        <v>1</v>
      </c>
      <c r="C11" s="33" t="n">
        <v>1</v>
      </c>
      <c r="D11" s="33" t="n">
        <v>1</v>
      </c>
      <c r="E11" s="46" t="s">
        <v>22</v>
      </c>
      <c r="F11" s="46" t="s">
        <v>23</v>
      </c>
      <c r="G11" s="47" t="n">
        <f aca="false">14+2.25+15+5+0.5+0.5+1+1.25+1.25+1+1+1+1+1+1+1</f>
        <v>47.75</v>
      </c>
      <c r="H11" s="47"/>
      <c r="I11" s="48" t="s">
        <v>24</v>
      </c>
      <c r="J11" s="49" t="n">
        <v>416.67</v>
      </c>
      <c r="K11" s="50" t="n">
        <f aca="false">J11*G11</f>
        <v>19895.9925</v>
      </c>
      <c r="L11" s="48" t="s">
        <v>25</v>
      </c>
      <c r="M11" s="51" t="n">
        <v>447.916</v>
      </c>
      <c r="N11" s="50" t="n">
        <f aca="false">M11*G11</f>
        <v>21387.989</v>
      </c>
      <c r="O11" s="48" t="s">
        <v>26</v>
      </c>
      <c r="P11" s="51" t="n">
        <v>460</v>
      </c>
      <c r="Q11" s="50" t="n">
        <f aca="false">P11*G11</f>
        <v>21965</v>
      </c>
      <c r="R11" s="52" t="n">
        <f aca="false">AVERAGE(J11,M11,P11)</f>
        <v>441.528666666667</v>
      </c>
      <c r="S11" s="52" t="n">
        <f aca="false">R11*G11</f>
        <v>21082.9938333333</v>
      </c>
      <c r="T11" s="53"/>
      <c r="U11" s="42" t="n">
        <f aca="false">ROUND(J11*100/R11-100,0)</f>
        <v>-6</v>
      </c>
      <c r="V11" s="42" t="n">
        <f aca="false">ROUND(M11*100/R11-100,0)</f>
        <v>1</v>
      </c>
      <c r="W11" s="42" t="n">
        <f aca="false">ROUND(P11*100/R11-100,0)</f>
        <v>4</v>
      </c>
      <c r="X11" s="54" t="s">
        <v>27</v>
      </c>
      <c r="Y11" s="55" t="n">
        <f aca="false">2484/1.2/300*200</f>
        <v>1380</v>
      </c>
      <c r="Z11" s="54" t="s">
        <v>28</v>
      </c>
      <c r="AA11" s="55" t="n">
        <f aca="false">276/1.2/85*200</f>
        <v>541.176470588235</v>
      </c>
      <c r="AB11" s="54" t="s">
        <v>29</v>
      </c>
      <c r="AC11" s="55" t="n">
        <f aca="false">274/1.2/100*200</f>
        <v>456.666666666667</v>
      </c>
      <c r="AD11" s="55"/>
      <c r="AE11" s="55"/>
      <c r="AF11" s="43"/>
      <c r="AG11" s="43"/>
      <c r="AH11" s="43"/>
      <c r="AI11" s="43"/>
      <c r="AJ11" s="43"/>
      <c r="AK11" s="43"/>
      <c r="AL11" s="43"/>
      <c r="AM11" s="1"/>
    </row>
    <row r="12" s="43" customFormat="true" ht="44.25" hidden="true" customHeight="true" outlineLevel="0" collapsed="false">
      <c r="A12" s="45" t="n">
        <v>77</v>
      </c>
      <c r="B12" s="33" t="n">
        <v>2</v>
      </c>
      <c r="C12" s="33" t="n">
        <f aca="false">C11+1</f>
        <v>2</v>
      </c>
      <c r="D12" s="33" t="n">
        <f aca="false">D11+1</f>
        <v>2</v>
      </c>
      <c r="E12" s="46" t="s">
        <v>30</v>
      </c>
      <c r="F12" s="46" t="s">
        <v>31</v>
      </c>
      <c r="G12" s="47" t="n">
        <f aca="false">1+1.5</f>
        <v>2.5</v>
      </c>
      <c r="H12" s="47"/>
      <c r="I12" s="56" t="s">
        <v>32</v>
      </c>
      <c r="J12" s="50" t="n">
        <v>48.33</v>
      </c>
      <c r="K12" s="50" t="n">
        <f aca="false">J12*G12</f>
        <v>120.825</v>
      </c>
      <c r="L12" s="57" t="s">
        <v>33</v>
      </c>
      <c r="M12" s="50" t="n">
        <v>50</v>
      </c>
      <c r="N12" s="50" t="n">
        <f aca="false">M12*G12</f>
        <v>125</v>
      </c>
      <c r="O12" s="57" t="s">
        <v>34</v>
      </c>
      <c r="P12" s="50" t="n">
        <v>56.67</v>
      </c>
      <c r="Q12" s="50" t="n">
        <f aca="false">P12*G12</f>
        <v>141.675</v>
      </c>
      <c r="R12" s="52" t="n">
        <f aca="false">AVERAGE(J12,M12,P12)</f>
        <v>51.6666666666667</v>
      </c>
      <c r="S12" s="52" t="n">
        <f aca="false">R12*G12</f>
        <v>129.166666666667</v>
      </c>
      <c r="T12" s="58"/>
      <c r="U12" s="42" t="n">
        <f aca="false">ROUND(J12*100/R12-100,0)</f>
        <v>-6</v>
      </c>
      <c r="V12" s="42" t="n">
        <f aca="false">ROUND(M12*100/R12-100,0)</f>
        <v>-3</v>
      </c>
      <c r="W12" s="42" t="n">
        <f aca="false">ROUND(P12*100/R12-100,0)</f>
        <v>10</v>
      </c>
      <c r="X12" s="55"/>
      <c r="Y12" s="55"/>
      <c r="Z12" s="55"/>
      <c r="AA12" s="55"/>
      <c r="AB12" s="55"/>
      <c r="AC12" s="55"/>
      <c r="AD12" s="55"/>
      <c r="AE12" s="55"/>
      <c r="AM12" s="1"/>
    </row>
    <row r="13" s="43" customFormat="true" ht="44.25" hidden="true" customHeight="true" outlineLevel="0" collapsed="false">
      <c r="A13" s="45"/>
      <c r="B13" s="33" t="n">
        <v>3</v>
      </c>
      <c r="C13" s="33" t="n">
        <f aca="false">C12+1</f>
        <v>3</v>
      </c>
      <c r="D13" s="33" t="n">
        <f aca="false">D12+1</f>
        <v>3</v>
      </c>
      <c r="E13" s="46" t="s">
        <v>35</v>
      </c>
      <c r="F13" s="46" t="s">
        <v>31</v>
      </c>
      <c r="G13" s="47" t="n">
        <f aca="false">3+3+1+1+1+1+3+3+1.9+1.9+1.9+1.9+4+2+2+2+1.9+1.9+2+2+2+2+2+2+2+2+4+2+2+2+2+2</f>
        <v>67.4</v>
      </c>
      <c r="H13" s="47"/>
      <c r="I13" s="57" t="s">
        <v>36</v>
      </c>
      <c r="J13" s="50" t="n">
        <v>145.83</v>
      </c>
      <c r="K13" s="50" t="n">
        <f aca="false">J13*G13</f>
        <v>9828.942</v>
      </c>
      <c r="L13" s="59" t="s">
        <v>37</v>
      </c>
      <c r="M13" s="50" t="n">
        <v>158.5</v>
      </c>
      <c r="N13" s="50" t="n">
        <f aca="false">M13*G13</f>
        <v>10682.9</v>
      </c>
      <c r="O13" s="57" t="s">
        <v>38</v>
      </c>
      <c r="P13" s="50" t="n">
        <v>187.5</v>
      </c>
      <c r="Q13" s="50" t="n">
        <f aca="false">P13*G13</f>
        <v>12637.5</v>
      </c>
      <c r="R13" s="52" t="n">
        <f aca="false">AVERAGE(J13,M13,P13)</f>
        <v>163.943333333333</v>
      </c>
      <c r="S13" s="52" t="n">
        <f aca="false">R13*G13</f>
        <v>11049.7806666667</v>
      </c>
      <c r="T13" s="58"/>
      <c r="U13" s="42" t="n">
        <f aca="false">ROUND(J13*100/R13-100,0)</f>
        <v>-11</v>
      </c>
      <c r="V13" s="42" t="n">
        <f aca="false">ROUND(M13*100/R13-100,0)</f>
        <v>-3</v>
      </c>
      <c r="W13" s="42" t="n">
        <f aca="false">ROUND(P13*100/R13-100,0)</f>
        <v>14</v>
      </c>
      <c r="X13" s="55"/>
      <c r="Y13" s="55"/>
      <c r="Z13" s="55"/>
      <c r="AA13" s="55"/>
      <c r="AB13" s="55"/>
      <c r="AC13" s="55"/>
      <c r="AD13" s="55"/>
      <c r="AE13" s="55"/>
      <c r="AM13" s="1"/>
    </row>
    <row r="14" s="43" customFormat="true" ht="44.25" hidden="true" customHeight="true" outlineLevel="0" collapsed="false">
      <c r="A14" s="45"/>
      <c r="B14" s="33" t="n">
        <v>4</v>
      </c>
      <c r="C14" s="33" t="n">
        <f aca="false">C13+1</f>
        <v>4</v>
      </c>
      <c r="D14" s="33" t="n">
        <f aca="false">D13+1</f>
        <v>4</v>
      </c>
      <c r="E14" s="46" t="s">
        <v>39</v>
      </c>
      <c r="F14" s="46" t="s">
        <v>31</v>
      </c>
      <c r="G14" s="47" t="n">
        <v>0.1</v>
      </c>
      <c r="H14" s="47"/>
      <c r="I14" s="56" t="s">
        <v>40</v>
      </c>
      <c r="J14" s="50" t="n">
        <v>666.67</v>
      </c>
      <c r="K14" s="50" t="n">
        <f aca="false">J14*G14</f>
        <v>66.667</v>
      </c>
      <c r="L14" s="57" t="s">
        <v>41</v>
      </c>
      <c r="M14" s="50" t="n">
        <v>690</v>
      </c>
      <c r="N14" s="50" t="n">
        <f aca="false">M14*G14</f>
        <v>69</v>
      </c>
      <c r="O14" s="57" t="s">
        <v>42</v>
      </c>
      <c r="P14" s="50" t="n">
        <v>491.67</v>
      </c>
      <c r="Q14" s="50" t="n">
        <f aca="false">P14*G14</f>
        <v>49.167</v>
      </c>
      <c r="R14" s="52" t="n">
        <f aca="false">AVERAGE(J14,M14,P14)</f>
        <v>616.113333333333</v>
      </c>
      <c r="S14" s="52" t="n">
        <f aca="false">R14*G14</f>
        <v>61.6113333333333</v>
      </c>
      <c r="T14" s="58"/>
      <c r="U14" s="42" t="n">
        <f aca="false">ROUND(J14*100/R14-100,0)</f>
        <v>8</v>
      </c>
      <c r="V14" s="42" t="n">
        <f aca="false">ROUND(M14*100/R14-100,0)</f>
        <v>12</v>
      </c>
      <c r="W14" s="42" t="n">
        <f aca="false">ROUND(P14*100/R14-100,0)</f>
        <v>-20</v>
      </c>
      <c r="X14" s="55"/>
      <c r="Y14" s="55"/>
      <c r="Z14" s="55"/>
      <c r="AA14" s="55"/>
      <c r="AB14" s="55"/>
      <c r="AC14" s="55"/>
      <c r="AD14" s="55"/>
      <c r="AE14" s="55"/>
      <c r="AM14" s="1"/>
    </row>
    <row r="15" s="43" customFormat="true" ht="44.25" hidden="true" customHeight="true" outlineLevel="0" collapsed="false">
      <c r="A15" s="45"/>
      <c r="B15" s="33"/>
      <c r="C15" s="33" t="n">
        <f aca="false">C14+1</f>
        <v>5</v>
      </c>
      <c r="D15" s="33"/>
      <c r="E15" s="46"/>
      <c r="F15" s="46"/>
      <c r="G15" s="47"/>
      <c r="H15" s="47"/>
      <c r="I15" s="59"/>
      <c r="J15" s="50"/>
      <c r="K15" s="50"/>
      <c r="L15" s="57"/>
      <c r="M15" s="50"/>
      <c r="N15" s="50"/>
      <c r="O15" s="57"/>
      <c r="P15" s="50"/>
      <c r="Q15" s="50"/>
      <c r="R15" s="52"/>
      <c r="S15" s="52"/>
      <c r="T15" s="58"/>
      <c r="U15" s="42"/>
      <c r="V15" s="42"/>
      <c r="W15" s="42"/>
      <c r="X15" s="55"/>
      <c r="Y15" s="55"/>
      <c r="Z15" s="55"/>
      <c r="AA15" s="55"/>
      <c r="AB15" s="55"/>
      <c r="AC15" s="55"/>
      <c r="AD15" s="55"/>
      <c r="AE15" s="55"/>
      <c r="AM15" s="1"/>
    </row>
    <row r="16" s="43" customFormat="true" ht="44.25" hidden="true" customHeight="true" outlineLevel="0" collapsed="false">
      <c r="A16" s="45" t="n">
        <v>78</v>
      </c>
      <c r="B16" s="33" t="n">
        <v>5</v>
      </c>
      <c r="C16" s="33" t="n">
        <f aca="false">C15+1</f>
        <v>6</v>
      </c>
      <c r="D16" s="33" t="n">
        <f aca="false">D14+1</f>
        <v>5</v>
      </c>
      <c r="E16" s="60" t="s">
        <v>43</v>
      </c>
      <c r="F16" s="60" t="s">
        <v>44</v>
      </c>
      <c r="G16" s="61" t="n">
        <f aca="false">12</f>
        <v>12</v>
      </c>
      <c r="H16" s="61"/>
      <c r="I16" s="59" t="s">
        <v>37</v>
      </c>
      <c r="J16" s="49" t="n">
        <v>3750</v>
      </c>
      <c r="K16" s="50" t="n">
        <f aca="false">J16*G16</f>
        <v>45000</v>
      </c>
      <c r="L16" s="59"/>
      <c r="M16" s="49"/>
      <c r="N16" s="50" t="n">
        <f aca="false">M16*G16</f>
        <v>0</v>
      </c>
      <c r="O16" s="59"/>
      <c r="P16" s="49"/>
      <c r="Q16" s="50" t="n">
        <f aca="false">P16*G16</f>
        <v>0</v>
      </c>
      <c r="R16" s="52" t="n">
        <f aca="false">AVERAGE(J16,M16,P16)</f>
        <v>3750</v>
      </c>
      <c r="S16" s="52" t="n">
        <f aca="false">R16*G16</f>
        <v>45000</v>
      </c>
      <c r="T16" s="58"/>
      <c r="U16" s="42" t="n">
        <f aca="false">ROUND(J16*100/R16-100,0)</f>
        <v>0</v>
      </c>
      <c r="V16" s="42" t="n">
        <f aca="false">ROUND(M16*100/R16-100,0)</f>
        <v>-100</v>
      </c>
      <c r="W16" s="42" t="n">
        <f aca="false">ROUND(P16*100/R16-100,0)</f>
        <v>-100</v>
      </c>
      <c r="X16" s="55"/>
      <c r="Y16" s="55"/>
      <c r="Z16" s="55"/>
      <c r="AA16" s="55"/>
      <c r="AB16" s="55"/>
      <c r="AC16" s="55"/>
      <c r="AD16" s="55"/>
      <c r="AE16" s="55"/>
      <c r="AM16" s="1"/>
    </row>
    <row r="17" s="43" customFormat="true" ht="109.5" hidden="true" customHeight="true" outlineLevel="0" collapsed="false">
      <c r="A17" s="62" t="n">
        <v>79</v>
      </c>
      <c r="B17" s="63" t="n">
        <f aca="false">B16+1</f>
        <v>6</v>
      </c>
      <c r="C17" s="63" t="n">
        <f aca="false">C16+1</f>
        <v>7</v>
      </c>
      <c r="D17" s="63" t="n">
        <f aca="false">D16+1</f>
        <v>6</v>
      </c>
      <c r="E17" s="64" t="s">
        <v>45</v>
      </c>
      <c r="F17" s="64" t="s">
        <v>23</v>
      </c>
      <c r="G17" s="65" t="n">
        <f aca="false">120+40</f>
        <v>160</v>
      </c>
      <c r="H17" s="65"/>
      <c r="I17" s="66" t="s">
        <v>46</v>
      </c>
      <c r="J17" s="67" t="n">
        <f aca="false">27500/1.2/20</f>
        <v>1145.83333333333</v>
      </c>
      <c r="K17" s="68" t="n">
        <f aca="false">J17*G17</f>
        <v>183333.333333333</v>
      </c>
      <c r="L17" s="69" t="s">
        <v>47</v>
      </c>
      <c r="M17" s="68" t="n">
        <v>1120.83</v>
      </c>
      <c r="N17" s="68" t="n">
        <f aca="false">M17*G17</f>
        <v>179332.8</v>
      </c>
      <c r="O17" s="70" t="s">
        <v>48</v>
      </c>
      <c r="P17" s="68" t="n">
        <v>1443.75</v>
      </c>
      <c r="Q17" s="68" t="n">
        <f aca="false">P17*G17</f>
        <v>231000</v>
      </c>
      <c r="R17" s="71" t="n">
        <f aca="false">AVERAGE(J17,M17,P17)</f>
        <v>1236.80444444444</v>
      </c>
      <c r="S17" s="71" t="n">
        <f aca="false">R17*G17</f>
        <v>197888.711111111</v>
      </c>
      <c r="T17" s="72"/>
      <c r="U17" s="73" t="n">
        <f aca="false">ROUND(J17*100/R17-100,0)</f>
        <v>-7</v>
      </c>
      <c r="V17" s="73" t="n">
        <f aca="false">ROUND(M17*100/R17-100,0)</f>
        <v>-9</v>
      </c>
      <c r="W17" s="73" t="n">
        <f aca="false">ROUND(P17*100/R17-100,0)</f>
        <v>17</v>
      </c>
      <c r="X17" s="74"/>
      <c r="Y17" s="74"/>
      <c r="Z17" s="74"/>
      <c r="AA17" s="74"/>
      <c r="AB17" s="74"/>
      <c r="AC17" s="74"/>
      <c r="AD17" s="74"/>
      <c r="AE17" s="74"/>
      <c r="AF17" s="75"/>
      <c r="AG17" s="75"/>
      <c r="AH17" s="75"/>
      <c r="AI17" s="75"/>
      <c r="AJ17" s="75"/>
      <c r="AK17" s="75"/>
      <c r="AL17" s="75"/>
      <c r="AM17" s="76"/>
    </row>
    <row r="18" s="75" customFormat="true" ht="60" hidden="true" customHeight="true" outlineLevel="0" collapsed="false">
      <c r="A18" s="45" t="n">
        <v>80</v>
      </c>
      <c r="B18" s="33" t="n">
        <f aca="false">B17+1</f>
        <v>7</v>
      </c>
      <c r="C18" s="33" t="n">
        <f aca="false">C17+1</f>
        <v>8</v>
      </c>
      <c r="D18" s="33" t="n">
        <f aca="false">D17+1</f>
        <v>7</v>
      </c>
      <c r="E18" s="46" t="s">
        <v>49</v>
      </c>
      <c r="F18" s="46" t="s">
        <v>31</v>
      </c>
      <c r="G18" s="47" t="n">
        <f aca="false">41.4*4+9+24</f>
        <v>198.6</v>
      </c>
      <c r="H18" s="47"/>
      <c r="I18" s="57" t="s">
        <v>50</v>
      </c>
      <c r="J18" s="50" t="n">
        <v>625</v>
      </c>
      <c r="K18" s="50" t="n">
        <f aca="false">J18*G18</f>
        <v>124125</v>
      </c>
      <c r="L18" s="57" t="s">
        <v>51</v>
      </c>
      <c r="M18" s="50" t="n">
        <v>625</v>
      </c>
      <c r="N18" s="50" t="n">
        <f aca="false">M18*G18</f>
        <v>124125</v>
      </c>
      <c r="O18" s="57" t="s">
        <v>52</v>
      </c>
      <c r="P18" s="50" t="n">
        <v>583.33</v>
      </c>
      <c r="Q18" s="50" t="n">
        <f aca="false">P18*G18</f>
        <v>115849.338</v>
      </c>
      <c r="R18" s="52" t="n">
        <f aca="false">AVERAGE(J18,M18,P18)</f>
        <v>611.11</v>
      </c>
      <c r="S18" s="52" t="n">
        <f aca="false">R18*G18</f>
        <v>121366.446</v>
      </c>
      <c r="T18" s="58"/>
      <c r="U18" s="42" t="n">
        <f aca="false">ROUND(J18*100/R18-100,0)</f>
        <v>2</v>
      </c>
      <c r="V18" s="42" t="n">
        <f aca="false">ROUND(M18*100/R18-100,0)</f>
        <v>2</v>
      </c>
      <c r="W18" s="42" t="n">
        <f aca="false">ROUND(P18*100/R18-100,0)</f>
        <v>-5</v>
      </c>
      <c r="X18" s="55"/>
      <c r="Y18" s="55"/>
      <c r="Z18" s="55"/>
      <c r="AA18" s="55"/>
      <c r="AB18" s="55"/>
      <c r="AC18" s="55"/>
      <c r="AD18" s="55"/>
      <c r="AE18" s="55"/>
      <c r="AF18" s="43"/>
      <c r="AG18" s="43"/>
      <c r="AH18" s="43"/>
      <c r="AI18" s="43"/>
      <c r="AJ18" s="43"/>
      <c r="AK18" s="43"/>
      <c r="AL18" s="43"/>
      <c r="AM18" s="1"/>
    </row>
    <row r="19" s="43" customFormat="true" ht="60" hidden="true" customHeight="true" outlineLevel="0" collapsed="false">
      <c r="A19" s="45"/>
      <c r="B19" s="33" t="n">
        <f aca="false">B18+1</f>
        <v>8</v>
      </c>
      <c r="C19" s="33" t="n">
        <f aca="false">C18+1</f>
        <v>9</v>
      </c>
      <c r="D19" s="33" t="n">
        <f aca="false">D18+1</f>
        <v>8</v>
      </c>
      <c r="E19" s="46" t="s">
        <v>53</v>
      </c>
      <c r="F19" s="46" t="s">
        <v>31</v>
      </c>
      <c r="G19" s="47" t="n">
        <f aca="false">2</f>
        <v>2</v>
      </c>
      <c r="H19" s="47"/>
      <c r="I19" s="57" t="s">
        <v>54</v>
      </c>
      <c r="J19" s="50" t="n">
        <v>458.333</v>
      </c>
      <c r="K19" s="50" t="n">
        <f aca="false">J19*G19</f>
        <v>916.666</v>
      </c>
      <c r="L19" s="57"/>
      <c r="M19" s="50"/>
      <c r="N19" s="50" t="n">
        <f aca="false">M19*G19</f>
        <v>0</v>
      </c>
      <c r="O19" s="57"/>
      <c r="P19" s="50"/>
      <c r="Q19" s="50" t="n">
        <f aca="false">P19*G19</f>
        <v>0</v>
      </c>
      <c r="R19" s="52" t="n">
        <f aca="false">AVERAGE(J19,M19,P19)</f>
        <v>458.333</v>
      </c>
      <c r="S19" s="52" t="n">
        <f aca="false">R19*G19</f>
        <v>916.666</v>
      </c>
      <c r="T19" s="58"/>
      <c r="U19" s="42" t="n">
        <f aca="false">ROUND(J19*100/R19-100,0)</f>
        <v>0</v>
      </c>
      <c r="V19" s="42" t="n">
        <f aca="false">ROUND(M19*100/R19-100,0)</f>
        <v>-100</v>
      </c>
      <c r="W19" s="42" t="n">
        <f aca="false">ROUND(P19*100/R19-100,0)</f>
        <v>-100</v>
      </c>
      <c r="X19" s="55"/>
      <c r="Y19" s="55"/>
      <c r="Z19" s="55"/>
      <c r="AA19" s="55"/>
      <c r="AB19" s="55"/>
      <c r="AC19" s="55"/>
      <c r="AD19" s="55"/>
      <c r="AE19" s="55"/>
      <c r="AM19" s="1"/>
    </row>
    <row r="20" s="43" customFormat="true" ht="44.25" hidden="true" customHeight="true" outlineLevel="0" collapsed="false">
      <c r="A20" s="62" t="n">
        <v>81</v>
      </c>
      <c r="B20" s="63" t="n">
        <f aca="false">B19+1</f>
        <v>9</v>
      </c>
      <c r="C20" s="63" t="n">
        <f aca="false">C19+1</f>
        <v>10</v>
      </c>
      <c r="D20" s="63" t="n">
        <f aca="false">D19+1</f>
        <v>9</v>
      </c>
      <c r="E20" s="64" t="s">
        <v>55</v>
      </c>
      <c r="F20" s="64" t="s">
        <v>56</v>
      </c>
      <c r="G20" s="65" t="n">
        <v>3</v>
      </c>
      <c r="H20" s="65"/>
      <c r="I20" s="69" t="s">
        <v>57</v>
      </c>
      <c r="J20" s="68" t="n">
        <v>232000</v>
      </c>
      <c r="K20" s="68" t="n">
        <f aca="false">J20*G20</f>
        <v>696000</v>
      </c>
      <c r="L20" s="69" t="s">
        <v>58</v>
      </c>
      <c r="M20" s="68" t="n">
        <f aca="false">250000/1.2</f>
        <v>208333.333333333</v>
      </c>
      <c r="N20" s="68" t="n">
        <f aca="false">M20*G20</f>
        <v>625000</v>
      </c>
      <c r="O20" s="77" t="s">
        <v>59</v>
      </c>
      <c r="P20" s="68" t="n">
        <v>228000</v>
      </c>
      <c r="Q20" s="68" t="n">
        <f aca="false">P20*G20</f>
        <v>684000</v>
      </c>
      <c r="R20" s="71" t="n">
        <f aca="false">AVERAGE(J20,M20,P20)</f>
        <v>222777.777777778</v>
      </c>
      <c r="S20" s="71" t="n">
        <f aca="false">R20*G20</f>
        <v>668333.333333333</v>
      </c>
      <c r="T20" s="72"/>
      <c r="U20" s="73" t="n">
        <f aca="false">ROUND(J20*100/R20-100,0)</f>
        <v>4</v>
      </c>
      <c r="V20" s="73" t="n">
        <f aca="false">ROUND(M20*100/R20-100,0)</f>
        <v>-6</v>
      </c>
      <c r="W20" s="73" t="n">
        <f aca="false">ROUND(P20*100/R20-100,0)</f>
        <v>2</v>
      </c>
      <c r="X20" s="74"/>
      <c r="Y20" s="74"/>
      <c r="Z20" s="74"/>
      <c r="AA20" s="74"/>
      <c r="AB20" s="74"/>
      <c r="AC20" s="74"/>
      <c r="AD20" s="74"/>
      <c r="AE20" s="74"/>
      <c r="AF20" s="75"/>
      <c r="AG20" s="75"/>
      <c r="AH20" s="75"/>
      <c r="AI20" s="75"/>
      <c r="AJ20" s="75"/>
      <c r="AK20" s="75"/>
      <c r="AL20" s="75"/>
      <c r="AM20" s="76"/>
    </row>
    <row r="21" s="75" customFormat="true" ht="57" hidden="true" customHeight="true" outlineLevel="0" collapsed="false">
      <c r="A21" s="45" t="n">
        <v>82</v>
      </c>
      <c r="B21" s="33" t="n">
        <f aca="false">B20+1</f>
        <v>10</v>
      </c>
      <c r="C21" s="33" t="n">
        <f aca="false">C20+1</f>
        <v>11</v>
      </c>
      <c r="D21" s="33" t="n">
        <f aca="false">D20+1</f>
        <v>10</v>
      </c>
      <c r="E21" s="46" t="s">
        <v>60</v>
      </c>
      <c r="F21" s="46" t="s">
        <v>56</v>
      </c>
      <c r="G21" s="47" t="n">
        <f aca="false">2</f>
        <v>2</v>
      </c>
      <c r="H21" s="47"/>
      <c r="I21" s="59" t="s">
        <v>61</v>
      </c>
      <c r="J21" s="50" t="n">
        <v>147600</v>
      </c>
      <c r="K21" s="50" t="n">
        <f aca="false">J21*G21</f>
        <v>295200</v>
      </c>
      <c r="L21" s="59" t="s">
        <v>59</v>
      </c>
      <c r="M21" s="50" t="n">
        <v>115250</v>
      </c>
      <c r="N21" s="50" t="n">
        <f aca="false">M21*G21</f>
        <v>230500</v>
      </c>
      <c r="O21" s="56"/>
      <c r="P21" s="50"/>
      <c r="Q21" s="50" t="n">
        <f aca="false">P21*G21</f>
        <v>0</v>
      </c>
      <c r="R21" s="52" t="n">
        <f aca="false">AVERAGE(J21,M21,P21)</f>
        <v>131425</v>
      </c>
      <c r="S21" s="52" t="n">
        <f aca="false">R21*G21</f>
        <v>262850</v>
      </c>
      <c r="T21" s="58"/>
      <c r="U21" s="42" t="n">
        <f aca="false">ROUND(J21*100/R21-100,0)</f>
        <v>12</v>
      </c>
      <c r="V21" s="42" t="n">
        <f aca="false">ROUND(M21*100/R21-100,0)</f>
        <v>-12</v>
      </c>
      <c r="W21" s="42" t="n">
        <f aca="false">ROUND(P21*100/R21-100,0)</f>
        <v>-100</v>
      </c>
      <c r="X21" s="54" t="s">
        <v>62</v>
      </c>
      <c r="Y21" s="55" t="n">
        <f aca="false">2718/1.2*3</f>
        <v>6795</v>
      </c>
      <c r="Z21" s="54" t="s">
        <v>63</v>
      </c>
      <c r="AA21" s="55" t="n">
        <f aca="false">3883/1.2*3</f>
        <v>9707.5</v>
      </c>
      <c r="AB21" s="54" t="s">
        <v>64</v>
      </c>
      <c r="AC21" s="55" t="n">
        <f aca="false">4988/1.2*3</f>
        <v>12470</v>
      </c>
      <c r="AD21" s="57" t="s">
        <v>65</v>
      </c>
      <c r="AE21" s="78" t="n">
        <f aca="false">7322.4/1.2</f>
        <v>6102</v>
      </c>
      <c r="AF21" s="43"/>
      <c r="AG21" s="43"/>
      <c r="AH21" s="43"/>
      <c r="AI21" s="43"/>
      <c r="AJ21" s="43"/>
      <c r="AK21" s="43"/>
      <c r="AL21" s="43"/>
      <c r="AM21" s="1"/>
    </row>
    <row r="22" s="43" customFormat="true" ht="57" hidden="true" customHeight="true" outlineLevel="0" collapsed="false">
      <c r="A22" s="45" t="n">
        <v>83</v>
      </c>
      <c r="B22" s="33" t="n">
        <f aca="false">B21+1</f>
        <v>11</v>
      </c>
      <c r="C22" s="33" t="n">
        <f aca="false">C21+1</f>
        <v>12</v>
      </c>
      <c r="D22" s="33" t="n">
        <f aca="false">D21+1</f>
        <v>11</v>
      </c>
      <c r="E22" s="46" t="s">
        <v>66</v>
      </c>
      <c r="F22" s="46" t="s">
        <v>44</v>
      </c>
      <c r="G22" s="47" t="n">
        <v>1</v>
      </c>
      <c r="H22" s="47"/>
      <c r="I22" s="79" t="s">
        <v>67</v>
      </c>
      <c r="J22" s="50" t="n">
        <v>36881.67</v>
      </c>
      <c r="K22" s="50" t="n">
        <f aca="false">J22*G22</f>
        <v>36881.67</v>
      </c>
      <c r="L22" s="59" t="s">
        <v>68</v>
      </c>
      <c r="M22" s="50" t="n">
        <f aca="false">35851/1.2</f>
        <v>29875.8333333333</v>
      </c>
      <c r="N22" s="50" t="n">
        <f aca="false">M22*G22</f>
        <v>29875.8333333333</v>
      </c>
      <c r="O22" s="59" t="s">
        <v>69</v>
      </c>
      <c r="P22" s="50" t="n">
        <v>27610</v>
      </c>
      <c r="Q22" s="50" t="n">
        <f aca="false">P22*G22</f>
        <v>27610</v>
      </c>
      <c r="R22" s="52" t="n">
        <f aca="false">AVERAGE(J22,M22,P22)</f>
        <v>31455.8344444444</v>
      </c>
      <c r="S22" s="52" t="n">
        <f aca="false">R22*G22</f>
        <v>31455.8344444444</v>
      </c>
      <c r="T22" s="58"/>
      <c r="U22" s="42" t="n">
        <f aca="false">ROUND(J22*100/R22-100,0)</f>
        <v>17</v>
      </c>
      <c r="V22" s="42" t="n">
        <f aca="false">ROUND(M22*100/R22-100,0)</f>
        <v>-5</v>
      </c>
      <c r="W22" s="42" t="n">
        <f aca="false">ROUND(P22*100/R22-100,0)</f>
        <v>-12</v>
      </c>
      <c r="X22" s="54" t="s">
        <v>70</v>
      </c>
      <c r="Y22" s="55" t="n">
        <f aca="false">1844/1.2*3</f>
        <v>4610</v>
      </c>
      <c r="Z22" s="55"/>
      <c r="AA22" s="55"/>
      <c r="AB22" s="55"/>
      <c r="AC22" s="55"/>
      <c r="AD22" s="55"/>
      <c r="AE22" s="55"/>
      <c r="AM22" s="1"/>
    </row>
    <row r="23" s="43" customFormat="true" ht="57.75" hidden="true" customHeight="true" outlineLevel="0" collapsed="false">
      <c r="A23" s="45" t="n">
        <v>84</v>
      </c>
      <c r="B23" s="33" t="n">
        <f aca="false">B22+1</f>
        <v>12</v>
      </c>
      <c r="C23" s="33" t="n">
        <f aca="false">C22+1</f>
        <v>13</v>
      </c>
      <c r="D23" s="33" t="n">
        <f aca="false">D22+1</f>
        <v>12</v>
      </c>
      <c r="E23" s="46" t="s">
        <v>71</v>
      </c>
      <c r="F23" s="46" t="s">
        <v>44</v>
      </c>
      <c r="G23" s="47" t="n">
        <v>1</v>
      </c>
      <c r="H23" s="47"/>
      <c r="I23" s="79" t="s">
        <v>67</v>
      </c>
      <c r="J23" s="50" t="n">
        <v>41125</v>
      </c>
      <c r="K23" s="50" t="n">
        <f aca="false">J23*G23</f>
        <v>41125</v>
      </c>
      <c r="L23" s="59" t="s">
        <v>68</v>
      </c>
      <c r="M23" s="50" t="n">
        <v>37850</v>
      </c>
      <c r="N23" s="50" t="n">
        <f aca="false">M23*G23</f>
        <v>37850</v>
      </c>
      <c r="O23" s="59" t="s">
        <v>69</v>
      </c>
      <c r="P23" s="50" t="n">
        <v>32506.666</v>
      </c>
      <c r="Q23" s="50" t="n">
        <f aca="false">P23*G23</f>
        <v>32506.666</v>
      </c>
      <c r="R23" s="52" t="n">
        <f aca="false">AVERAGE(J23,M23,P23)</f>
        <v>37160.5553333333</v>
      </c>
      <c r="S23" s="52" t="n">
        <f aca="false">R23*G23</f>
        <v>37160.5553333333</v>
      </c>
      <c r="T23" s="58"/>
      <c r="U23" s="42" t="n">
        <f aca="false">ROUND(J23*100/R23-100,0)</f>
        <v>11</v>
      </c>
      <c r="V23" s="42" t="n">
        <f aca="false">ROUND(M23*100/R23-100,0)</f>
        <v>2</v>
      </c>
      <c r="W23" s="42" t="n">
        <f aca="false">ROUND(P23*100/R23-100,0)</f>
        <v>-13</v>
      </c>
      <c r="X23" s="55"/>
      <c r="Y23" s="55"/>
      <c r="Z23" s="55"/>
      <c r="AA23" s="55"/>
      <c r="AB23" s="55"/>
      <c r="AC23" s="55"/>
      <c r="AD23" s="55"/>
      <c r="AE23" s="55"/>
      <c r="AM23" s="1"/>
    </row>
    <row r="24" s="43" customFormat="true" ht="67.5" hidden="true" customHeight="true" outlineLevel="0" collapsed="false">
      <c r="A24" s="45" t="n">
        <v>85</v>
      </c>
      <c r="B24" s="33" t="n">
        <f aca="false">B23+1</f>
        <v>13</v>
      </c>
      <c r="C24" s="33" t="n">
        <f aca="false">C23+1</f>
        <v>14</v>
      </c>
      <c r="D24" s="33" t="n">
        <f aca="false">D23+1</f>
        <v>13</v>
      </c>
      <c r="E24" s="46" t="s">
        <v>72</v>
      </c>
      <c r="F24" s="46" t="s">
        <v>44</v>
      </c>
      <c r="G24" s="47" t="n">
        <v>1</v>
      </c>
      <c r="H24" s="47"/>
      <c r="I24" s="79" t="s">
        <v>67</v>
      </c>
      <c r="J24" s="50" t="n">
        <v>41125</v>
      </c>
      <c r="K24" s="50" t="n">
        <f aca="false">J24*G24</f>
        <v>41125</v>
      </c>
      <c r="L24" s="59" t="s">
        <v>68</v>
      </c>
      <c r="M24" s="50" t="n">
        <v>37850</v>
      </c>
      <c r="N24" s="50" t="n">
        <f aca="false">M24*G24</f>
        <v>37850</v>
      </c>
      <c r="O24" s="59" t="s">
        <v>69</v>
      </c>
      <c r="P24" s="50" t="n">
        <v>32506.666</v>
      </c>
      <c r="Q24" s="50" t="n">
        <f aca="false">P24*G24</f>
        <v>32506.666</v>
      </c>
      <c r="R24" s="52" t="n">
        <f aca="false">AVERAGE(J24,M24,P24)</f>
        <v>37160.5553333333</v>
      </c>
      <c r="S24" s="52" t="n">
        <f aca="false">R24*G24</f>
        <v>37160.5553333333</v>
      </c>
      <c r="T24" s="58"/>
      <c r="U24" s="42" t="n">
        <f aca="false">ROUND(J24*100/R24-100,0)</f>
        <v>11</v>
      </c>
      <c r="V24" s="42" t="n">
        <f aca="false">ROUND(M24*100/R24-100,0)</f>
        <v>2</v>
      </c>
      <c r="W24" s="42" t="n">
        <f aca="false">ROUND(P24*100/R24-100,0)</f>
        <v>-13</v>
      </c>
      <c r="X24" s="55"/>
      <c r="Y24" s="55"/>
      <c r="Z24" s="55"/>
      <c r="AA24" s="55"/>
      <c r="AB24" s="55"/>
      <c r="AC24" s="55"/>
      <c r="AD24" s="55"/>
      <c r="AE24" s="55"/>
      <c r="AM24" s="1"/>
    </row>
    <row r="25" s="43" customFormat="true" ht="57.75" hidden="true" customHeight="true" outlineLevel="0" collapsed="false">
      <c r="A25" s="45"/>
      <c r="B25" s="33" t="n">
        <f aca="false">B24+1</f>
        <v>14</v>
      </c>
      <c r="C25" s="33" t="n">
        <f aca="false">C24+1</f>
        <v>15</v>
      </c>
      <c r="D25" s="33" t="n">
        <f aca="false">D24+1</f>
        <v>14</v>
      </c>
      <c r="E25" s="46" t="s">
        <v>73</v>
      </c>
      <c r="F25" s="46" t="s">
        <v>56</v>
      </c>
      <c r="G25" s="47" t="n">
        <f aca="false">2+2</f>
        <v>4</v>
      </c>
      <c r="H25" s="47"/>
      <c r="I25" s="79" t="s">
        <v>67</v>
      </c>
      <c r="J25" s="50" t="n">
        <v>4250</v>
      </c>
      <c r="K25" s="50" t="n">
        <f aca="false">J25*G25</f>
        <v>17000</v>
      </c>
      <c r="L25" s="59" t="s">
        <v>68</v>
      </c>
      <c r="M25" s="50" t="n">
        <v>4083.333</v>
      </c>
      <c r="N25" s="50" t="n">
        <f aca="false">M25*G25</f>
        <v>16333.332</v>
      </c>
      <c r="O25" s="59" t="s">
        <v>69</v>
      </c>
      <c r="P25" s="50" t="n">
        <v>3333.333</v>
      </c>
      <c r="Q25" s="50" t="n">
        <f aca="false">P25*G25</f>
        <v>13333.332</v>
      </c>
      <c r="R25" s="52" t="n">
        <f aca="false">AVERAGE(J25,M25,P25)</f>
        <v>3888.88866666667</v>
      </c>
      <c r="S25" s="52" t="n">
        <f aca="false">R25*G25</f>
        <v>15555.5546666667</v>
      </c>
      <c r="T25" s="58"/>
      <c r="U25" s="42" t="n">
        <f aca="false">ROUND(J25*100/R25-100,0)</f>
        <v>9</v>
      </c>
      <c r="V25" s="42" t="n">
        <f aca="false">ROUND(M25*100/R25-100,0)</f>
        <v>5</v>
      </c>
      <c r="W25" s="42" t="n">
        <f aca="false">ROUND(P25*100/R25-100,0)</f>
        <v>-14</v>
      </c>
      <c r="X25" s="55"/>
      <c r="Y25" s="55"/>
      <c r="Z25" s="55"/>
      <c r="AA25" s="55"/>
      <c r="AB25" s="55"/>
      <c r="AC25" s="55"/>
      <c r="AD25" s="55"/>
      <c r="AE25" s="55"/>
      <c r="AM25" s="1"/>
    </row>
    <row r="26" s="43" customFormat="true" ht="44.25" hidden="true" customHeight="true" outlineLevel="0" collapsed="false">
      <c r="A26" s="45" t="n">
        <v>86</v>
      </c>
      <c r="B26" s="33" t="n">
        <f aca="false">B25+1</f>
        <v>15</v>
      </c>
      <c r="C26" s="33" t="n">
        <f aca="false">C25+1</f>
        <v>16</v>
      </c>
      <c r="D26" s="33" t="n">
        <f aca="false">D25+1</f>
        <v>15</v>
      </c>
      <c r="E26" s="46" t="s">
        <v>74</v>
      </c>
      <c r="F26" s="46" t="s">
        <v>23</v>
      </c>
      <c r="G26" s="47" t="n">
        <v>90</v>
      </c>
      <c r="H26" s="47"/>
      <c r="I26" s="79" t="s">
        <v>67</v>
      </c>
      <c r="J26" s="50" t="n">
        <v>3431.5</v>
      </c>
      <c r="K26" s="50" t="n">
        <f aca="false">J26*G26</f>
        <v>308835</v>
      </c>
      <c r="L26" s="59" t="s">
        <v>68</v>
      </c>
      <c r="M26" s="50" t="n">
        <v>3300</v>
      </c>
      <c r="N26" s="50" t="n">
        <f aca="false">M26*G26</f>
        <v>297000</v>
      </c>
      <c r="O26" s="59" t="s">
        <v>69</v>
      </c>
      <c r="P26" s="50" t="n">
        <v>3112.75</v>
      </c>
      <c r="Q26" s="50" t="n">
        <f aca="false">P26*G26</f>
        <v>280147.5</v>
      </c>
      <c r="R26" s="52" t="n">
        <f aca="false">AVERAGE(J26,M26,P26)</f>
        <v>3281.41666666667</v>
      </c>
      <c r="S26" s="52" t="n">
        <f aca="false">R26*G26</f>
        <v>295327.5</v>
      </c>
      <c r="T26" s="58"/>
      <c r="U26" s="42" t="n">
        <f aca="false">ROUND(J26*100/R26-100,0)</f>
        <v>5</v>
      </c>
      <c r="V26" s="42" t="n">
        <f aca="false">ROUND(M26*100/R26-100,0)</f>
        <v>1</v>
      </c>
      <c r="W26" s="42" t="n">
        <f aca="false">ROUND(P26*100/R26-100,0)</f>
        <v>-5</v>
      </c>
      <c r="X26" s="55"/>
      <c r="Y26" s="55"/>
      <c r="Z26" s="55"/>
      <c r="AA26" s="55"/>
      <c r="AB26" s="55"/>
      <c r="AC26" s="55"/>
      <c r="AD26" s="55"/>
      <c r="AE26" s="55"/>
      <c r="AM26" s="1"/>
    </row>
    <row r="27" s="43" customFormat="true" ht="44.25" hidden="true" customHeight="true" outlineLevel="0" collapsed="false">
      <c r="A27" s="45" t="n">
        <v>87</v>
      </c>
      <c r="B27" s="33" t="n">
        <v>16</v>
      </c>
      <c r="C27" s="33" t="n">
        <f aca="false">C26+1</f>
        <v>17</v>
      </c>
      <c r="D27" s="33" t="n">
        <f aca="false">D26+1</f>
        <v>16</v>
      </c>
      <c r="E27" s="46" t="s">
        <v>75</v>
      </c>
      <c r="F27" s="46" t="s">
        <v>31</v>
      </c>
      <c r="G27" s="47" t="n">
        <v>1</v>
      </c>
      <c r="H27" s="47"/>
      <c r="I27" s="57" t="s">
        <v>76</v>
      </c>
      <c r="J27" s="50" t="n">
        <v>884.17</v>
      </c>
      <c r="K27" s="50" t="n">
        <f aca="false">J27*G27</f>
        <v>884.17</v>
      </c>
      <c r="L27" s="57" t="s">
        <v>77</v>
      </c>
      <c r="M27" s="50" t="n">
        <v>884.17</v>
      </c>
      <c r="N27" s="50" t="n">
        <f aca="false">M27*G27</f>
        <v>884.17</v>
      </c>
      <c r="O27" s="59" t="s">
        <v>37</v>
      </c>
      <c r="P27" s="50" t="n">
        <v>1000</v>
      </c>
      <c r="Q27" s="50" t="n">
        <f aca="false">P27*G27</f>
        <v>1000</v>
      </c>
      <c r="R27" s="52" t="n">
        <f aca="false">AVERAGE(J27,M27,P27)</f>
        <v>922.78</v>
      </c>
      <c r="S27" s="52" t="n">
        <f aca="false">R27*G27</f>
        <v>922.78</v>
      </c>
      <c r="T27" s="58"/>
      <c r="U27" s="42" t="n">
        <f aca="false">ROUND(J27*100/R27-100,0)</f>
        <v>-4</v>
      </c>
      <c r="V27" s="42" t="n">
        <f aca="false">ROUND(M27*100/R27-100,0)</f>
        <v>-4</v>
      </c>
      <c r="W27" s="42" t="n">
        <f aca="false">ROUND(P27*100/R27-100,0)</f>
        <v>8</v>
      </c>
      <c r="X27" s="55"/>
      <c r="Y27" s="55"/>
      <c r="Z27" s="55"/>
      <c r="AA27" s="55"/>
      <c r="AB27" s="55"/>
      <c r="AC27" s="55"/>
      <c r="AD27" s="55"/>
      <c r="AE27" s="55"/>
      <c r="AM27" s="1"/>
    </row>
    <row r="28" s="43" customFormat="true" ht="44.25" hidden="true" customHeight="true" outlineLevel="0" collapsed="false">
      <c r="A28" s="45"/>
      <c r="B28" s="33" t="n">
        <f aca="false">B27+1</f>
        <v>17</v>
      </c>
      <c r="C28" s="33" t="n">
        <f aca="false">C27+1</f>
        <v>18</v>
      </c>
      <c r="D28" s="33" t="n">
        <f aca="false">D27+1</f>
        <v>17</v>
      </c>
      <c r="E28" s="46" t="s">
        <v>78</v>
      </c>
      <c r="F28" s="46" t="s">
        <v>31</v>
      </c>
      <c r="G28" s="47" t="n">
        <f aca="false">0.3+0.3+0.3</f>
        <v>0.9</v>
      </c>
      <c r="H28" s="47"/>
      <c r="I28" s="59" t="s">
        <v>37</v>
      </c>
      <c r="J28" s="50" t="n">
        <v>1208.33</v>
      </c>
      <c r="K28" s="50" t="n">
        <f aca="false">J28*G28</f>
        <v>1087.497</v>
      </c>
      <c r="L28" s="57"/>
      <c r="M28" s="50"/>
      <c r="N28" s="50" t="n">
        <f aca="false">M28*G28</f>
        <v>0</v>
      </c>
      <c r="O28" s="57"/>
      <c r="P28" s="50"/>
      <c r="Q28" s="50" t="n">
        <f aca="false">P28*G28</f>
        <v>0</v>
      </c>
      <c r="R28" s="52" t="n">
        <f aca="false">AVERAGE(J28,M28,P28)</f>
        <v>1208.33</v>
      </c>
      <c r="S28" s="52" t="n">
        <f aca="false">R28*G28</f>
        <v>1087.497</v>
      </c>
      <c r="T28" s="58"/>
      <c r="U28" s="42" t="n">
        <f aca="false">ROUND(J28*100/R28-100,0)</f>
        <v>0</v>
      </c>
      <c r="V28" s="42" t="n">
        <f aca="false">ROUND(M28*100/R28-100,0)</f>
        <v>-100</v>
      </c>
      <c r="W28" s="42" t="n">
        <f aca="false">ROUND(P28*100/R28-100,0)</f>
        <v>-100</v>
      </c>
      <c r="X28" s="55"/>
      <c r="Y28" s="55"/>
      <c r="Z28" s="55"/>
      <c r="AA28" s="55"/>
      <c r="AB28" s="55"/>
      <c r="AC28" s="55"/>
      <c r="AD28" s="55"/>
      <c r="AE28" s="55"/>
      <c r="AM28" s="1"/>
    </row>
    <row r="29" s="43" customFormat="true" ht="44.25" hidden="true" customHeight="true" outlineLevel="0" collapsed="false">
      <c r="A29" s="45"/>
      <c r="B29" s="33" t="n">
        <f aca="false">B28+1</f>
        <v>18</v>
      </c>
      <c r="C29" s="33" t="n">
        <f aca="false">C28+1</f>
        <v>19</v>
      </c>
      <c r="D29" s="33" t="n">
        <f aca="false">D28+1</f>
        <v>18</v>
      </c>
      <c r="E29" s="46" t="s">
        <v>79</v>
      </c>
      <c r="F29" s="46" t="s">
        <v>31</v>
      </c>
      <c r="G29" s="47" t="n">
        <f aca="false">1.875+1.875+1.875+1.875+1.875+1.875</f>
        <v>11.25</v>
      </c>
      <c r="H29" s="47"/>
      <c r="I29" s="59" t="s">
        <v>37</v>
      </c>
      <c r="J29" s="50" t="n">
        <v>48750</v>
      </c>
      <c r="K29" s="50" t="n">
        <f aca="false">J29*G29</f>
        <v>548437.5</v>
      </c>
      <c r="L29" s="48" t="s">
        <v>80</v>
      </c>
      <c r="M29" s="50" t="n">
        <v>42000</v>
      </c>
      <c r="N29" s="50" t="n">
        <f aca="false">M29*G29</f>
        <v>472500</v>
      </c>
      <c r="O29" s="48" t="s">
        <v>81</v>
      </c>
      <c r="P29" s="50" t="n">
        <v>44083.33</v>
      </c>
      <c r="Q29" s="50" t="n">
        <f aca="false">P29*G29</f>
        <v>495937.4625</v>
      </c>
      <c r="R29" s="80" t="n">
        <f aca="false">AVERAGE(J29,M29,P29)</f>
        <v>44944.4433333333</v>
      </c>
      <c r="S29" s="52" t="n">
        <f aca="false">R29*G29</f>
        <v>505624.9875</v>
      </c>
      <c r="T29" s="58"/>
      <c r="U29" s="42" t="n">
        <f aca="false">ROUND(J29*100/R29-100,0)</f>
        <v>8</v>
      </c>
      <c r="V29" s="42" t="n">
        <f aca="false">ROUND(M29*100/R29-100,0)</f>
        <v>-7</v>
      </c>
      <c r="W29" s="42" t="n">
        <f aca="false">ROUND(P29*100/R29-100,0)</f>
        <v>-2</v>
      </c>
      <c r="X29" s="55"/>
      <c r="Y29" s="55"/>
      <c r="Z29" s="55"/>
      <c r="AA29" s="55"/>
      <c r="AB29" s="55"/>
      <c r="AC29" s="55"/>
      <c r="AD29" s="55"/>
      <c r="AE29" s="55"/>
      <c r="AM29" s="1"/>
    </row>
    <row r="30" s="43" customFormat="true" ht="44.25" hidden="true" customHeight="true" outlineLevel="0" collapsed="false">
      <c r="A30" s="45"/>
      <c r="B30" s="33" t="n">
        <f aca="false">B29+1</f>
        <v>19</v>
      </c>
      <c r="C30" s="33" t="n">
        <f aca="false">C29+1</f>
        <v>20</v>
      </c>
      <c r="D30" s="33" t="n">
        <f aca="false">D29+1</f>
        <v>19</v>
      </c>
      <c r="E30" s="46" t="s">
        <v>82</v>
      </c>
      <c r="F30" s="46" t="s">
        <v>31</v>
      </c>
      <c r="G30" s="47" t="n">
        <f aca="false">0.32+0.32+0.32+0.32+0.32</f>
        <v>1.6</v>
      </c>
      <c r="H30" s="47"/>
      <c r="I30" s="59" t="s">
        <v>37</v>
      </c>
      <c r="J30" s="50" t="n">
        <v>48750</v>
      </c>
      <c r="K30" s="50" t="n">
        <f aca="false">J30*G30</f>
        <v>78000</v>
      </c>
      <c r="L30" s="48" t="s">
        <v>80</v>
      </c>
      <c r="M30" s="50" t="n">
        <v>42000</v>
      </c>
      <c r="N30" s="50" t="n">
        <f aca="false">M30*G30</f>
        <v>67200</v>
      </c>
      <c r="O30" s="48" t="s">
        <v>81</v>
      </c>
      <c r="P30" s="50" t="n">
        <v>44083.33</v>
      </c>
      <c r="Q30" s="50" t="n">
        <f aca="false">P30*G30</f>
        <v>70533.328</v>
      </c>
      <c r="R30" s="80" t="n">
        <f aca="false">AVERAGE(J30,M30,P30)</f>
        <v>44944.4433333333</v>
      </c>
      <c r="S30" s="52" t="n">
        <f aca="false">R30*G30</f>
        <v>71911.1093333333</v>
      </c>
      <c r="T30" s="58"/>
      <c r="U30" s="42" t="n">
        <f aca="false">ROUND(J30*100/R30-100,0)</f>
        <v>8</v>
      </c>
      <c r="V30" s="42" t="n">
        <f aca="false">ROUND(M30*100/R30-100,0)</f>
        <v>-7</v>
      </c>
      <c r="W30" s="42" t="n">
        <f aca="false">ROUND(P30*100/R30-100,0)</f>
        <v>-2</v>
      </c>
      <c r="X30" s="55"/>
      <c r="Y30" s="55"/>
      <c r="Z30" s="55"/>
      <c r="AA30" s="55"/>
      <c r="AB30" s="55"/>
      <c r="AC30" s="55"/>
      <c r="AD30" s="55"/>
      <c r="AE30" s="55"/>
      <c r="AM30" s="1"/>
    </row>
    <row r="31" s="43" customFormat="true" ht="44.25" hidden="true" customHeight="true" outlineLevel="0" collapsed="false">
      <c r="A31" s="45" t="n">
        <v>88</v>
      </c>
      <c r="B31" s="33" t="n">
        <f aca="false">B30+1</f>
        <v>20</v>
      </c>
      <c r="C31" s="33" t="n">
        <f aca="false">C30+1</f>
        <v>21</v>
      </c>
      <c r="D31" s="33" t="n">
        <f aca="false">D30+1</f>
        <v>20</v>
      </c>
      <c r="E31" s="46" t="s">
        <v>83</v>
      </c>
      <c r="F31" s="46" t="s">
        <v>56</v>
      </c>
      <c r="G31" s="47" t="n">
        <v>1</v>
      </c>
      <c r="H31" s="47"/>
      <c r="I31" s="57" t="s">
        <v>84</v>
      </c>
      <c r="J31" s="50" t="n">
        <v>39751.075</v>
      </c>
      <c r="K31" s="50" t="n">
        <f aca="false">J31*G31</f>
        <v>39751.075</v>
      </c>
      <c r="L31" s="57" t="s">
        <v>85</v>
      </c>
      <c r="M31" s="50" t="n">
        <v>43250</v>
      </c>
      <c r="N31" s="50" t="n">
        <f aca="false">M31*G31</f>
        <v>43250</v>
      </c>
      <c r="O31" s="57" t="s">
        <v>86</v>
      </c>
      <c r="P31" s="50" t="n">
        <v>42350</v>
      </c>
      <c r="Q31" s="50" t="n">
        <f aca="false">P31*G31</f>
        <v>42350</v>
      </c>
      <c r="R31" s="52" t="n">
        <f aca="false">AVERAGE(J31,M31,P31)</f>
        <v>41783.6916666667</v>
      </c>
      <c r="S31" s="52" t="n">
        <f aca="false">R31*G31</f>
        <v>41783.6916666667</v>
      </c>
      <c r="T31" s="58"/>
      <c r="U31" s="42" t="n">
        <f aca="false">ROUND(J31*100/R31-100,0)</f>
        <v>-5</v>
      </c>
      <c r="V31" s="42" t="n">
        <f aca="false">ROUND(M31*100/R31-100,0)</f>
        <v>4</v>
      </c>
      <c r="W31" s="42" t="n">
        <f aca="false">ROUND(P31*100/R31-100,0)</f>
        <v>1</v>
      </c>
      <c r="X31" s="55"/>
      <c r="Y31" s="55"/>
      <c r="Z31" s="55"/>
      <c r="AA31" s="55"/>
      <c r="AB31" s="55"/>
      <c r="AC31" s="55"/>
      <c r="AD31" s="55"/>
      <c r="AE31" s="55"/>
      <c r="AM31" s="1"/>
    </row>
    <row r="32" s="43" customFormat="true" ht="44.25" hidden="true" customHeight="true" outlineLevel="0" collapsed="false">
      <c r="A32" s="45" t="n">
        <v>89</v>
      </c>
      <c r="B32" s="33" t="n">
        <f aca="false">B31+1</f>
        <v>21</v>
      </c>
      <c r="C32" s="33" t="n">
        <f aca="false">C31+1</f>
        <v>22</v>
      </c>
      <c r="D32" s="33" t="n">
        <f aca="false">D31+1</f>
        <v>21</v>
      </c>
      <c r="E32" s="46" t="s">
        <v>87</v>
      </c>
      <c r="F32" s="46" t="s">
        <v>44</v>
      </c>
      <c r="G32" s="47" t="n">
        <v>2</v>
      </c>
      <c r="H32" s="47"/>
      <c r="I32" s="57" t="s">
        <v>84</v>
      </c>
      <c r="J32" s="50" t="n">
        <v>32321.68</v>
      </c>
      <c r="K32" s="50" t="n">
        <f aca="false">J32*G32</f>
        <v>64643.36</v>
      </c>
      <c r="L32" s="57" t="s">
        <v>88</v>
      </c>
      <c r="M32" s="50" t="n">
        <v>43700.83</v>
      </c>
      <c r="N32" s="50" t="n">
        <f aca="false">M32*G32</f>
        <v>87401.66</v>
      </c>
      <c r="O32" s="57" t="s">
        <v>89</v>
      </c>
      <c r="P32" s="50" t="n">
        <v>35166.67</v>
      </c>
      <c r="Q32" s="50" t="n">
        <f aca="false">P32*G32</f>
        <v>70333.34</v>
      </c>
      <c r="R32" s="52" t="n">
        <f aca="false">AVERAGE(J32,M32,P32)</f>
        <v>37063.06</v>
      </c>
      <c r="S32" s="52" t="n">
        <f aca="false">R32*G32</f>
        <v>74126.12</v>
      </c>
      <c r="T32" s="58"/>
      <c r="U32" s="42" t="n">
        <f aca="false">ROUND(J32*100/R32-100,0)</f>
        <v>-13</v>
      </c>
      <c r="V32" s="42" t="n">
        <f aca="false">ROUND(M32*100/R32-100,0)</f>
        <v>18</v>
      </c>
      <c r="W32" s="42" t="n">
        <f aca="false">ROUND(P32*100/R32-100,0)</f>
        <v>-5</v>
      </c>
      <c r="X32" s="55"/>
      <c r="Y32" s="55"/>
      <c r="Z32" s="55"/>
      <c r="AA32" s="55"/>
      <c r="AB32" s="55"/>
      <c r="AC32" s="55"/>
      <c r="AD32" s="55"/>
      <c r="AE32" s="55"/>
      <c r="AM32" s="1"/>
    </row>
    <row r="33" s="43" customFormat="true" ht="64.5" hidden="true" customHeight="true" outlineLevel="0" collapsed="false">
      <c r="A33" s="45" t="n">
        <v>90</v>
      </c>
      <c r="B33" s="33" t="n">
        <f aca="false">B32+1</f>
        <v>22</v>
      </c>
      <c r="C33" s="33" t="n">
        <f aca="false">C32+1</f>
        <v>23</v>
      </c>
      <c r="D33" s="33" t="n">
        <f aca="false">D32+1</f>
        <v>22</v>
      </c>
      <c r="E33" s="46" t="s">
        <v>90</v>
      </c>
      <c r="F33" s="46" t="s">
        <v>56</v>
      </c>
      <c r="G33" s="47" t="n">
        <v>1</v>
      </c>
      <c r="H33" s="47"/>
      <c r="I33" s="57" t="s">
        <v>91</v>
      </c>
      <c r="J33" s="50" t="n">
        <v>2719.17</v>
      </c>
      <c r="K33" s="50" t="n">
        <f aca="false">J33*G33</f>
        <v>2719.17</v>
      </c>
      <c r="L33" s="57" t="s">
        <v>92</v>
      </c>
      <c r="M33" s="50" t="n">
        <v>2719.17</v>
      </c>
      <c r="N33" s="50" t="n">
        <f aca="false">M33*G33</f>
        <v>2719.17</v>
      </c>
      <c r="O33" s="57" t="s">
        <v>93</v>
      </c>
      <c r="P33" s="50" t="n">
        <v>3083.33</v>
      </c>
      <c r="Q33" s="50" t="n">
        <f aca="false">P33*G33</f>
        <v>3083.33</v>
      </c>
      <c r="R33" s="52" t="n">
        <f aca="false">AVERAGE(J33,M33,P33)</f>
        <v>2840.55666666667</v>
      </c>
      <c r="S33" s="52" t="n">
        <f aca="false">R33*G33</f>
        <v>2840.55666666667</v>
      </c>
      <c r="T33" s="58"/>
      <c r="U33" s="42" t="n">
        <f aca="false">ROUND(J33*100/R33-100,0)</f>
        <v>-4</v>
      </c>
      <c r="V33" s="42" t="n">
        <f aca="false">ROUND(M33*100/R33-100,0)</f>
        <v>-4</v>
      </c>
      <c r="W33" s="42" t="n">
        <f aca="false">ROUND(P33*100/R33-100,0)</f>
        <v>9</v>
      </c>
      <c r="X33" s="57" t="s">
        <v>94</v>
      </c>
      <c r="Y33" s="78" t="n">
        <f aca="false">45600/1.2*0.4</f>
        <v>15200</v>
      </c>
      <c r="Z33" s="55"/>
      <c r="AA33" s="55"/>
      <c r="AB33" s="55"/>
      <c r="AC33" s="55"/>
      <c r="AD33" s="55"/>
      <c r="AE33" s="55"/>
      <c r="AM33" s="1"/>
    </row>
    <row r="34" s="43" customFormat="true" ht="44.25" hidden="true" customHeight="true" outlineLevel="0" collapsed="false">
      <c r="A34" s="45" t="n">
        <v>91</v>
      </c>
      <c r="B34" s="33" t="n">
        <f aca="false">B33+1</f>
        <v>23</v>
      </c>
      <c r="C34" s="33" t="n">
        <f aca="false">C33+1</f>
        <v>24</v>
      </c>
      <c r="D34" s="33" t="n">
        <f aca="false">D33+1</f>
        <v>23</v>
      </c>
      <c r="E34" s="46" t="s">
        <v>95</v>
      </c>
      <c r="F34" s="46" t="s">
        <v>31</v>
      </c>
      <c r="G34" s="47" t="n">
        <f aca="false">4+4</f>
        <v>8</v>
      </c>
      <c r="H34" s="47"/>
      <c r="I34" s="59" t="s">
        <v>59</v>
      </c>
      <c r="J34" s="50" t="n">
        <v>12371.65</v>
      </c>
      <c r="K34" s="50" t="n">
        <f aca="false">J34*G34</f>
        <v>98973.2</v>
      </c>
      <c r="L34" s="59" t="s">
        <v>61</v>
      </c>
      <c r="M34" s="50" t="n">
        <v>15600</v>
      </c>
      <c r="N34" s="50" t="n">
        <f aca="false">M34*G34</f>
        <v>124800</v>
      </c>
      <c r="O34" s="56"/>
      <c r="P34" s="50"/>
      <c r="Q34" s="50" t="n">
        <f aca="false">P34*G34</f>
        <v>0</v>
      </c>
      <c r="R34" s="52" t="n">
        <f aca="false">AVERAGE(J34,M34,P34)</f>
        <v>13985.825</v>
      </c>
      <c r="S34" s="52" t="n">
        <f aca="false">R34*G34</f>
        <v>111886.6</v>
      </c>
      <c r="T34" s="58"/>
      <c r="U34" s="42" t="n">
        <f aca="false">ROUND(J34*100/R34-100,0)</f>
        <v>-12</v>
      </c>
      <c r="V34" s="42" t="n">
        <f aca="false">ROUND(M34*100/R34-100,0)</f>
        <v>12</v>
      </c>
      <c r="W34" s="42" t="n">
        <f aca="false">ROUND(P34*100/R34-100,0)</f>
        <v>-100</v>
      </c>
      <c r="X34" s="55"/>
      <c r="Y34" s="55"/>
      <c r="Z34" s="55"/>
      <c r="AA34" s="55"/>
      <c r="AB34" s="55"/>
      <c r="AC34" s="55"/>
      <c r="AD34" s="55"/>
      <c r="AE34" s="55"/>
      <c r="AM34" s="1"/>
    </row>
    <row r="35" s="43" customFormat="true" ht="44.25" hidden="true" customHeight="true" outlineLevel="0" collapsed="false">
      <c r="A35" s="45"/>
      <c r="B35" s="33" t="n">
        <f aca="false">B34+1</f>
        <v>24</v>
      </c>
      <c r="C35" s="33" t="n">
        <f aca="false">C34+1</f>
        <v>25</v>
      </c>
      <c r="D35" s="33" t="n">
        <f aca="false">D34+1</f>
        <v>24</v>
      </c>
      <c r="E35" s="46" t="s">
        <v>96</v>
      </c>
      <c r="F35" s="46" t="s">
        <v>31</v>
      </c>
      <c r="G35" s="47" t="n">
        <f aca="false">0.4+0.5+0.5+0.5+0.5+0.5+2</f>
        <v>4.9</v>
      </c>
      <c r="H35" s="47"/>
      <c r="I35" s="59" t="s">
        <v>37</v>
      </c>
      <c r="J35" s="50" t="n">
        <v>1800</v>
      </c>
      <c r="K35" s="50" t="n">
        <f aca="false">J35*G35</f>
        <v>8820</v>
      </c>
      <c r="L35" s="56" t="s">
        <v>97</v>
      </c>
      <c r="M35" s="50" t="n">
        <v>1885.83</v>
      </c>
      <c r="N35" s="50" t="n">
        <f aca="false">M35*G35</f>
        <v>9240.567</v>
      </c>
      <c r="O35" s="56" t="s">
        <v>98</v>
      </c>
      <c r="P35" s="50" t="n">
        <f aca="false">44800/1.2/18</f>
        <v>2074.07407407407</v>
      </c>
      <c r="Q35" s="50" t="n">
        <f aca="false">P35*G35</f>
        <v>10162.962962963</v>
      </c>
      <c r="R35" s="81" t="n">
        <f aca="false">AVERAGE(J35,M35,P35)</f>
        <v>1919.96802469136</v>
      </c>
      <c r="S35" s="52" t="n">
        <f aca="false">R35*G35</f>
        <v>9407.84332098766</v>
      </c>
      <c r="T35" s="58"/>
      <c r="U35" s="42" t="n">
        <f aca="false">ROUND(J35*100/R35-100,0)</f>
        <v>-6</v>
      </c>
      <c r="V35" s="42" t="n">
        <f aca="false">ROUND(M35*100/R35-100,0)</f>
        <v>-2</v>
      </c>
      <c r="W35" s="42" t="n">
        <f aca="false">ROUND(P35*100/R35-100,0)</f>
        <v>8</v>
      </c>
      <c r="X35" s="55"/>
      <c r="Y35" s="55"/>
      <c r="Z35" s="55"/>
      <c r="AA35" s="55"/>
      <c r="AB35" s="55"/>
      <c r="AC35" s="55"/>
      <c r="AD35" s="55"/>
      <c r="AE35" s="55"/>
      <c r="AM35" s="1"/>
    </row>
    <row r="36" s="43" customFormat="true" ht="44.25" hidden="true" customHeight="true" outlineLevel="0" collapsed="false">
      <c r="A36" s="45" t="n">
        <v>92</v>
      </c>
      <c r="B36" s="33" t="n">
        <f aca="false">B35+1</f>
        <v>25</v>
      </c>
      <c r="C36" s="33" t="n">
        <f aca="false">C35+1</f>
        <v>26</v>
      </c>
      <c r="D36" s="33" t="n">
        <f aca="false">D35+1</f>
        <v>25</v>
      </c>
      <c r="E36" s="46" t="s">
        <v>99</v>
      </c>
      <c r="F36" s="46" t="s">
        <v>31</v>
      </c>
      <c r="G36" s="47" t="n">
        <f aca="false">0.01+0.01+0.01+0.01+0.01+0.01+0.01+0.01+0.01+0.01+0.01+0.01+0.01+0.01+0.01+0.01+0.01+0.01+0.01+0.01+0.01+0.01+0.01+0.01+0.01+0.01+0.01+0.01+0.01+0.01+0.01+0.01+0.01+0.01</f>
        <v>0.34</v>
      </c>
      <c r="H36" s="47"/>
      <c r="I36" s="57" t="s">
        <v>100</v>
      </c>
      <c r="J36" s="50" t="n">
        <v>122916.67</v>
      </c>
      <c r="K36" s="50" t="n">
        <f aca="false">J36*G36</f>
        <v>41791.6678</v>
      </c>
      <c r="L36" s="57" t="s">
        <v>101</v>
      </c>
      <c r="M36" s="50" t="n">
        <v>94666.67</v>
      </c>
      <c r="N36" s="50" t="n">
        <f aca="false">M36*G36</f>
        <v>32186.6678</v>
      </c>
      <c r="O36" s="57" t="s">
        <v>102</v>
      </c>
      <c r="P36" s="50" t="n">
        <f aca="false">2375/0.02</f>
        <v>118750</v>
      </c>
      <c r="Q36" s="50" t="n">
        <f aca="false">P36*G36</f>
        <v>40375</v>
      </c>
      <c r="R36" s="81" t="n">
        <f aca="false">AVERAGE(J36,M36,P36)</f>
        <v>112111.113333333</v>
      </c>
      <c r="S36" s="52" t="n">
        <f aca="false">R36*G36</f>
        <v>38117.7785333333</v>
      </c>
      <c r="T36" s="58"/>
      <c r="U36" s="42" t="n">
        <f aca="false">ROUND(J36*100/R36-100,0)</f>
        <v>10</v>
      </c>
      <c r="V36" s="42" t="n">
        <f aca="false">ROUND(M36*100/R36-100,0)</f>
        <v>-16</v>
      </c>
      <c r="W36" s="42" t="n">
        <f aca="false">ROUND(P36*100/R36-100,0)</f>
        <v>6</v>
      </c>
      <c r="X36" s="55"/>
      <c r="Y36" s="55"/>
      <c r="Z36" s="55"/>
      <c r="AA36" s="55"/>
      <c r="AB36" s="55"/>
      <c r="AC36" s="55"/>
      <c r="AD36" s="55"/>
      <c r="AE36" s="55"/>
      <c r="AM36" s="1"/>
    </row>
    <row r="37" s="43" customFormat="true" ht="44.25" hidden="true" customHeight="true" outlineLevel="0" collapsed="false">
      <c r="A37" s="45" t="n">
        <v>93</v>
      </c>
      <c r="B37" s="33" t="n">
        <f aca="false">B36+1</f>
        <v>26</v>
      </c>
      <c r="C37" s="33" t="n">
        <f aca="false">C36+1</f>
        <v>27</v>
      </c>
      <c r="D37" s="33" t="n">
        <f aca="false">D36+1</f>
        <v>26</v>
      </c>
      <c r="E37" s="46" t="s">
        <v>103</v>
      </c>
      <c r="F37" s="46" t="s">
        <v>104</v>
      </c>
      <c r="G37" s="47" t="n">
        <f aca="false">6+6</f>
        <v>12</v>
      </c>
      <c r="H37" s="47"/>
      <c r="I37" s="82" t="s">
        <v>105</v>
      </c>
      <c r="J37" s="50" t="n">
        <v>1258.33</v>
      </c>
      <c r="K37" s="50" t="n">
        <f aca="false">J37*G37</f>
        <v>15099.96</v>
      </c>
      <c r="L37" s="56" t="s">
        <v>106</v>
      </c>
      <c r="M37" s="50" t="n">
        <v>1250</v>
      </c>
      <c r="N37" s="50" t="n">
        <f aca="false">M37*G37</f>
        <v>15000</v>
      </c>
      <c r="O37" s="56"/>
      <c r="P37" s="50"/>
      <c r="Q37" s="50" t="n">
        <f aca="false">P37*G37</f>
        <v>0</v>
      </c>
      <c r="R37" s="81" t="n">
        <f aca="false">AVERAGE(J37,M37,P37)</f>
        <v>1254.165</v>
      </c>
      <c r="S37" s="52" t="n">
        <f aca="false">R37*G37</f>
        <v>15049.98</v>
      </c>
      <c r="T37" s="58"/>
      <c r="U37" s="42" t="n">
        <f aca="false">ROUND(J37*100/R37-100,0)</f>
        <v>0</v>
      </c>
      <c r="V37" s="42" t="n">
        <f aca="false">ROUND(M37*100/R37-100,0)</f>
        <v>-0</v>
      </c>
      <c r="W37" s="42" t="n">
        <f aca="false">ROUND(P37*100/R37-100,0)</f>
        <v>-100</v>
      </c>
      <c r="X37" s="55"/>
      <c r="Y37" s="55"/>
      <c r="Z37" s="55"/>
      <c r="AA37" s="55"/>
      <c r="AB37" s="55"/>
      <c r="AC37" s="55"/>
      <c r="AD37" s="55"/>
      <c r="AE37" s="55"/>
      <c r="AM37" s="1"/>
    </row>
    <row r="38" s="43" customFormat="true" ht="44.25" hidden="true" customHeight="true" outlineLevel="0" collapsed="false">
      <c r="A38" s="45" t="n">
        <v>94</v>
      </c>
      <c r="B38" s="33" t="n">
        <f aca="false">B37+1</f>
        <v>27</v>
      </c>
      <c r="C38" s="33" t="n">
        <f aca="false">C37+1</f>
        <v>28</v>
      </c>
      <c r="D38" s="33" t="n">
        <f aca="false">D37+1</f>
        <v>27</v>
      </c>
      <c r="E38" s="46" t="s">
        <v>107</v>
      </c>
      <c r="F38" s="46" t="s">
        <v>104</v>
      </c>
      <c r="G38" s="47" t="n">
        <f aca="false">10+10</f>
        <v>20</v>
      </c>
      <c r="H38" s="47"/>
      <c r="I38" s="82" t="s">
        <v>105</v>
      </c>
      <c r="J38" s="50" t="n">
        <v>1283.33</v>
      </c>
      <c r="K38" s="50" t="n">
        <f aca="false">J38*G38</f>
        <v>25666.6</v>
      </c>
      <c r="L38" s="59" t="s">
        <v>108</v>
      </c>
      <c r="M38" s="49" t="n">
        <v>1225</v>
      </c>
      <c r="N38" s="50" t="n">
        <f aca="false">M38*G38</f>
        <v>24500</v>
      </c>
      <c r="O38" s="56" t="s">
        <v>109</v>
      </c>
      <c r="P38" s="50" t="n">
        <f aca="false">1640/1.2</f>
        <v>1366.66666666667</v>
      </c>
      <c r="Q38" s="50" t="n">
        <f aca="false">P38*G38</f>
        <v>27333.3333333333</v>
      </c>
      <c r="R38" s="83" t="n">
        <f aca="false">AVERAGE(J38,M38,P38)</f>
        <v>1291.66555555556</v>
      </c>
      <c r="S38" s="52" t="n">
        <f aca="false">R38*G38</f>
        <v>25833.3111111111</v>
      </c>
      <c r="T38" s="58"/>
      <c r="U38" s="42" t="n">
        <f aca="false">ROUND(J38*100/R38-100,0)</f>
        <v>-1</v>
      </c>
      <c r="V38" s="42" t="n">
        <f aca="false">ROUND(M38*100/R38-100,0)</f>
        <v>-5</v>
      </c>
      <c r="W38" s="42" t="n">
        <f aca="false">ROUND(P38*100/R38-100,0)</f>
        <v>6</v>
      </c>
      <c r="X38" s="55"/>
      <c r="Y38" s="55"/>
      <c r="Z38" s="55"/>
      <c r="AA38" s="55"/>
      <c r="AB38" s="55"/>
      <c r="AC38" s="55"/>
      <c r="AD38" s="55"/>
      <c r="AE38" s="55"/>
      <c r="AM38" s="1"/>
    </row>
    <row r="39" s="43" customFormat="true" ht="44.25" hidden="true" customHeight="true" outlineLevel="0" collapsed="false">
      <c r="A39" s="45" t="n">
        <v>95</v>
      </c>
      <c r="B39" s="33" t="n">
        <f aca="false">B38+1</f>
        <v>28</v>
      </c>
      <c r="C39" s="33" t="n">
        <f aca="false">C38+1</f>
        <v>29</v>
      </c>
      <c r="D39" s="33" t="n">
        <f aca="false">D38+1</f>
        <v>28</v>
      </c>
      <c r="E39" s="46" t="s">
        <v>110</v>
      </c>
      <c r="F39" s="46" t="s">
        <v>104</v>
      </c>
      <c r="G39" s="47" t="n">
        <f aca="false">16+16</f>
        <v>32</v>
      </c>
      <c r="H39" s="47"/>
      <c r="I39" s="82" t="s">
        <v>105</v>
      </c>
      <c r="J39" s="50" t="n">
        <v>1279.17</v>
      </c>
      <c r="K39" s="50" t="n">
        <f aca="false">J39*G39</f>
        <v>40933.44</v>
      </c>
      <c r="L39" s="57" t="s">
        <v>111</v>
      </c>
      <c r="M39" s="50" t="n">
        <v>1216.67</v>
      </c>
      <c r="N39" s="50" t="n">
        <f aca="false">M39*G39</f>
        <v>38933.44</v>
      </c>
      <c r="O39" s="57" t="s">
        <v>112</v>
      </c>
      <c r="P39" s="50" t="n">
        <f aca="false">1358.34</f>
        <v>1358.34</v>
      </c>
      <c r="Q39" s="50" t="n">
        <f aca="false">P39*G39</f>
        <v>43466.88</v>
      </c>
      <c r="R39" s="81" t="n">
        <f aca="false">AVERAGE(J39,M39,P39)</f>
        <v>1284.72666666667</v>
      </c>
      <c r="S39" s="52" t="n">
        <f aca="false">R39*G39</f>
        <v>41111.2533333333</v>
      </c>
      <c r="T39" s="58"/>
      <c r="U39" s="42" t="n">
        <f aca="false">ROUND(J39*100/R39-100,0)</f>
        <v>-0</v>
      </c>
      <c r="V39" s="42" t="n">
        <f aca="false">ROUND(M39*100/R39-100,0)</f>
        <v>-5</v>
      </c>
      <c r="W39" s="42" t="n">
        <f aca="false">ROUND(P39*100/R39-100,0)</f>
        <v>6</v>
      </c>
      <c r="X39" s="55"/>
      <c r="Y39" s="55"/>
      <c r="Z39" s="55"/>
      <c r="AA39" s="55"/>
      <c r="AB39" s="55"/>
      <c r="AC39" s="55"/>
      <c r="AD39" s="55"/>
      <c r="AE39" s="55"/>
      <c r="AM39" s="1"/>
    </row>
    <row r="40" s="43" customFormat="true" ht="44.25" hidden="true" customHeight="true" outlineLevel="0" collapsed="false">
      <c r="A40" s="45" t="n">
        <v>96</v>
      </c>
      <c r="B40" s="33" t="n">
        <f aca="false">B39+1</f>
        <v>29</v>
      </c>
      <c r="C40" s="33" t="n">
        <f aca="false">C39+1</f>
        <v>30</v>
      </c>
      <c r="D40" s="33" t="n">
        <f aca="false">D39+1</f>
        <v>29</v>
      </c>
      <c r="E40" s="46" t="s">
        <v>113</v>
      </c>
      <c r="F40" s="46" t="s">
        <v>44</v>
      </c>
      <c r="G40" s="47" t="n">
        <f aca="false">8</f>
        <v>8</v>
      </c>
      <c r="H40" s="47"/>
      <c r="I40" s="57" t="s">
        <v>114</v>
      </c>
      <c r="J40" s="50" t="n">
        <v>91.67</v>
      </c>
      <c r="K40" s="50" t="n">
        <f aca="false">J40*G40</f>
        <v>733.36</v>
      </c>
      <c r="L40" s="84" t="s">
        <v>115</v>
      </c>
      <c r="M40" s="50" t="n">
        <v>100</v>
      </c>
      <c r="N40" s="50" t="n">
        <f aca="false">M40*G40</f>
        <v>800</v>
      </c>
      <c r="O40" s="84" t="s">
        <v>116</v>
      </c>
      <c r="P40" s="50" t="n">
        <v>111.67</v>
      </c>
      <c r="Q40" s="50" t="n">
        <f aca="false">P40*G40</f>
        <v>893.36</v>
      </c>
      <c r="R40" s="52" t="n">
        <f aca="false">AVERAGE(J40,M40,P40)</f>
        <v>101.113333333333</v>
      </c>
      <c r="S40" s="52" t="n">
        <f aca="false">R40*G40</f>
        <v>808.906666666667</v>
      </c>
      <c r="T40" s="58"/>
      <c r="U40" s="42" t="n">
        <f aca="false">ROUND(J40*100/R40-100,0)</f>
        <v>-9</v>
      </c>
      <c r="V40" s="42" t="n">
        <f aca="false">ROUND(M40*100/R40-100,0)</f>
        <v>-1</v>
      </c>
      <c r="W40" s="42" t="n">
        <f aca="false">ROUND(P40*100/R40-100,0)</f>
        <v>10</v>
      </c>
      <c r="X40" s="54" t="s">
        <v>117</v>
      </c>
      <c r="Y40" s="55" t="n">
        <f aca="false">6000/1.2</f>
        <v>5000</v>
      </c>
      <c r="Z40" s="54" t="s">
        <v>118</v>
      </c>
      <c r="AA40" s="55" t="n">
        <f aca="false">5960/1.2</f>
        <v>4966.66666666667</v>
      </c>
      <c r="AB40" s="54" t="s">
        <v>119</v>
      </c>
      <c r="AC40" s="55" t="n">
        <f aca="false">7523/1.2</f>
        <v>6269.16666666667</v>
      </c>
      <c r="AD40" s="55"/>
      <c r="AE40" s="55"/>
      <c r="AM40" s="1"/>
    </row>
    <row r="41" s="43" customFormat="true" ht="44.25" hidden="true" customHeight="true" outlineLevel="0" collapsed="false">
      <c r="A41" s="45" t="n">
        <v>97</v>
      </c>
      <c r="B41" s="33" t="n">
        <f aca="false">B40+1</f>
        <v>30</v>
      </c>
      <c r="C41" s="33" t="n">
        <f aca="false">C40+1</f>
        <v>31</v>
      </c>
      <c r="D41" s="33" t="n">
        <f aca="false">D40+1</f>
        <v>30</v>
      </c>
      <c r="E41" s="46" t="s">
        <v>120</v>
      </c>
      <c r="F41" s="46" t="s">
        <v>44</v>
      </c>
      <c r="G41" s="47" t="n">
        <f aca="false">40</f>
        <v>40</v>
      </c>
      <c r="H41" s="47"/>
      <c r="I41" s="85" t="s">
        <v>121</v>
      </c>
      <c r="J41" s="50" t="n">
        <v>4900</v>
      </c>
      <c r="K41" s="50" t="n">
        <f aca="false">J41*G41</f>
        <v>196000</v>
      </c>
      <c r="L41" s="57"/>
      <c r="M41" s="50"/>
      <c r="N41" s="50" t="n">
        <f aca="false">M41*G41</f>
        <v>0</v>
      </c>
      <c r="O41" s="57"/>
      <c r="P41" s="50"/>
      <c r="Q41" s="50" t="n">
        <f aca="false">P41*G41</f>
        <v>0</v>
      </c>
      <c r="R41" s="52" t="n">
        <f aca="false">AVERAGE(J41,M41,P41)</f>
        <v>4900</v>
      </c>
      <c r="S41" s="52" t="n">
        <f aca="false">R41*G41</f>
        <v>196000</v>
      </c>
      <c r="T41" s="58" t="s">
        <v>122</v>
      </c>
      <c r="U41" s="42" t="n">
        <f aca="false">ROUND(J41*100/R41-100,0)</f>
        <v>0</v>
      </c>
      <c r="V41" s="42" t="n">
        <f aca="false">ROUND(M41*100/R41-100,0)</f>
        <v>-100</v>
      </c>
      <c r="W41" s="42" t="n">
        <f aca="false">ROUND(P41*100/R41-100,0)</f>
        <v>-100</v>
      </c>
      <c r="X41" s="55"/>
      <c r="Y41" s="55"/>
      <c r="Z41" s="55"/>
      <c r="AA41" s="55"/>
      <c r="AB41" s="55"/>
      <c r="AC41" s="55"/>
      <c r="AD41" s="55"/>
      <c r="AE41" s="55"/>
      <c r="AM41" s="1"/>
    </row>
    <row r="42" s="43" customFormat="true" ht="44.25" hidden="true" customHeight="true" outlineLevel="0" collapsed="false">
      <c r="A42" s="45" t="n">
        <v>98</v>
      </c>
      <c r="B42" s="33" t="n">
        <f aca="false">B41+1</f>
        <v>31</v>
      </c>
      <c r="C42" s="33" t="n">
        <f aca="false">C41+1</f>
        <v>32</v>
      </c>
      <c r="D42" s="33" t="n">
        <f aca="false">D41+1</f>
        <v>31</v>
      </c>
      <c r="E42" s="46" t="s">
        <v>123</v>
      </c>
      <c r="F42" s="46" t="s">
        <v>44</v>
      </c>
      <c r="G42" s="47" t="n">
        <f aca="false">40</f>
        <v>40</v>
      </c>
      <c r="H42" s="47"/>
      <c r="I42" s="85" t="s">
        <v>121</v>
      </c>
      <c r="J42" s="50" t="n">
        <v>18600</v>
      </c>
      <c r="K42" s="50" t="n">
        <f aca="false">J42*G42</f>
        <v>744000</v>
      </c>
      <c r="L42" s="57"/>
      <c r="M42" s="50"/>
      <c r="N42" s="50" t="n">
        <f aca="false">M42*G42</f>
        <v>0</v>
      </c>
      <c r="O42" s="57"/>
      <c r="P42" s="50"/>
      <c r="Q42" s="50" t="n">
        <f aca="false">P42*G42</f>
        <v>0</v>
      </c>
      <c r="R42" s="52" t="n">
        <f aca="false">AVERAGE(J42,M42,P42)</f>
        <v>18600</v>
      </c>
      <c r="S42" s="52" t="n">
        <f aca="false">R42*G42</f>
        <v>744000</v>
      </c>
      <c r="T42" s="58" t="s">
        <v>122</v>
      </c>
      <c r="U42" s="42" t="n">
        <f aca="false">ROUND(J42*100/R42-100,0)</f>
        <v>0</v>
      </c>
      <c r="V42" s="42" t="n">
        <f aca="false">ROUND(M42*100/R42-100,0)</f>
        <v>-100</v>
      </c>
      <c r="W42" s="42" t="n">
        <f aca="false">ROUND(P42*100/R42-100,0)</f>
        <v>-100</v>
      </c>
      <c r="X42" s="55" t="n">
        <v>56.86</v>
      </c>
      <c r="Y42" s="55"/>
      <c r="Z42" s="55"/>
      <c r="AA42" s="55"/>
      <c r="AB42" s="55"/>
      <c r="AC42" s="55"/>
      <c r="AD42" s="55"/>
      <c r="AE42" s="55"/>
      <c r="AM42" s="1"/>
    </row>
    <row r="43" s="43" customFormat="true" ht="71.25" hidden="true" customHeight="true" outlineLevel="0" collapsed="false">
      <c r="A43" s="45" t="n">
        <v>100</v>
      </c>
      <c r="B43" s="33" t="n">
        <f aca="false">B42+1</f>
        <v>32</v>
      </c>
      <c r="C43" s="33" t="n">
        <f aca="false">C42+1</f>
        <v>33</v>
      </c>
      <c r="D43" s="33" t="n">
        <f aca="false">D42+1</f>
        <v>32</v>
      </c>
      <c r="E43" s="46" t="s">
        <v>124</v>
      </c>
      <c r="F43" s="46" t="s">
        <v>56</v>
      </c>
      <c r="G43" s="47" t="n">
        <f aca="false">4+4</f>
        <v>8</v>
      </c>
      <c r="H43" s="47"/>
      <c r="I43" s="48" t="s">
        <v>125</v>
      </c>
      <c r="J43" s="86" t="n">
        <v>35580</v>
      </c>
      <c r="K43" s="50" t="n">
        <f aca="false">G43*J43</f>
        <v>284640</v>
      </c>
      <c r="L43" s="59" t="s">
        <v>37</v>
      </c>
      <c r="M43" s="50" t="n">
        <v>36100</v>
      </c>
      <c r="N43" s="50" t="n">
        <f aca="false">M43*G43</f>
        <v>288800</v>
      </c>
      <c r="O43" s="48"/>
      <c r="P43" s="50"/>
      <c r="Q43" s="50" t="n">
        <f aca="false">P43*G43</f>
        <v>0</v>
      </c>
      <c r="R43" s="52" t="n">
        <f aca="false">AVERAGE(J43,M43,P43)</f>
        <v>35840</v>
      </c>
      <c r="S43" s="52" t="n">
        <f aca="false">R43*G43</f>
        <v>286720</v>
      </c>
      <c r="T43" s="58"/>
      <c r="U43" s="42" t="n">
        <f aca="false">ROUND(J43*100/R43-100,0)</f>
        <v>-1</v>
      </c>
      <c r="V43" s="42" t="n">
        <f aca="false">ROUND(M43*100/R43-100,0)</f>
        <v>1</v>
      </c>
      <c r="W43" s="42" t="n">
        <f aca="false">ROUND(P43*100/R43-100,0)</f>
        <v>-100</v>
      </c>
      <c r="X43" s="55"/>
      <c r="Y43" s="55"/>
      <c r="Z43" s="55"/>
      <c r="AA43" s="55"/>
      <c r="AB43" s="55"/>
      <c r="AC43" s="55"/>
      <c r="AD43" s="55"/>
      <c r="AE43" s="55"/>
      <c r="AM43" s="1"/>
    </row>
    <row r="44" s="43" customFormat="true" ht="71.25" hidden="true" customHeight="true" outlineLevel="0" collapsed="false">
      <c r="A44" s="45"/>
      <c r="B44" s="33" t="n">
        <f aca="false">B43+1</f>
        <v>33</v>
      </c>
      <c r="C44" s="33" t="n">
        <f aca="false">C43+1</f>
        <v>34</v>
      </c>
      <c r="D44" s="33" t="n">
        <f aca="false">D43+1</f>
        <v>33</v>
      </c>
      <c r="E44" s="46" t="s">
        <v>126</v>
      </c>
      <c r="F44" s="46" t="s">
        <v>56</v>
      </c>
      <c r="G44" s="47" t="n">
        <f aca="false">2+2</f>
        <v>4</v>
      </c>
      <c r="H44" s="47"/>
      <c r="I44" s="48" t="s">
        <v>125</v>
      </c>
      <c r="J44" s="86" t="n">
        <v>26500</v>
      </c>
      <c r="K44" s="50" t="n">
        <f aca="false">G44*J44</f>
        <v>106000</v>
      </c>
      <c r="L44" s="59" t="s">
        <v>37</v>
      </c>
      <c r="M44" s="50" t="n">
        <v>27730</v>
      </c>
      <c r="N44" s="50" t="n">
        <f aca="false">M44*G44</f>
        <v>110920</v>
      </c>
      <c r="O44" s="48"/>
      <c r="P44" s="50"/>
      <c r="Q44" s="50" t="n">
        <f aca="false">P44*G44</f>
        <v>0</v>
      </c>
      <c r="R44" s="52" t="n">
        <f aca="false">AVERAGE(J44,M44,P44)</f>
        <v>27115</v>
      </c>
      <c r="S44" s="52" t="n">
        <f aca="false">R44*G44</f>
        <v>108460</v>
      </c>
      <c r="T44" s="58"/>
      <c r="U44" s="42" t="n">
        <f aca="false">ROUND(J44*100/R44-100,0)</f>
        <v>-2</v>
      </c>
      <c r="V44" s="42" t="n">
        <f aca="false">ROUND(M44*100/R44-100,0)</f>
        <v>2</v>
      </c>
      <c r="W44" s="42" t="n">
        <f aca="false">ROUND(P44*100/R44-100,0)</f>
        <v>-100</v>
      </c>
      <c r="X44" s="55"/>
      <c r="Y44" s="55"/>
      <c r="Z44" s="55"/>
      <c r="AA44" s="55"/>
      <c r="AB44" s="55"/>
      <c r="AC44" s="55"/>
      <c r="AD44" s="55"/>
      <c r="AE44" s="55"/>
      <c r="AM44" s="1"/>
    </row>
    <row r="45" s="43" customFormat="true" ht="71.25" hidden="true" customHeight="true" outlineLevel="0" collapsed="false">
      <c r="A45" s="45"/>
      <c r="B45" s="33" t="n">
        <f aca="false">B44+1</f>
        <v>34</v>
      </c>
      <c r="C45" s="33" t="n">
        <f aca="false">C44+1</f>
        <v>35</v>
      </c>
      <c r="D45" s="33" t="n">
        <f aca="false">D44+1</f>
        <v>34</v>
      </c>
      <c r="E45" s="46" t="s">
        <v>127</v>
      </c>
      <c r="F45" s="46" t="s">
        <v>56</v>
      </c>
      <c r="G45" s="47" t="n">
        <f aca="false">2+2</f>
        <v>4</v>
      </c>
      <c r="H45" s="47"/>
      <c r="I45" s="48" t="s">
        <v>125</v>
      </c>
      <c r="J45" s="49" t="n">
        <v>25100</v>
      </c>
      <c r="K45" s="50" t="n">
        <f aca="false">G45*J45</f>
        <v>100400</v>
      </c>
      <c r="L45" s="59" t="s">
        <v>37</v>
      </c>
      <c r="M45" s="50" t="n">
        <v>26871</v>
      </c>
      <c r="N45" s="50" t="n">
        <f aca="false">M45*G45</f>
        <v>107484</v>
      </c>
      <c r="O45" s="48"/>
      <c r="P45" s="50"/>
      <c r="Q45" s="50" t="n">
        <f aca="false">P45*G45</f>
        <v>0</v>
      </c>
      <c r="R45" s="52" t="n">
        <f aca="false">AVERAGE(J45,M45,P45)</f>
        <v>25985.5</v>
      </c>
      <c r="S45" s="52" t="n">
        <f aca="false">R45*G45</f>
        <v>103942</v>
      </c>
      <c r="T45" s="58"/>
      <c r="U45" s="42" t="n">
        <f aca="false">ROUND(J45*100/R45-100,0)</f>
        <v>-3</v>
      </c>
      <c r="V45" s="42" t="n">
        <f aca="false">ROUND(M45*100/R45-100,0)</f>
        <v>3</v>
      </c>
      <c r="W45" s="42" t="n">
        <f aca="false">ROUND(P45*100/R45-100,0)</f>
        <v>-100</v>
      </c>
      <c r="X45" s="55"/>
      <c r="Y45" s="55"/>
      <c r="Z45" s="55"/>
      <c r="AA45" s="55"/>
      <c r="AB45" s="55"/>
      <c r="AC45" s="55"/>
      <c r="AD45" s="55"/>
      <c r="AE45" s="55"/>
      <c r="AM45" s="1"/>
    </row>
    <row r="46" s="43" customFormat="true" ht="71.25" hidden="true" customHeight="true" outlineLevel="0" collapsed="false">
      <c r="A46" s="45"/>
      <c r="B46" s="33" t="n">
        <f aca="false">B45+1</f>
        <v>35</v>
      </c>
      <c r="C46" s="33" t="n">
        <f aca="false">C45+1</f>
        <v>36</v>
      </c>
      <c r="D46" s="33" t="n">
        <f aca="false">D45+1</f>
        <v>35</v>
      </c>
      <c r="E46" s="46" t="s">
        <v>128</v>
      </c>
      <c r="F46" s="46" t="s">
        <v>56</v>
      </c>
      <c r="G46" s="47" t="n">
        <f aca="false">2+2+2</f>
        <v>6</v>
      </c>
      <c r="H46" s="47"/>
      <c r="I46" s="48" t="s">
        <v>125</v>
      </c>
      <c r="J46" s="49" t="n">
        <v>26500</v>
      </c>
      <c r="K46" s="50" t="n">
        <f aca="false">G46*J46</f>
        <v>159000</v>
      </c>
      <c r="L46" s="59" t="s">
        <v>37</v>
      </c>
      <c r="M46" s="50" t="n">
        <v>27730</v>
      </c>
      <c r="N46" s="50" t="n">
        <f aca="false">M46*G46</f>
        <v>166380</v>
      </c>
      <c r="O46" s="48"/>
      <c r="P46" s="50"/>
      <c r="Q46" s="50" t="n">
        <f aca="false">P46*G46</f>
        <v>0</v>
      </c>
      <c r="R46" s="52" t="n">
        <f aca="false">AVERAGE(J46,M46,P46)</f>
        <v>27115</v>
      </c>
      <c r="S46" s="52" t="n">
        <f aca="false">R46*G46</f>
        <v>162690</v>
      </c>
      <c r="T46" s="58"/>
      <c r="U46" s="42" t="n">
        <f aca="false">ROUND(J46*100/R46-100,0)</f>
        <v>-2</v>
      </c>
      <c r="V46" s="42" t="n">
        <f aca="false">ROUND(M46*100/R46-100,0)</f>
        <v>2</v>
      </c>
      <c r="W46" s="42" t="n">
        <f aca="false">ROUND(P46*100/R46-100,0)</f>
        <v>-100</v>
      </c>
      <c r="X46" s="55"/>
      <c r="Y46" s="55"/>
      <c r="Z46" s="55"/>
      <c r="AA46" s="55"/>
      <c r="AB46" s="55"/>
      <c r="AC46" s="55"/>
      <c r="AD46" s="55"/>
      <c r="AE46" s="55"/>
      <c r="AM46" s="1"/>
    </row>
    <row r="47" s="43" customFormat="true" ht="71.25" hidden="true" customHeight="true" outlineLevel="0" collapsed="false">
      <c r="A47" s="45"/>
      <c r="B47" s="33" t="n">
        <f aca="false">B46+1</f>
        <v>36</v>
      </c>
      <c r="C47" s="33" t="n">
        <f aca="false">C46+1</f>
        <v>37</v>
      </c>
      <c r="D47" s="33" t="n">
        <f aca="false">D46+1</f>
        <v>36</v>
      </c>
      <c r="E47" s="46" t="s">
        <v>129</v>
      </c>
      <c r="F47" s="46" t="s">
        <v>56</v>
      </c>
      <c r="G47" s="47" t="n">
        <f aca="false">2+2+2</f>
        <v>6</v>
      </c>
      <c r="H47" s="47"/>
      <c r="I47" s="48" t="s">
        <v>125</v>
      </c>
      <c r="J47" s="49" t="n">
        <v>25100</v>
      </c>
      <c r="K47" s="50" t="n">
        <f aca="false">G47*J47</f>
        <v>150600</v>
      </c>
      <c r="L47" s="59" t="s">
        <v>37</v>
      </c>
      <c r="M47" s="50" t="n">
        <v>26871</v>
      </c>
      <c r="N47" s="50" t="n">
        <f aca="false">M47*G47</f>
        <v>161226</v>
      </c>
      <c r="O47" s="48"/>
      <c r="P47" s="50"/>
      <c r="Q47" s="50" t="n">
        <f aca="false">P47*G47</f>
        <v>0</v>
      </c>
      <c r="R47" s="52" t="n">
        <f aca="false">AVERAGE(J47,M47,P47)</f>
        <v>25985.5</v>
      </c>
      <c r="S47" s="52" t="n">
        <f aca="false">R47*G47</f>
        <v>155913</v>
      </c>
      <c r="T47" s="58"/>
      <c r="U47" s="42" t="n">
        <f aca="false">ROUND(J47*100/R47-100,0)</f>
        <v>-3</v>
      </c>
      <c r="V47" s="42" t="n">
        <f aca="false">ROUND(M47*100/R47-100,0)</f>
        <v>3</v>
      </c>
      <c r="W47" s="42" t="n">
        <f aca="false">ROUND(P47*100/R47-100,0)</f>
        <v>-100</v>
      </c>
      <c r="X47" s="55"/>
      <c r="Y47" s="55"/>
      <c r="Z47" s="55"/>
      <c r="AA47" s="55"/>
      <c r="AB47" s="55"/>
      <c r="AC47" s="55"/>
      <c r="AD47" s="55"/>
      <c r="AE47" s="55"/>
      <c r="AM47" s="1"/>
    </row>
    <row r="48" s="43" customFormat="true" ht="71.25" hidden="true" customHeight="true" outlineLevel="0" collapsed="false">
      <c r="A48" s="45"/>
      <c r="B48" s="33" t="n">
        <f aca="false">B47+1</f>
        <v>37</v>
      </c>
      <c r="C48" s="33" t="n">
        <f aca="false">C47+1</f>
        <v>38</v>
      </c>
      <c r="D48" s="33" t="n">
        <f aca="false">D47+1</f>
        <v>37</v>
      </c>
      <c r="E48" s="46" t="s">
        <v>130</v>
      </c>
      <c r="F48" s="46" t="s">
        <v>31</v>
      </c>
      <c r="G48" s="47" t="n">
        <v>2</v>
      </c>
      <c r="H48" s="47"/>
      <c r="I48" s="56" t="s">
        <v>131</v>
      </c>
      <c r="J48" s="49" t="n">
        <v>190.833</v>
      </c>
      <c r="K48" s="50" t="n">
        <f aca="false">G48*J48</f>
        <v>381.666</v>
      </c>
      <c r="L48" s="57"/>
      <c r="M48" s="50"/>
      <c r="N48" s="50" t="n">
        <f aca="false">M48*G48</f>
        <v>0</v>
      </c>
      <c r="O48" s="57"/>
      <c r="P48" s="50"/>
      <c r="Q48" s="50" t="n">
        <f aca="false">P48*G48</f>
        <v>0</v>
      </c>
      <c r="R48" s="52" t="n">
        <f aca="false">AVERAGE(J48,M48,P48)</f>
        <v>190.833</v>
      </c>
      <c r="S48" s="52" t="n">
        <f aca="false">R48*G48</f>
        <v>381.666</v>
      </c>
      <c r="T48" s="58"/>
      <c r="U48" s="42" t="n">
        <f aca="false">ROUND(J48*100/R48-100,0)</f>
        <v>0</v>
      </c>
      <c r="V48" s="42" t="n">
        <f aca="false">ROUND(M48*100/R48-100,0)</f>
        <v>-100</v>
      </c>
      <c r="W48" s="42" t="n">
        <f aca="false">ROUND(P48*100/R48-100,0)</f>
        <v>-100</v>
      </c>
      <c r="X48" s="55"/>
      <c r="Y48" s="55"/>
      <c r="Z48" s="55"/>
      <c r="AA48" s="55"/>
      <c r="AB48" s="55"/>
      <c r="AC48" s="55"/>
      <c r="AD48" s="55"/>
      <c r="AE48" s="55"/>
      <c r="AM48" s="1"/>
    </row>
    <row r="49" s="43" customFormat="true" ht="50.25" hidden="true" customHeight="true" outlineLevel="0" collapsed="false">
      <c r="A49" s="45" t="n">
        <v>101</v>
      </c>
      <c r="B49" s="33" t="n">
        <f aca="false">B48+1</f>
        <v>38</v>
      </c>
      <c r="C49" s="33" t="n">
        <f aca="false">C48+1</f>
        <v>39</v>
      </c>
      <c r="D49" s="33" t="n">
        <f aca="false">D48+1</f>
        <v>38</v>
      </c>
      <c r="E49" s="46" t="s">
        <v>132</v>
      </c>
      <c r="F49" s="46" t="s">
        <v>23</v>
      </c>
      <c r="G49" s="47" t="n">
        <f aca="false">0.12+0.12</f>
        <v>0.24</v>
      </c>
      <c r="H49" s="47"/>
      <c r="I49" s="48" t="s">
        <v>133</v>
      </c>
      <c r="J49" s="49" t="n">
        <v>778.24</v>
      </c>
      <c r="K49" s="50" t="n">
        <f aca="false">G49*J49</f>
        <v>186.7776</v>
      </c>
      <c r="L49" s="48" t="s">
        <v>134</v>
      </c>
      <c r="M49" s="50" t="n">
        <v>812.5</v>
      </c>
      <c r="N49" s="50" t="n">
        <f aca="false">M49*G49</f>
        <v>195</v>
      </c>
      <c r="O49" s="48" t="s">
        <v>135</v>
      </c>
      <c r="P49" s="50" t="n">
        <v>930.83</v>
      </c>
      <c r="Q49" s="50" t="n">
        <f aca="false">P49*G49</f>
        <v>223.3992</v>
      </c>
      <c r="R49" s="52" t="n">
        <f aca="false">AVERAGE(J49,M49,P49)</f>
        <v>840.523333333333</v>
      </c>
      <c r="S49" s="52" t="n">
        <f aca="false">R49*G49</f>
        <v>201.7256</v>
      </c>
      <c r="T49" s="79"/>
      <c r="U49" s="42" t="n">
        <f aca="false">ROUND(J49*100/R49-100,0)</f>
        <v>-7</v>
      </c>
      <c r="V49" s="42" t="n">
        <f aca="false">ROUND(M49*100/R49-100,0)</f>
        <v>-3</v>
      </c>
      <c r="W49" s="42" t="n">
        <f aca="false">ROUND(P49*100/R49-100,0)</f>
        <v>11</v>
      </c>
      <c r="X49" s="55"/>
      <c r="Y49" s="55"/>
      <c r="Z49" s="55"/>
      <c r="AA49" s="55"/>
      <c r="AB49" s="55"/>
      <c r="AC49" s="55"/>
      <c r="AD49" s="55"/>
      <c r="AE49" s="55"/>
      <c r="AM49" s="1"/>
    </row>
    <row r="50" s="43" customFormat="true" ht="57.75" hidden="true" customHeight="true" outlineLevel="0" collapsed="false">
      <c r="A50" s="45" t="n">
        <v>102</v>
      </c>
      <c r="B50" s="33" t="n">
        <f aca="false">B49+1</f>
        <v>39</v>
      </c>
      <c r="C50" s="33" t="n">
        <f aca="false">C49+1</f>
        <v>40</v>
      </c>
      <c r="D50" s="33" t="n">
        <f aca="false">D49+1</f>
        <v>39</v>
      </c>
      <c r="E50" s="46" t="s">
        <v>136</v>
      </c>
      <c r="F50" s="46" t="s">
        <v>56</v>
      </c>
      <c r="G50" s="47" t="n">
        <f aca="false">1</f>
        <v>1</v>
      </c>
      <c r="H50" s="47"/>
      <c r="I50" s="57" t="s">
        <v>137</v>
      </c>
      <c r="J50" s="50" t="n">
        <v>125791.67</v>
      </c>
      <c r="K50" s="50" t="n">
        <f aca="false">J50*G50</f>
        <v>125791.67</v>
      </c>
      <c r="L50" s="57" t="s">
        <v>138</v>
      </c>
      <c r="M50" s="50" t="n">
        <v>122059</v>
      </c>
      <c r="N50" s="50" t="n">
        <f aca="false">M50*G50</f>
        <v>122059</v>
      </c>
      <c r="O50" s="57" t="s">
        <v>139</v>
      </c>
      <c r="P50" s="50" t="n">
        <v>122058.33</v>
      </c>
      <c r="Q50" s="50" t="n">
        <f aca="false">P50*G50</f>
        <v>122058.33</v>
      </c>
      <c r="R50" s="52" t="n">
        <f aca="false">AVERAGE(J50,M50,P50)</f>
        <v>123303</v>
      </c>
      <c r="S50" s="52" t="n">
        <f aca="false">R50*G50</f>
        <v>123303</v>
      </c>
      <c r="T50" s="79"/>
      <c r="U50" s="42" t="n">
        <f aca="false">ROUND(J50*100/R50-100,0)</f>
        <v>2</v>
      </c>
      <c r="V50" s="42" t="n">
        <f aca="false">ROUND(M50*100/R50-100,0)</f>
        <v>-1</v>
      </c>
      <c r="W50" s="42" t="n">
        <f aca="false">ROUND(P50*100/R50-100,0)</f>
        <v>-1</v>
      </c>
      <c r="X50" s="55"/>
      <c r="Y50" s="55"/>
      <c r="Z50" s="55"/>
      <c r="AA50" s="55"/>
      <c r="AB50" s="55"/>
      <c r="AC50" s="55"/>
      <c r="AD50" s="55"/>
      <c r="AE50" s="55"/>
      <c r="AM50" s="1"/>
    </row>
    <row r="51" s="43" customFormat="true" ht="57.75" hidden="true" customHeight="true" outlineLevel="0" collapsed="false">
      <c r="A51" s="87"/>
      <c r="B51" s="33" t="n">
        <f aca="false">B50+1</f>
        <v>40</v>
      </c>
      <c r="C51" s="33" t="n">
        <f aca="false">C50+1</f>
        <v>41</v>
      </c>
      <c r="D51" s="33"/>
      <c r="E51" s="46" t="s">
        <v>140</v>
      </c>
      <c r="F51" s="46" t="s">
        <v>56</v>
      </c>
      <c r="G51" s="47" t="n">
        <f aca="false">1</f>
        <v>1</v>
      </c>
      <c r="H51" s="47"/>
      <c r="I51" s="57" t="s">
        <v>141</v>
      </c>
      <c r="J51" s="50" t="n">
        <v>293250</v>
      </c>
      <c r="K51" s="50" t="n">
        <f aca="false">J51*G51</f>
        <v>293250</v>
      </c>
      <c r="L51" s="57" t="s">
        <v>142</v>
      </c>
      <c r="M51" s="50" t="n">
        <f aca="false">330000/1.2</f>
        <v>275000</v>
      </c>
      <c r="N51" s="50" t="n">
        <f aca="false">M51*G51</f>
        <v>275000</v>
      </c>
      <c r="O51" s="57" t="s">
        <v>143</v>
      </c>
      <c r="P51" s="50" t="n">
        <v>316710</v>
      </c>
      <c r="Q51" s="50" t="n">
        <f aca="false">P51*G51</f>
        <v>316710</v>
      </c>
      <c r="R51" s="81"/>
      <c r="S51" s="52"/>
      <c r="T51" s="58" t="s">
        <v>144</v>
      </c>
      <c r="U51" s="42" t="e">
        <f aca="false">ROUND(J51*100/R51-100,0)</f>
        <v>#DIV/0!</v>
      </c>
      <c r="V51" s="42" t="e">
        <f aca="false">ROUND(M51*100/R51-100,0)</f>
        <v>#DIV/0!</v>
      </c>
      <c r="W51" s="42" t="e">
        <f aca="false">ROUND(P51*100/R51-100,0)</f>
        <v>#DIV/0!</v>
      </c>
      <c r="X51" s="88"/>
      <c r="Y51" s="88"/>
      <c r="Z51" s="88"/>
      <c r="AA51" s="88"/>
      <c r="AB51" s="88"/>
      <c r="AC51" s="88"/>
      <c r="AD51" s="88"/>
      <c r="AE51" s="88"/>
      <c r="AF51" s="89"/>
      <c r="AG51" s="89"/>
      <c r="AH51" s="89"/>
      <c r="AI51" s="89"/>
      <c r="AJ51" s="89"/>
      <c r="AK51" s="89"/>
      <c r="AL51" s="89"/>
      <c r="AM51" s="1"/>
    </row>
    <row r="52" s="89" customFormat="true" ht="57.75" hidden="true" customHeight="true" outlineLevel="0" collapsed="false">
      <c r="A52" s="45"/>
      <c r="B52" s="33" t="n">
        <f aca="false">B51+1</f>
        <v>41</v>
      </c>
      <c r="C52" s="33" t="n">
        <f aca="false">C51+1</f>
        <v>42</v>
      </c>
      <c r="D52" s="33" t="n">
        <f aca="false">D50+1</f>
        <v>40</v>
      </c>
      <c r="E52" s="46" t="s">
        <v>145</v>
      </c>
      <c r="F52" s="46" t="s">
        <v>56</v>
      </c>
      <c r="G52" s="47" t="n">
        <f aca="false">1+1+1+1+1+1+1+1</f>
        <v>8</v>
      </c>
      <c r="H52" s="47"/>
      <c r="I52" s="59" t="s">
        <v>146</v>
      </c>
      <c r="J52" s="50" t="n">
        <v>4000</v>
      </c>
      <c r="K52" s="50" t="n">
        <f aca="false">J52*G52</f>
        <v>32000</v>
      </c>
      <c r="L52" s="59" t="s">
        <v>147</v>
      </c>
      <c r="M52" s="50" t="n">
        <v>4160</v>
      </c>
      <c r="N52" s="50" t="n">
        <f aca="false">M52*G52</f>
        <v>33280</v>
      </c>
      <c r="O52" s="59" t="s">
        <v>148</v>
      </c>
      <c r="P52" s="50" t="n">
        <v>4280</v>
      </c>
      <c r="Q52" s="50" t="n">
        <f aca="false">P52*G52</f>
        <v>34240</v>
      </c>
      <c r="R52" s="52" t="n">
        <f aca="false">AVERAGE(J52,M52,P52)</f>
        <v>4146.66666666667</v>
      </c>
      <c r="S52" s="52" t="n">
        <f aca="false">R52*G52</f>
        <v>33173.3333333333</v>
      </c>
      <c r="T52" s="58"/>
      <c r="U52" s="42" t="n">
        <f aca="false">ROUND(J52*100/R52-100,0)</f>
        <v>-4</v>
      </c>
      <c r="V52" s="42" t="n">
        <f aca="false">ROUND(M52*100/R52-100,0)</f>
        <v>0</v>
      </c>
      <c r="W52" s="42" t="n">
        <f aca="false">ROUND(P52*100/R52-100,0)</f>
        <v>3</v>
      </c>
      <c r="X52" s="55"/>
      <c r="Y52" s="55"/>
      <c r="Z52" s="55"/>
      <c r="AA52" s="55"/>
      <c r="AB52" s="55"/>
      <c r="AC52" s="55"/>
      <c r="AD52" s="55"/>
      <c r="AE52" s="55"/>
      <c r="AF52" s="43"/>
      <c r="AG52" s="43"/>
      <c r="AH52" s="43"/>
      <c r="AI52" s="43"/>
      <c r="AJ52" s="43"/>
      <c r="AK52" s="43"/>
      <c r="AL52" s="43"/>
      <c r="AM52" s="1"/>
    </row>
    <row r="53" s="43" customFormat="true" ht="57.75" hidden="true" customHeight="true" outlineLevel="0" collapsed="false">
      <c r="A53" s="45"/>
      <c r="B53" s="33" t="n">
        <f aca="false">B52+1</f>
        <v>42</v>
      </c>
      <c r="C53" s="33" t="n">
        <f aca="false">C52+1</f>
        <v>43</v>
      </c>
      <c r="D53" s="33" t="n">
        <f aca="false">D52+1</f>
        <v>41</v>
      </c>
      <c r="E53" s="46" t="s">
        <v>149</v>
      </c>
      <c r="F53" s="46" t="s">
        <v>150</v>
      </c>
      <c r="G53" s="47" t="n">
        <f aca="false">0.2+0.2+0.2</f>
        <v>0.6</v>
      </c>
      <c r="H53" s="47"/>
      <c r="I53" s="59" t="s">
        <v>37</v>
      </c>
      <c r="J53" s="50" t="n">
        <v>2083.33</v>
      </c>
      <c r="K53" s="50" t="n">
        <f aca="false">J53*G53</f>
        <v>1249.998</v>
      </c>
      <c r="L53" s="56" t="s">
        <v>151</v>
      </c>
      <c r="M53" s="50" t="n">
        <v>2950</v>
      </c>
      <c r="N53" s="50" t="n">
        <f aca="false">M53*G53</f>
        <v>1770</v>
      </c>
      <c r="O53" s="56" t="s">
        <v>152</v>
      </c>
      <c r="P53" s="50" t="n">
        <v>2105.6</v>
      </c>
      <c r="Q53" s="50" t="n">
        <f aca="false">P53*G53</f>
        <v>1263.36</v>
      </c>
      <c r="R53" s="52" t="n">
        <f aca="false">AVERAGE(J53,M53,P53)</f>
        <v>2379.64333333333</v>
      </c>
      <c r="S53" s="52" t="n">
        <f aca="false">R53*G53</f>
        <v>1427.786</v>
      </c>
      <c r="T53" s="58"/>
      <c r="U53" s="42" t="n">
        <f aca="false">ROUND(J53*100/R53-100,0)</f>
        <v>-12</v>
      </c>
      <c r="V53" s="42" t="n">
        <f aca="false">ROUND(M53*100/R53-100,0)</f>
        <v>24</v>
      </c>
      <c r="W53" s="42" t="n">
        <f aca="false">ROUND(P53*100/R53-100,0)</f>
        <v>-12</v>
      </c>
      <c r="X53" s="55"/>
      <c r="Y53" s="55"/>
      <c r="Z53" s="55"/>
      <c r="AA53" s="55"/>
      <c r="AB53" s="55"/>
      <c r="AC53" s="55"/>
      <c r="AD53" s="55"/>
      <c r="AE53" s="55"/>
      <c r="AM53" s="1"/>
    </row>
    <row r="54" s="43" customFormat="true" ht="57.75" hidden="true" customHeight="true" outlineLevel="0" collapsed="false">
      <c r="A54" s="45"/>
      <c r="B54" s="33" t="n">
        <f aca="false">B53+1</f>
        <v>43</v>
      </c>
      <c r="C54" s="33" t="n">
        <f aca="false">C53+1</f>
        <v>44</v>
      </c>
      <c r="D54" s="33" t="n">
        <f aca="false">D53+1</f>
        <v>42</v>
      </c>
      <c r="E54" s="46" t="s">
        <v>153</v>
      </c>
      <c r="F54" s="46" t="s">
        <v>150</v>
      </c>
      <c r="G54" s="47" t="n">
        <f aca="false">14</f>
        <v>14</v>
      </c>
      <c r="H54" s="47"/>
      <c r="I54" s="57" t="s">
        <v>154</v>
      </c>
      <c r="J54" s="50" t="n">
        <v>654.17</v>
      </c>
      <c r="K54" s="50" t="n">
        <f aca="false">J54*G54</f>
        <v>9158.38</v>
      </c>
      <c r="L54" s="57" t="s">
        <v>155</v>
      </c>
      <c r="M54" s="50" t="n">
        <v>458.33</v>
      </c>
      <c r="N54" s="50" t="n">
        <f aca="false">M54*G54</f>
        <v>6416.62</v>
      </c>
      <c r="O54" s="57" t="s">
        <v>156</v>
      </c>
      <c r="P54" s="50" t="n">
        <v>548.33</v>
      </c>
      <c r="Q54" s="50" t="n">
        <f aca="false">P54*G54</f>
        <v>7676.62</v>
      </c>
      <c r="R54" s="52" t="n">
        <f aca="false">AVERAGE(J54,M54,P54)</f>
        <v>553.61</v>
      </c>
      <c r="S54" s="52" t="n">
        <f aca="false">R54*G54</f>
        <v>7750.54</v>
      </c>
      <c r="T54" s="58"/>
      <c r="U54" s="42" t="n">
        <f aca="false">ROUND(J54*100/R54-100,0)</f>
        <v>18</v>
      </c>
      <c r="V54" s="42" t="n">
        <f aca="false">ROUND(M54*100/R54-100,0)</f>
        <v>-17</v>
      </c>
      <c r="W54" s="42" t="n">
        <f aca="false">ROUND(P54*100/R54-100,0)</f>
        <v>-1</v>
      </c>
      <c r="X54" s="55"/>
      <c r="Y54" s="55"/>
      <c r="Z54" s="55"/>
      <c r="AA54" s="55"/>
      <c r="AB54" s="55"/>
      <c r="AC54" s="55"/>
      <c r="AD54" s="55"/>
      <c r="AE54" s="55"/>
      <c r="AM54" s="1"/>
    </row>
    <row r="55" s="43" customFormat="true" ht="57.75" hidden="true" customHeight="true" outlineLevel="0" collapsed="false">
      <c r="A55" s="45"/>
      <c r="B55" s="33" t="n">
        <f aca="false">B54+1</f>
        <v>44</v>
      </c>
      <c r="C55" s="33" t="n">
        <f aca="false">C54+1</f>
        <v>45</v>
      </c>
      <c r="D55" s="33" t="n">
        <f aca="false">D54+1</f>
        <v>43</v>
      </c>
      <c r="E55" s="46" t="s">
        <v>157</v>
      </c>
      <c r="F55" s="46" t="s">
        <v>56</v>
      </c>
      <c r="G55" s="47" t="n">
        <v>8</v>
      </c>
      <c r="H55" s="47"/>
      <c r="I55" s="57" t="s">
        <v>158</v>
      </c>
      <c r="J55" s="50" t="n">
        <v>864.17</v>
      </c>
      <c r="K55" s="50" t="n">
        <f aca="false">J55*G55</f>
        <v>6913.36</v>
      </c>
      <c r="L55" s="57" t="s">
        <v>159</v>
      </c>
      <c r="M55" s="50" t="n">
        <v>976.67</v>
      </c>
      <c r="N55" s="50" t="n">
        <f aca="false">M55*G55</f>
        <v>7813.36</v>
      </c>
      <c r="O55" s="56" t="s">
        <v>160</v>
      </c>
      <c r="P55" s="50" t="n">
        <f aca="false">1172/1.2</f>
        <v>976.666666666667</v>
      </c>
      <c r="Q55" s="50" t="n">
        <f aca="false">P55*G55</f>
        <v>7813.33333333333</v>
      </c>
      <c r="R55" s="52" t="n">
        <f aca="false">AVERAGE(J55,M55,P55)</f>
        <v>939.168888888889</v>
      </c>
      <c r="S55" s="52" t="n">
        <f aca="false">R55*G55</f>
        <v>7513.35111111111</v>
      </c>
      <c r="T55" s="58"/>
      <c r="U55" s="42" t="n">
        <f aca="false">ROUND(J55*100/R55-100,0)</f>
        <v>-8</v>
      </c>
      <c r="V55" s="42" t="n">
        <f aca="false">ROUND(M55*100/R55-100,0)</f>
        <v>4</v>
      </c>
      <c r="W55" s="42" t="n">
        <f aca="false">ROUND(P55*100/R55-100,0)</f>
        <v>4</v>
      </c>
      <c r="X55" s="55"/>
      <c r="Y55" s="55"/>
      <c r="Z55" s="55"/>
      <c r="AA55" s="55"/>
      <c r="AB55" s="55"/>
      <c r="AC55" s="55"/>
      <c r="AD55" s="55"/>
      <c r="AE55" s="55"/>
      <c r="AM55" s="1"/>
    </row>
    <row r="56" s="43" customFormat="true" ht="57.75" hidden="true" customHeight="true" outlineLevel="0" collapsed="false">
      <c r="A56" s="45"/>
      <c r="B56" s="33" t="n">
        <f aca="false">B55+1</f>
        <v>45</v>
      </c>
      <c r="C56" s="33" t="n">
        <f aca="false">C55+1</f>
        <v>46</v>
      </c>
      <c r="D56" s="33" t="n">
        <f aca="false">D55+1</f>
        <v>44</v>
      </c>
      <c r="E56" s="46" t="s">
        <v>161</v>
      </c>
      <c r="F56" s="46" t="s">
        <v>56</v>
      </c>
      <c r="G56" s="47" t="n">
        <v>8</v>
      </c>
      <c r="H56" s="47"/>
      <c r="I56" s="57" t="s">
        <v>162</v>
      </c>
      <c r="J56" s="50" t="n">
        <v>282.5</v>
      </c>
      <c r="K56" s="50" t="n">
        <f aca="false">J56*G56</f>
        <v>2260</v>
      </c>
      <c r="L56" s="57" t="s">
        <v>163</v>
      </c>
      <c r="M56" s="50" t="n">
        <v>282.5</v>
      </c>
      <c r="N56" s="50" t="n">
        <f aca="false">M56*G56</f>
        <v>2260</v>
      </c>
      <c r="O56" s="57" t="s">
        <v>164</v>
      </c>
      <c r="P56" s="50" t="n">
        <v>282.5</v>
      </c>
      <c r="Q56" s="50" t="n">
        <f aca="false">P56*G56</f>
        <v>2260</v>
      </c>
      <c r="R56" s="52" t="n">
        <f aca="false">AVERAGE(J56,M56,P56)</f>
        <v>282.5</v>
      </c>
      <c r="S56" s="52" t="n">
        <f aca="false">R56*G56</f>
        <v>2260</v>
      </c>
      <c r="T56" s="58"/>
      <c r="U56" s="42" t="n">
        <f aca="false">ROUND(J56*100/R56-100,0)</f>
        <v>0</v>
      </c>
      <c r="V56" s="42" t="n">
        <f aca="false">ROUND(M56*100/R56-100,0)</f>
        <v>0</v>
      </c>
      <c r="W56" s="42" t="n">
        <f aca="false">ROUND(P56*100/R56-100,0)</f>
        <v>0</v>
      </c>
      <c r="X56" s="55"/>
      <c r="Y56" s="55"/>
      <c r="Z56" s="55"/>
      <c r="AA56" s="55"/>
      <c r="AB56" s="55"/>
      <c r="AC56" s="55"/>
      <c r="AD56" s="55"/>
      <c r="AE56" s="55"/>
      <c r="AM56" s="1"/>
    </row>
    <row r="57" s="43" customFormat="true" ht="57.75" hidden="true" customHeight="true" outlineLevel="0" collapsed="false">
      <c r="A57" s="45"/>
      <c r="B57" s="33" t="n">
        <f aca="false">B56+1</f>
        <v>46</v>
      </c>
      <c r="C57" s="33" t="n">
        <f aca="false">C56+1</f>
        <v>47</v>
      </c>
      <c r="D57" s="33" t="n">
        <f aca="false">D56+1</f>
        <v>45</v>
      </c>
      <c r="E57" s="46" t="s">
        <v>165</v>
      </c>
      <c r="F57" s="46" t="s">
        <v>56</v>
      </c>
      <c r="G57" s="47" t="n">
        <v>10</v>
      </c>
      <c r="H57" s="47"/>
      <c r="I57" s="59" t="s">
        <v>166</v>
      </c>
      <c r="J57" s="50" t="n">
        <v>9583.33</v>
      </c>
      <c r="K57" s="50" t="n">
        <f aca="false">J57*G57</f>
        <v>95833.3</v>
      </c>
      <c r="L57" s="59" t="s">
        <v>147</v>
      </c>
      <c r="M57" s="50" t="n">
        <v>9966.67</v>
      </c>
      <c r="N57" s="50" t="n">
        <f aca="false">M57*G57</f>
        <v>99666.7</v>
      </c>
      <c r="O57" s="59" t="s">
        <v>148</v>
      </c>
      <c r="P57" s="50" t="n">
        <v>10254.17</v>
      </c>
      <c r="Q57" s="50" t="n">
        <f aca="false">P57*G57</f>
        <v>102541.7</v>
      </c>
      <c r="R57" s="52" t="n">
        <f aca="false">AVERAGE(J57,M57,P57)</f>
        <v>9934.72333333333</v>
      </c>
      <c r="S57" s="52" t="n">
        <f aca="false">R57*G57</f>
        <v>99347.2333333333</v>
      </c>
      <c r="T57" s="58" t="s">
        <v>167</v>
      </c>
      <c r="U57" s="42" t="n">
        <f aca="false">ROUND(J57*100/R57-100,0)</f>
        <v>-4</v>
      </c>
      <c r="V57" s="42" t="n">
        <f aca="false">ROUND(M57*100/R57-100,0)</f>
        <v>0</v>
      </c>
      <c r="W57" s="42" t="n">
        <f aca="false">ROUND(P57*100/R57-100,0)</f>
        <v>3</v>
      </c>
      <c r="X57" s="55"/>
      <c r="Y57" s="55"/>
      <c r="Z57" s="55"/>
      <c r="AA57" s="55"/>
      <c r="AB57" s="55"/>
      <c r="AC57" s="55"/>
      <c r="AD57" s="55"/>
      <c r="AE57" s="55"/>
      <c r="AM57" s="1"/>
    </row>
    <row r="58" s="43" customFormat="true" ht="57.75" hidden="true" customHeight="true" outlineLevel="0" collapsed="false">
      <c r="A58" s="45"/>
      <c r="B58" s="33" t="n">
        <f aca="false">B57+1</f>
        <v>47</v>
      </c>
      <c r="C58" s="33" t="n">
        <f aca="false">C57+1</f>
        <v>48</v>
      </c>
      <c r="D58" s="33" t="n">
        <f aca="false">D57+1</f>
        <v>46</v>
      </c>
      <c r="E58" s="46" t="s">
        <v>168</v>
      </c>
      <c r="F58" s="46" t="s">
        <v>56</v>
      </c>
      <c r="G58" s="47" t="n">
        <v>20</v>
      </c>
      <c r="H58" s="47"/>
      <c r="I58" s="59" t="s">
        <v>146</v>
      </c>
      <c r="J58" s="50" t="n">
        <v>7916.67</v>
      </c>
      <c r="K58" s="50" t="n">
        <f aca="false">J58*G58</f>
        <v>158333.4</v>
      </c>
      <c r="L58" s="59" t="s">
        <v>147</v>
      </c>
      <c r="M58" s="50" t="n">
        <v>8233.33</v>
      </c>
      <c r="N58" s="50" t="n">
        <f aca="false">M58*G58</f>
        <v>164666.6</v>
      </c>
      <c r="O58" s="59" t="s">
        <v>148</v>
      </c>
      <c r="P58" s="50" t="n">
        <v>8470.83</v>
      </c>
      <c r="Q58" s="50" t="n">
        <f aca="false">P58*G58</f>
        <v>169416.6</v>
      </c>
      <c r="R58" s="52" t="n">
        <f aca="false">AVERAGE(J58,M58,P58)</f>
        <v>8206.94333333334</v>
      </c>
      <c r="S58" s="52" t="n">
        <f aca="false">R58*G58</f>
        <v>164138.866666667</v>
      </c>
      <c r="T58" s="58" t="s">
        <v>167</v>
      </c>
      <c r="U58" s="42" t="n">
        <f aca="false">ROUND(J58*100/R58-100,0)</f>
        <v>-4</v>
      </c>
      <c r="V58" s="42" t="n">
        <f aca="false">ROUND(M58*100/R58-100,0)</f>
        <v>0</v>
      </c>
      <c r="W58" s="42" t="n">
        <f aca="false">ROUND(P58*100/R58-100,0)</f>
        <v>3</v>
      </c>
      <c r="X58" s="55"/>
      <c r="Y58" s="55"/>
      <c r="Z58" s="55"/>
      <c r="AA58" s="55"/>
      <c r="AB58" s="55"/>
      <c r="AC58" s="55"/>
      <c r="AD58" s="55"/>
      <c r="AE58" s="55"/>
      <c r="AM58" s="1"/>
    </row>
    <row r="59" s="43" customFormat="true" ht="57.75" hidden="true" customHeight="true" outlineLevel="0" collapsed="false">
      <c r="A59" s="45"/>
      <c r="B59" s="33" t="n">
        <f aca="false">B58+1</f>
        <v>48</v>
      </c>
      <c r="C59" s="33" t="n">
        <f aca="false">C58+1</f>
        <v>49</v>
      </c>
      <c r="D59" s="33" t="n">
        <f aca="false">D58+1</f>
        <v>47</v>
      </c>
      <c r="E59" s="46" t="s">
        <v>169</v>
      </c>
      <c r="F59" s="46" t="s">
        <v>56</v>
      </c>
      <c r="G59" s="47" t="n">
        <v>12</v>
      </c>
      <c r="H59" s="47"/>
      <c r="I59" s="59" t="s">
        <v>146</v>
      </c>
      <c r="J59" s="50" t="n">
        <v>9083.33</v>
      </c>
      <c r="K59" s="50" t="n">
        <f aca="false">J59*G59</f>
        <v>108999.96</v>
      </c>
      <c r="L59" s="59" t="s">
        <v>147</v>
      </c>
      <c r="M59" s="50" t="n">
        <v>9446.67</v>
      </c>
      <c r="N59" s="50" t="n">
        <f aca="false">M59*G59</f>
        <v>113360.04</v>
      </c>
      <c r="O59" s="59" t="s">
        <v>148</v>
      </c>
      <c r="P59" s="50" t="n">
        <v>9719.17</v>
      </c>
      <c r="Q59" s="50" t="n">
        <f aca="false">P59*G59</f>
        <v>116630.04</v>
      </c>
      <c r="R59" s="52" t="n">
        <f aca="false">AVERAGE(J59,M59,P59)</f>
        <v>9416.39</v>
      </c>
      <c r="S59" s="52" t="n">
        <f aca="false">R59*G59</f>
        <v>112996.68</v>
      </c>
      <c r="T59" s="58" t="s">
        <v>167</v>
      </c>
      <c r="U59" s="42" t="n">
        <f aca="false">ROUND(J59*100/R59-100,0)</f>
        <v>-4</v>
      </c>
      <c r="V59" s="42" t="n">
        <f aca="false">ROUND(M59*100/R59-100,0)</f>
        <v>0</v>
      </c>
      <c r="W59" s="42" t="n">
        <f aca="false">ROUND(P59*100/R59-100,0)</f>
        <v>3</v>
      </c>
      <c r="X59" s="55"/>
      <c r="Y59" s="55"/>
      <c r="Z59" s="55"/>
      <c r="AA59" s="55"/>
      <c r="AB59" s="55"/>
      <c r="AC59" s="55"/>
      <c r="AD59" s="55"/>
      <c r="AE59" s="55"/>
      <c r="AM59" s="1"/>
    </row>
    <row r="60" s="43" customFormat="true" ht="57.75" hidden="true" customHeight="true" outlineLevel="0" collapsed="false">
      <c r="A60" s="45"/>
      <c r="B60" s="33" t="n">
        <f aca="false">B59+1</f>
        <v>49</v>
      </c>
      <c r="C60" s="33" t="n">
        <f aca="false">C59+1</f>
        <v>50</v>
      </c>
      <c r="D60" s="33" t="n">
        <f aca="false">D59+1</f>
        <v>48</v>
      </c>
      <c r="E60" s="46" t="s">
        <v>170</v>
      </c>
      <c r="F60" s="46" t="s">
        <v>56</v>
      </c>
      <c r="G60" s="47" t="n">
        <v>10</v>
      </c>
      <c r="H60" s="47"/>
      <c r="I60" s="59" t="s">
        <v>146</v>
      </c>
      <c r="J60" s="50" t="n">
        <v>9583.33</v>
      </c>
      <c r="K60" s="50" t="n">
        <f aca="false">J60*G60</f>
        <v>95833.3</v>
      </c>
      <c r="L60" s="59" t="s">
        <v>147</v>
      </c>
      <c r="M60" s="50" t="n">
        <v>9966.67</v>
      </c>
      <c r="N60" s="50" t="n">
        <f aca="false">M60*G60</f>
        <v>99666.7</v>
      </c>
      <c r="O60" s="59" t="s">
        <v>148</v>
      </c>
      <c r="P60" s="50" t="n">
        <v>10254.17</v>
      </c>
      <c r="Q60" s="50" t="n">
        <f aca="false">P60*G60</f>
        <v>102541.7</v>
      </c>
      <c r="R60" s="52" t="n">
        <f aca="false">AVERAGE(J60,M60,P60)</f>
        <v>9934.72333333333</v>
      </c>
      <c r="S60" s="52" t="n">
        <f aca="false">R60*G60</f>
        <v>99347.2333333333</v>
      </c>
      <c r="T60" s="58" t="s">
        <v>167</v>
      </c>
      <c r="U60" s="42" t="n">
        <f aca="false">ROUND(J60*100/R60-100,0)</f>
        <v>-4</v>
      </c>
      <c r="V60" s="42" t="n">
        <f aca="false">ROUND(M60*100/R60-100,0)</f>
        <v>0</v>
      </c>
      <c r="W60" s="42" t="n">
        <f aca="false">ROUND(P60*100/R60-100,0)</f>
        <v>3</v>
      </c>
      <c r="X60" s="55"/>
      <c r="Y60" s="55"/>
      <c r="Z60" s="55"/>
      <c r="AA60" s="55"/>
      <c r="AB60" s="55"/>
      <c r="AC60" s="55"/>
      <c r="AD60" s="55"/>
      <c r="AE60" s="55"/>
      <c r="AM60" s="1"/>
    </row>
    <row r="61" s="90" customFormat="true" ht="57.75" hidden="true" customHeight="true" outlineLevel="0" collapsed="false">
      <c r="A61" s="45"/>
      <c r="B61" s="33" t="n">
        <f aca="false">B60+1</f>
        <v>50</v>
      </c>
      <c r="C61" s="33" t="n">
        <f aca="false">C60+1</f>
        <v>51</v>
      </c>
      <c r="D61" s="33" t="n">
        <f aca="false">D60+1</f>
        <v>49</v>
      </c>
      <c r="E61" s="46" t="s">
        <v>171</v>
      </c>
      <c r="F61" s="46" t="s">
        <v>56</v>
      </c>
      <c r="G61" s="47" t="n">
        <v>2</v>
      </c>
      <c r="H61" s="47"/>
      <c r="I61" s="59" t="s">
        <v>146</v>
      </c>
      <c r="J61" s="50" t="n">
        <v>9583.33</v>
      </c>
      <c r="K61" s="50" t="n">
        <f aca="false">J61*G61</f>
        <v>19166.66</v>
      </c>
      <c r="L61" s="59" t="s">
        <v>147</v>
      </c>
      <c r="M61" s="50" t="n">
        <v>9966.67</v>
      </c>
      <c r="N61" s="50" t="n">
        <f aca="false">M61*G61</f>
        <v>19933.34</v>
      </c>
      <c r="O61" s="59" t="s">
        <v>148</v>
      </c>
      <c r="P61" s="50" t="n">
        <v>10254.17</v>
      </c>
      <c r="Q61" s="50" t="n">
        <f aca="false">P61*G61</f>
        <v>20508.34</v>
      </c>
      <c r="R61" s="52" t="n">
        <f aca="false">AVERAGE(J61,M61,P61)</f>
        <v>9934.72333333333</v>
      </c>
      <c r="S61" s="52" t="n">
        <f aca="false">R61*G61</f>
        <v>19869.4466666667</v>
      </c>
      <c r="T61" s="58" t="s">
        <v>167</v>
      </c>
      <c r="U61" s="42" t="n">
        <f aca="false">ROUND(J61*100/R61-100,0)</f>
        <v>-4</v>
      </c>
      <c r="V61" s="42" t="n">
        <f aca="false">ROUND(M61*100/R61-100,0)</f>
        <v>0</v>
      </c>
      <c r="W61" s="42" t="n">
        <f aca="false">ROUND(P61*100/R61-100,0)</f>
        <v>3</v>
      </c>
      <c r="X61" s="55"/>
      <c r="Y61" s="55"/>
      <c r="Z61" s="55"/>
      <c r="AA61" s="55"/>
      <c r="AB61" s="55"/>
      <c r="AC61" s="55"/>
      <c r="AD61" s="55"/>
      <c r="AE61" s="55"/>
      <c r="AF61" s="43"/>
      <c r="AG61" s="43"/>
      <c r="AH61" s="43"/>
      <c r="AI61" s="43"/>
      <c r="AJ61" s="43"/>
      <c r="AK61" s="43"/>
      <c r="AL61" s="43"/>
      <c r="AM61" s="1"/>
    </row>
    <row r="62" s="90" customFormat="true" ht="57.75" hidden="true" customHeight="true" outlineLevel="0" collapsed="false">
      <c r="A62" s="45"/>
      <c r="B62" s="33" t="n">
        <f aca="false">B61+1</f>
        <v>51</v>
      </c>
      <c r="C62" s="33" t="n">
        <f aca="false">C61+1</f>
        <v>52</v>
      </c>
      <c r="D62" s="33" t="n">
        <f aca="false">D61+1</f>
        <v>50</v>
      </c>
      <c r="E62" s="46" t="s">
        <v>172</v>
      </c>
      <c r="F62" s="46" t="s">
        <v>56</v>
      </c>
      <c r="G62" s="47" t="n">
        <v>6</v>
      </c>
      <c r="H62" s="47"/>
      <c r="I62" s="59" t="s">
        <v>146</v>
      </c>
      <c r="J62" s="50" t="n">
        <v>9583.33</v>
      </c>
      <c r="K62" s="50" t="n">
        <f aca="false">J62*G62</f>
        <v>57499.98</v>
      </c>
      <c r="L62" s="59" t="s">
        <v>147</v>
      </c>
      <c r="M62" s="50" t="n">
        <v>9966.67</v>
      </c>
      <c r="N62" s="50" t="n">
        <f aca="false">M62*G62</f>
        <v>59800.02</v>
      </c>
      <c r="O62" s="59" t="s">
        <v>148</v>
      </c>
      <c r="P62" s="50" t="n">
        <v>10254.17</v>
      </c>
      <c r="Q62" s="50" t="n">
        <f aca="false">P62*G62</f>
        <v>61525.02</v>
      </c>
      <c r="R62" s="52" t="n">
        <f aca="false">AVERAGE(J62,M62,P62)</f>
        <v>9934.72333333333</v>
      </c>
      <c r="S62" s="52" t="n">
        <f aca="false">R62*G62</f>
        <v>59608.34</v>
      </c>
      <c r="T62" s="58" t="s">
        <v>167</v>
      </c>
      <c r="U62" s="42" t="n">
        <f aca="false">ROUND(J62*100/R62-100,0)</f>
        <v>-4</v>
      </c>
      <c r="V62" s="42" t="n">
        <f aca="false">ROUND(M62*100/R62-100,0)</f>
        <v>0</v>
      </c>
      <c r="W62" s="42" t="n">
        <f aca="false">ROUND(P62*100/R62-100,0)</f>
        <v>3</v>
      </c>
      <c r="X62" s="55"/>
      <c r="Y62" s="55"/>
      <c r="Z62" s="55"/>
      <c r="AA62" s="55"/>
      <c r="AB62" s="55"/>
      <c r="AC62" s="55"/>
      <c r="AD62" s="55"/>
      <c r="AE62" s="55"/>
      <c r="AF62" s="43"/>
      <c r="AG62" s="43"/>
      <c r="AH62" s="43"/>
      <c r="AI62" s="43"/>
      <c r="AJ62" s="43"/>
      <c r="AK62" s="43"/>
      <c r="AL62" s="43"/>
      <c r="AM62" s="1"/>
    </row>
    <row r="63" s="43" customFormat="true" ht="57.75" hidden="true" customHeight="true" outlineLevel="0" collapsed="false">
      <c r="A63" s="45"/>
      <c r="B63" s="33" t="n">
        <f aca="false">B62+1</f>
        <v>52</v>
      </c>
      <c r="C63" s="33" t="n">
        <f aca="false">C62+1</f>
        <v>53</v>
      </c>
      <c r="D63" s="33" t="n">
        <f aca="false">D62+1</f>
        <v>51</v>
      </c>
      <c r="E63" s="46" t="s">
        <v>173</v>
      </c>
      <c r="F63" s="46" t="s">
        <v>56</v>
      </c>
      <c r="G63" s="47" t="n">
        <v>9</v>
      </c>
      <c r="H63" s="47"/>
      <c r="I63" s="59" t="s">
        <v>146</v>
      </c>
      <c r="J63" s="50" t="n">
        <v>9083.33</v>
      </c>
      <c r="K63" s="50" t="n">
        <f aca="false">J63*G63</f>
        <v>81749.97</v>
      </c>
      <c r="L63" s="59" t="s">
        <v>147</v>
      </c>
      <c r="M63" s="50" t="n">
        <v>9446.67</v>
      </c>
      <c r="N63" s="50" t="n">
        <f aca="false">M63*G63</f>
        <v>85020.03</v>
      </c>
      <c r="O63" s="59" t="s">
        <v>148</v>
      </c>
      <c r="P63" s="50" t="n">
        <v>9719.17</v>
      </c>
      <c r="Q63" s="50" t="n">
        <f aca="false">P63*G63</f>
        <v>87472.53</v>
      </c>
      <c r="R63" s="52" t="n">
        <f aca="false">AVERAGE(J63,M63,P63)</f>
        <v>9416.39</v>
      </c>
      <c r="S63" s="52" t="n">
        <f aca="false">R63*G63</f>
        <v>84747.51</v>
      </c>
      <c r="T63" s="58" t="s">
        <v>167</v>
      </c>
      <c r="U63" s="42" t="n">
        <f aca="false">ROUND(J63*100/R63-100,0)</f>
        <v>-4</v>
      </c>
      <c r="V63" s="42" t="n">
        <f aca="false">ROUND(M63*100/R63-100,0)</f>
        <v>0</v>
      </c>
      <c r="W63" s="42" t="n">
        <f aca="false">ROUND(P63*100/R63-100,0)</f>
        <v>3</v>
      </c>
      <c r="X63" s="55"/>
      <c r="Y63" s="55"/>
      <c r="Z63" s="55"/>
      <c r="AA63" s="55"/>
      <c r="AB63" s="55"/>
      <c r="AC63" s="55"/>
      <c r="AD63" s="55"/>
      <c r="AE63" s="55"/>
      <c r="AM63" s="1"/>
    </row>
    <row r="64" s="43" customFormat="true" ht="57.75" hidden="true" customHeight="true" outlineLevel="0" collapsed="false">
      <c r="A64" s="91"/>
      <c r="B64" s="33" t="n">
        <f aca="false">B63+1</f>
        <v>53</v>
      </c>
      <c r="C64" s="33" t="n">
        <f aca="false">C63+1</f>
        <v>54</v>
      </c>
      <c r="D64" s="33" t="n">
        <f aca="false">D63+1</f>
        <v>52</v>
      </c>
      <c r="E64" s="46" t="s">
        <v>174</v>
      </c>
      <c r="F64" s="46" t="s">
        <v>56</v>
      </c>
      <c r="G64" s="47" t="n">
        <v>2</v>
      </c>
      <c r="H64" s="47"/>
      <c r="I64" s="59" t="s">
        <v>146</v>
      </c>
      <c r="J64" s="50" t="n">
        <v>9583.33</v>
      </c>
      <c r="K64" s="50" t="n">
        <f aca="false">J64*G64</f>
        <v>19166.66</v>
      </c>
      <c r="L64" s="59" t="s">
        <v>147</v>
      </c>
      <c r="M64" s="50" t="n">
        <v>9966.67</v>
      </c>
      <c r="N64" s="50" t="n">
        <f aca="false">M64*G64</f>
        <v>19933.34</v>
      </c>
      <c r="O64" s="59" t="s">
        <v>148</v>
      </c>
      <c r="P64" s="50" t="n">
        <v>10254.17</v>
      </c>
      <c r="Q64" s="50" t="n">
        <f aca="false">P64*G64</f>
        <v>20508.34</v>
      </c>
      <c r="R64" s="52" t="n">
        <f aca="false">AVERAGE(J64,M64,P64)</f>
        <v>9934.72333333333</v>
      </c>
      <c r="S64" s="52" t="n">
        <f aca="false">R64*G64</f>
        <v>19869.4466666667</v>
      </c>
      <c r="T64" s="58" t="s">
        <v>167</v>
      </c>
      <c r="U64" s="42" t="n">
        <f aca="false">ROUND(J64*100/R64-100,0)</f>
        <v>-4</v>
      </c>
      <c r="V64" s="42" t="n">
        <f aca="false">ROUND(M64*100/R64-100,0)</f>
        <v>0</v>
      </c>
      <c r="W64" s="42" t="n">
        <f aca="false">ROUND(P64*100/R64-100,0)</f>
        <v>3</v>
      </c>
      <c r="X64" s="55"/>
      <c r="Y64" s="55"/>
      <c r="Z64" s="55"/>
      <c r="AA64" s="55"/>
      <c r="AB64" s="55"/>
      <c r="AC64" s="55"/>
      <c r="AD64" s="55"/>
      <c r="AE64" s="55"/>
      <c r="AM64" s="1"/>
    </row>
    <row r="65" s="43" customFormat="true" ht="57.75" hidden="true" customHeight="true" outlineLevel="0" collapsed="false">
      <c r="A65" s="91"/>
      <c r="B65" s="33" t="n">
        <f aca="false">B64+1</f>
        <v>54</v>
      </c>
      <c r="C65" s="33" t="n">
        <f aca="false">C64+1</f>
        <v>55</v>
      </c>
      <c r="D65" s="33" t="n">
        <f aca="false">D64+1</f>
        <v>53</v>
      </c>
      <c r="E65" s="46" t="s">
        <v>175</v>
      </c>
      <c r="F65" s="46" t="s">
        <v>56</v>
      </c>
      <c r="G65" s="47" t="n">
        <f aca="false">24</f>
        <v>24</v>
      </c>
      <c r="H65" s="47"/>
      <c r="I65" s="59" t="s">
        <v>37</v>
      </c>
      <c r="J65" s="50" t="n">
        <v>1100</v>
      </c>
      <c r="K65" s="50" t="n">
        <f aca="false">J65*G65</f>
        <v>26400</v>
      </c>
      <c r="L65" s="59" t="s">
        <v>176</v>
      </c>
      <c r="M65" s="50" t="n">
        <v>1250</v>
      </c>
      <c r="N65" s="50" t="n">
        <f aca="false">M65*G65</f>
        <v>30000</v>
      </c>
      <c r="O65" s="56"/>
      <c r="P65" s="50"/>
      <c r="Q65" s="50" t="n">
        <f aca="false">P65*G65</f>
        <v>0</v>
      </c>
      <c r="R65" s="52" t="n">
        <f aca="false">AVERAGE(J65,M65,P65)</f>
        <v>1175</v>
      </c>
      <c r="S65" s="52" t="n">
        <f aca="false">R65*G65</f>
        <v>28200</v>
      </c>
      <c r="T65" s="58" t="s">
        <v>167</v>
      </c>
      <c r="U65" s="42" t="n">
        <f aca="false">ROUND(J65*100/R65-100,0)</f>
        <v>-6</v>
      </c>
      <c r="V65" s="42" t="n">
        <f aca="false">ROUND(M65*100/R65-100,0)</f>
        <v>6</v>
      </c>
      <c r="W65" s="42" t="n">
        <f aca="false">ROUND(P65*100/R65-100,0)</f>
        <v>-100</v>
      </c>
      <c r="X65" s="55"/>
      <c r="Y65" s="55"/>
      <c r="Z65" s="55"/>
      <c r="AA65" s="55"/>
      <c r="AB65" s="55"/>
      <c r="AC65" s="55"/>
      <c r="AD65" s="55"/>
      <c r="AE65" s="55"/>
      <c r="AM65" s="1"/>
    </row>
    <row r="66" s="43" customFormat="true" ht="57.75" hidden="true" customHeight="true" outlineLevel="0" collapsed="false">
      <c r="A66" s="91"/>
      <c r="B66" s="33" t="n">
        <f aca="false">B65+1</f>
        <v>55</v>
      </c>
      <c r="C66" s="33" t="n">
        <f aca="false">C65+1</f>
        <v>56</v>
      </c>
      <c r="D66" s="33" t="n">
        <f aca="false">D65+1</f>
        <v>54</v>
      </c>
      <c r="E66" s="46" t="s">
        <v>177</v>
      </c>
      <c r="F66" s="46" t="s">
        <v>56</v>
      </c>
      <c r="G66" s="47" t="n">
        <v>5</v>
      </c>
      <c r="H66" s="47"/>
      <c r="I66" s="59" t="s">
        <v>146</v>
      </c>
      <c r="J66" s="50" t="n">
        <v>9583.33</v>
      </c>
      <c r="K66" s="50" t="n">
        <f aca="false">J66*G66</f>
        <v>47916.65</v>
      </c>
      <c r="L66" s="59" t="s">
        <v>147</v>
      </c>
      <c r="M66" s="50" t="n">
        <v>9966.67</v>
      </c>
      <c r="N66" s="50" t="n">
        <f aca="false">M66*G66</f>
        <v>49833.35</v>
      </c>
      <c r="O66" s="59" t="s">
        <v>148</v>
      </c>
      <c r="P66" s="50" t="n">
        <v>10254.17</v>
      </c>
      <c r="Q66" s="50" t="n">
        <f aca="false">P66*G66</f>
        <v>51270.85</v>
      </c>
      <c r="R66" s="52" t="n">
        <f aca="false">AVERAGE(J66,M66,P66)</f>
        <v>9934.72333333333</v>
      </c>
      <c r="S66" s="52" t="n">
        <f aca="false">R66*G66</f>
        <v>49673.6166666667</v>
      </c>
      <c r="T66" s="58" t="s">
        <v>167</v>
      </c>
      <c r="U66" s="42" t="n">
        <f aca="false">ROUND(J66*100/R66-100,0)</f>
        <v>-4</v>
      </c>
      <c r="V66" s="42" t="n">
        <f aca="false">ROUND(M66*100/R66-100,0)</f>
        <v>0</v>
      </c>
      <c r="W66" s="42" t="n">
        <f aca="false">ROUND(P66*100/R66-100,0)</f>
        <v>3</v>
      </c>
      <c r="X66" s="55"/>
      <c r="Y66" s="55"/>
      <c r="Z66" s="55"/>
      <c r="AA66" s="55"/>
      <c r="AB66" s="55"/>
      <c r="AC66" s="55"/>
      <c r="AD66" s="55"/>
      <c r="AE66" s="55"/>
      <c r="AM66" s="1"/>
    </row>
    <row r="67" s="43" customFormat="true" ht="60.75" hidden="true" customHeight="true" outlineLevel="0" collapsed="false">
      <c r="A67" s="92" t="n">
        <v>103</v>
      </c>
      <c r="B67" s="93" t="n">
        <f aca="false">B66+1</f>
        <v>56</v>
      </c>
      <c r="C67" s="93" t="n">
        <f aca="false">C66+1</f>
        <v>57</v>
      </c>
      <c r="D67" s="93" t="n">
        <f aca="false">D66+1</f>
        <v>55</v>
      </c>
      <c r="E67" s="94" t="s">
        <v>178</v>
      </c>
      <c r="F67" s="94" t="s">
        <v>56</v>
      </c>
      <c r="G67" s="95" t="n">
        <f aca="false">2</f>
        <v>2</v>
      </c>
      <c r="H67" s="95"/>
      <c r="I67" s="96" t="s">
        <v>179</v>
      </c>
      <c r="J67" s="97" t="n">
        <v>90895.43</v>
      </c>
      <c r="K67" s="97" t="n">
        <f aca="false">J67*G67</f>
        <v>181790.86</v>
      </c>
      <c r="L67" s="66" t="s">
        <v>180</v>
      </c>
      <c r="M67" s="67" t="n">
        <v>91125</v>
      </c>
      <c r="N67" s="67" t="n">
        <f aca="false">M67*G67</f>
        <v>182250</v>
      </c>
      <c r="O67" s="98" t="s">
        <v>181</v>
      </c>
      <c r="P67" s="97" t="n">
        <v>91745.73</v>
      </c>
      <c r="Q67" s="97" t="n">
        <f aca="false">P67*G67</f>
        <v>183491.46</v>
      </c>
      <c r="R67" s="99" t="n">
        <f aca="false">AVERAGE(J67,M67,P67)</f>
        <v>91255.3866666667</v>
      </c>
      <c r="S67" s="99" t="n">
        <f aca="false">R67*G67</f>
        <v>182510.773333333</v>
      </c>
      <c r="T67" s="100"/>
      <c r="U67" s="101" t="n">
        <f aca="false">ROUND(J67*100/R67-100,0)</f>
        <v>-0</v>
      </c>
      <c r="V67" s="101" t="n">
        <f aca="false">ROUND(M67*100/R67-100,0)</f>
        <v>-0</v>
      </c>
      <c r="W67" s="101" t="n">
        <f aca="false">ROUND(P67*100/R67-100,0)</f>
        <v>1</v>
      </c>
      <c r="X67" s="102"/>
      <c r="Y67" s="102"/>
      <c r="Z67" s="102"/>
      <c r="AA67" s="102"/>
      <c r="AB67" s="102"/>
      <c r="AC67" s="102"/>
      <c r="AD67" s="102"/>
      <c r="AE67" s="102"/>
      <c r="AF67" s="103"/>
      <c r="AG67" s="103"/>
      <c r="AH67" s="103"/>
      <c r="AI67" s="103"/>
      <c r="AJ67" s="103"/>
      <c r="AK67" s="103"/>
      <c r="AL67" s="103"/>
      <c r="AM67" s="104"/>
    </row>
    <row r="68" s="103" customFormat="true" ht="44.25" hidden="true" customHeight="true" outlineLevel="0" collapsed="false">
      <c r="A68" s="92" t="n">
        <v>104</v>
      </c>
      <c r="B68" s="93" t="n">
        <f aca="false">B67+1</f>
        <v>57</v>
      </c>
      <c r="C68" s="93" t="n">
        <f aca="false">C67+1</f>
        <v>58</v>
      </c>
      <c r="D68" s="93" t="n">
        <f aca="false">D67+1</f>
        <v>56</v>
      </c>
      <c r="E68" s="94" t="s">
        <v>182</v>
      </c>
      <c r="F68" s="94" t="s">
        <v>44</v>
      </c>
      <c r="G68" s="95" t="n">
        <f aca="false">2</f>
        <v>2</v>
      </c>
      <c r="H68" s="95"/>
      <c r="I68" s="96" t="s">
        <v>179</v>
      </c>
      <c r="J68" s="97" t="n">
        <v>106725.75</v>
      </c>
      <c r="K68" s="97" t="n">
        <f aca="false">J68*G68</f>
        <v>213451.5</v>
      </c>
      <c r="L68" s="66" t="s">
        <v>180</v>
      </c>
      <c r="M68" s="67" t="n">
        <v>106515</v>
      </c>
      <c r="N68" s="67" t="n">
        <f aca="false">M68*G68</f>
        <v>213030</v>
      </c>
      <c r="O68" s="98" t="s">
        <v>181</v>
      </c>
      <c r="P68" s="97" t="n">
        <v>111693.94</v>
      </c>
      <c r="Q68" s="97" t="n">
        <f aca="false">P68*G68</f>
        <v>223387.88</v>
      </c>
      <c r="R68" s="99" t="n">
        <f aca="false">AVERAGE(J68,M68,P68)</f>
        <v>108311.563333333</v>
      </c>
      <c r="S68" s="99" t="n">
        <f aca="false">R68*G68</f>
        <v>216623.126666667</v>
      </c>
      <c r="T68" s="100"/>
      <c r="U68" s="101" t="n">
        <f aca="false">ROUND(J68*100/R68-100,0)</f>
        <v>-1</v>
      </c>
      <c r="V68" s="101" t="n">
        <f aca="false">ROUND(M68*100/R68-100,0)</f>
        <v>-2</v>
      </c>
      <c r="W68" s="101" t="n">
        <f aca="false">ROUND(P68*100/R68-100,0)</f>
        <v>3</v>
      </c>
      <c r="X68" s="102"/>
      <c r="Y68" s="102"/>
      <c r="Z68" s="102"/>
      <c r="AA68" s="102"/>
      <c r="AB68" s="102"/>
      <c r="AC68" s="102"/>
      <c r="AD68" s="102"/>
      <c r="AE68" s="102"/>
      <c r="AM68" s="104"/>
    </row>
    <row r="69" s="103" customFormat="true" ht="44.25" hidden="true" customHeight="true" outlineLevel="0" collapsed="false">
      <c r="A69" s="92" t="n">
        <v>105</v>
      </c>
      <c r="B69" s="93" t="n">
        <f aca="false">B68+1</f>
        <v>58</v>
      </c>
      <c r="C69" s="93" t="n">
        <f aca="false">C68+1</f>
        <v>59</v>
      </c>
      <c r="D69" s="93" t="n">
        <f aca="false">D68+1</f>
        <v>57</v>
      </c>
      <c r="E69" s="94" t="s">
        <v>183</v>
      </c>
      <c r="F69" s="94" t="s">
        <v>56</v>
      </c>
      <c r="G69" s="95" t="n">
        <f aca="false">2+1</f>
        <v>3</v>
      </c>
      <c r="H69" s="95"/>
      <c r="I69" s="96" t="s">
        <v>179</v>
      </c>
      <c r="J69" s="97" t="n">
        <v>145607.25</v>
      </c>
      <c r="K69" s="97" t="n">
        <f aca="false">J69*G69</f>
        <v>436821.75</v>
      </c>
      <c r="L69" s="66" t="s">
        <v>180</v>
      </c>
      <c r="M69" s="67" t="n">
        <v>144711</v>
      </c>
      <c r="N69" s="67" t="n">
        <f aca="false">M69*G69</f>
        <v>434133</v>
      </c>
      <c r="O69" s="98" t="s">
        <v>181</v>
      </c>
      <c r="P69" s="97" t="n">
        <v>147190.22</v>
      </c>
      <c r="Q69" s="97" t="n">
        <f aca="false">P69*G69</f>
        <v>441570.66</v>
      </c>
      <c r="R69" s="99" t="n">
        <f aca="false">AVERAGE(J69,M69,P69)</f>
        <v>145836.156666667</v>
      </c>
      <c r="S69" s="99" t="n">
        <f aca="false">R69*G69</f>
        <v>437508.47</v>
      </c>
      <c r="T69" s="100"/>
      <c r="U69" s="101" t="n">
        <f aca="false">ROUND(J69*100/R69-100,0)</f>
        <v>-0</v>
      </c>
      <c r="V69" s="101" t="n">
        <f aca="false">ROUND(M69*100/R69-100,0)</f>
        <v>-1</v>
      </c>
      <c r="W69" s="101" t="n">
        <f aca="false">ROUND(P69*100/R69-100,0)</f>
        <v>1</v>
      </c>
      <c r="X69" s="105"/>
      <c r="Y69" s="106"/>
      <c r="Z69" s="105"/>
      <c r="AA69" s="102"/>
      <c r="AB69" s="102"/>
      <c r="AC69" s="107"/>
      <c r="AD69" s="102"/>
      <c r="AE69" s="102"/>
      <c r="AM69" s="104"/>
    </row>
    <row r="70" s="103" customFormat="true" ht="44.25" hidden="true" customHeight="true" outlineLevel="0" collapsed="false">
      <c r="A70" s="91"/>
      <c r="B70" s="33" t="n">
        <f aca="false">B69+1</f>
        <v>59</v>
      </c>
      <c r="C70" s="33" t="n">
        <f aca="false">C69+1</f>
        <v>60</v>
      </c>
      <c r="D70" s="33" t="n">
        <f aca="false">D69+1</f>
        <v>58</v>
      </c>
      <c r="E70" s="46" t="s">
        <v>184</v>
      </c>
      <c r="F70" s="46" t="s">
        <v>56</v>
      </c>
      <c r="G70" s="47" t="n">
        <v>5</v>
      </c>
      <c r="H70" s="47"/>
      <c r="I70" s="57" t="s">
        <v>185</v>
      </c>
      <c r="J70" s="50" t="n">
        <v>146.72</v>
      </c>
      <c r="K70" s="50" t="n">
        <f aca="false">J70*G70</f>
        <v>733.6</v>
      </c>
      <c r="L70" s="57" t="s">
        <v>186</v>
      </c>
      <c r="M70" s="50" t="n">
        <v>122.5</v>
      </c>
      <c r="N70" s="50" t="n">
        <f aca="false">M70*G70</f>
        <v>612.5</v>
      </c>
      <c r="O70" s="57" t="s">
        <v>187</v>
      </c>
      <c r="P70" s="50" t="n">
        <v>132.5</v>
      </c>
      <c r="Q70" s="50" t="n">
        <f aca="false">P70*G70</f>
        <v>662.5</v>
      </c>
      <c r="R70" s="52" t="n">
        <f aca="false">AVERAGE(J70,M70,P70)</f>
        <v>133.906666666667</v>
      </c>
      <c r="S70" s="52" t="n">
        <f aca="false">R70*G70</f>
        <v>669.533333333333</v>
      </c>
      <c r="T70" s="58"/>
      <c r="U70" s="42" t="n">
        <f aca="false">ROUND(J70*100/R70-100,0)</f>
        <v>10</v>
      </c>
      <c r="V70" s="42" t="n">
        <f aca="false">ROUND(M70*100/R70-100,0)</f>
        <v>-9</v>
      </c>
      <c r="W70" s="42" t="n">
        <f aca="false">ROUND(P70*100/R70-100,0)</f>
        <v>-1</v>
      </c>
      <c r="X70" s="54"/>
      <c r="Y70" s="108"/>
      <c r="Z70" s="54"/>
      <c r="AA70" s="55"/>
      <c r="AB70" s="55"/>
      <c r="AC70" s="109"/>
      <c r="AD70" s="55"/>
      <c r="AE70" s="55"/>
      <c r="AF70" s="43"/>
      <c r="AG70" s="43"/>
      <c r="AH70" s="43"/>
      <c r="AI70" s="43"/>
      <c r="AJ70" s="43"/>
      <c r="AK70" s="43"/>
      <c r="AL70" s="43"/>
      <c r="AM70" s="1"/>
    </row>
    <row r="71" s="43" customFormat="true" ht="44.25" hidden="true" customHeight="true" outlineLevel="0" collapsed="false">
      <c r="A71" s="91"/>
      <c r="B71" s="33" t="n">
        <f aca="false">B70+1</f>
        <v>60</v>
      </c>
      <c r="C71" s="33" t="n">
        <f aca="false">C70+1</f>
        <v>61</v>
      </c>
      <c r="D71" s="33" t="n">
        <f aca="false">D70+1</f>
        <v>59</v>
      </c>
      <c r="E71" s="46" t="s">
        <v>188</v>
      </c>
      <c r="F71" s="46" t="s">
        <v>56</v>
      </c>
      <c r="G71" s="47" t="n">
        <f aca="false">12</f>
        <v>12</v>
      </c>
      <c r="H71" s="47"/>
      <c r="I71" s="57" t="s">
        <v>189</v>
      </c>
      <c r="J71" s="50" t="n">
        <v>3308.33</v>
      </c>
      <c r="K71" s="50" t="n">
        <f aca="false">J71*G71</f>
        <v>39699.96</v>
      </c>
      <c r="L71" s="57" t="s">
        <v>190</v>
      </c>
      <c r="M71" s="50" t="n">
        <v>3708.33</v>
      </c>
      <c r="N71" s="50" t="n">
        <f aca="false">M71*G71</f>
        <v>44499.96</v>
      </c>
      <c r="O71" s="57" t="s">
        <v>191</v>
      </c>
      <c r="P71" s="50" t="n">
        <v>3633.33</v>
      </c>
      <c r="Q71" s="50" t="n">
        <f aca="false">P71*G71</f>
        <v>43599.96</v>
      </c>
      <c r="R71" s="52" t="n">
        <f aca="false">AVERAGE(J71,M71,P71)</f>
        <v>3549.99666666667</v>
      </c>
      <c r="S71" s="52" t="n">
        <f aca="false">R71*G71</f>
        <v>42599.96</v>
      </c>
      <c r="T71" s="58"/>
      <c r="U71" s="42" t="n">
        <f aca="false">ROUND(J71*100/R71-100,0)</f>
        <v>-7</v>
      </c>
      <c r="V71" s="42" t="n">
        <f aca="false">ROUND(M71*100/R71-100,0)</f>
        <v>4</v>
      </c>
      <c r="W71" s="42" t="n">
        <f aca="false">ROUND(P71*100/R71-100,0)</f>
        <v>2</v>
      </c>
      <c r="X71" s="54"/>
      <c r="Y71" s="108"/>
      <c r="Z71" s="54"/>
      <c r="AA71" s="55"/>
      <c r="AB71" s="55"/>
      <c r="AC71" s="109"/>
      <c r="AD71" s="55"/>
      <c r="AE71" s="55"/>
      <c r="AM71" s="1"/>
    </row>
    <row r="72" s="43" customFormat="true" ht="44.25" hidden="true" customHeight="true" outlineLevel="0" collapsed="false">
      <c r="A72" s="91"/>
      <c r="B72" s="33" t="n">
        <f aca="false">B71+1</f>
        <v>61</v>
      </c>
      <c r="C72" s="33" t="n">
        <f aca="false">C71+1</f>
        <v>62</v>
      </c>
      <c r="D72" s="33" t="n">
        <f aca="false">D71+1</f>
        <v>60</v>
      </c>
      <c r="E72" s="46" t="s">
        <v>192</v>
      </c>
      <c r="F72" s="46" t="s">
        <v>150</v>
      </c>
      <c r="G72" s="47" t="n">
        <f aca="false">66</f>
        <v>66</v>
      </c>
      <c r="H72" s="47"/>
      <c r="I72" s="57" t="s">
        <v>193</v>
      </c>
      <c r="J72" s="50" t="n">
        <v>383.33</v>
      </c>
      <c r="K72" s="50" t="n">
        <f aca="false">J72*G72</f>
        <v>25299.78</v>
      </c>
      <c r="L72" s="57" t="s">
        <v>194</v>
      </c>
      <c r="M72" s="50" t="n">
        <v>309.17</v>
      </c>
      <c r="N72" s="50" t="n">
        <f aca="false">M72*G72</f>
        <v>20405.22</v>
      </c>
      <c r="O72" s="57" t="s">
        <v>195</v>
      </c>
      <c r="P72" s="50" t="n">
        <v>366.67</v>
      </c>
      <c r="Q72" s="50" t="n">
        <f aca="false">P72*G72</f>
        <v>24200.22</v>
      </c>
      <c r="R72" s="52" t="n">
        <f aca="false">AVERAGE(J72,M72,P72)</f>
        <v>353.056666666667</v>
      </c>
      <c r="S72" s="52" t="n">
        <f aca="false">R72*G72</f>
        <v>23301.74</v>
      </c>
      <c r="T72" s="58"/>
      <c r="U72" s="42" t="n">
        <f aca="false">ROUND(J72*100/R72-100,0)</f>
        <v>9</v>
      </c>
      <c r="V72" s="42" t="n">
        <f aca="false">ROUND(M72*100/R72-100,0)</f>
        <v>-12</v>
      </c>
      <c r="W72" s="42" t="n">
        <f aca="false">ROUND(P72*100/R72-100,0)</f>
        <v>4</v>
      </c>
      <c r="X72" s="54"/>
      <c r="Y72" s="108"/>
      <c r="Z72" s="54"/>
      <c r="AA72" s="55"/>
      <c r="AB72" s="55"/>
      <c r="AC72" s="109"/>
      <c r="AD72" s="55"/>
      <c r="AE72" s="55"/>
      <c r="AM72" s="1"/>
    </row>
    <row r="73" s="43" customFormat="true" ht="44.25" hidden="true" customHeight="true" outlineLevel="0" collapsed="false">
      <c r="A73" s="91"/>
      <c r="B73" s="33" t="n">
        <f aca="false">B72+1</f>
        <v>62</v>
      </c>
      <c r="C73" s="33" t="n">
        <f aca="false">C72+1</f>
        <v>63</v>
      </c>
      <c r="D73" s="33" t="n">
        <f aca="false">D72+1</f>
        <v>61</v>
      </c>
      <c r="E73" s="46" t="s">
        <v>196</v>
      </c>
      <c r="F73" s="46" t="s">
        <v>56</v>
      </c>
      <c r="G73" s="47" t="n">
        <f aca="false">1+1</f>
        <v>2</v>
      </c>
      <c r="H73" s="47"/>
      <c r="I73" s="56" t="s">
        <v>197</v>
      </c>
      <c r="J73" s="50" t="n">
        <v>2498.07</v>
      </c>
      <c r="K73" s="50" t="n">
        <f aca="false">J73*G73</f>
        <v>4996.14</v>
      </c>
      <c r="L73" s="57" t="s">
        <v>198</v>
      </c>
      <c r="M73" s="50" t="n">
        <v>2541.67</v>
      </c>
      <c r="N73" s="50" t="n">
        <f aca="false">M73*G73</f>
        <v>5083.34</v>
      </c>
      <c r="O73" s="57" t="s">
        <v>199</v>
      </c>
      <c r="P73" s="50" t="n">
        <v>3231.85</v>
      </c>
      <c r="Q73" s="50" t="n">
        <f aca="false">P73*G73</f>
        <v>6463.7</v>
      </c>
      <c r="R73" s="52" t="n">
        <f aca="false">AVERAGE(J73,M73,P73)</f>
        <v>2757.19666666667</v>
      </c>
      <c r="S73" s="52" t="n">
        <f aca="false">R73*G73</f>
        <v>5514.39333333333</v>
      </c>
      <c r="T73" s="58"/>
      <c r="U73" s="42" t="n">
        <f aca="false">ROUND(J73*100/R73-100,0)</f>
        <v>-9</v>
      </c>
      <c r="V73" s="42" t="n">
        <f aca="false">ROUND(M73*100/R73-100,0)</f>
        <v>-8</v>
      </c>
      <c r="W73" s="42" t="n">
        <f aca="false">ROUND(P73*100/R73-100,0)</f>
        <v>17</v>
      </c>
      <c r="X73" s="54"/>
      <c r="Y73" s="108"/>
      <c r="Z73" s="54"/>
      <c r="AA73" s="55"/>
      <c r="AB73" s="55"/>
      <c r="AC73" s="109"/>
      <c r="AD73" s="55"/>
      <c r="AE73" s="55"/>
      <c r="AM73" s="1"/>
    </row>
    <row r="74" s="43" customFormat="true" ht="44.25" hidden="true" customHeight="true" outlineLevel="0" collapsed="false">
      <c r="A74" s="91"/>
      <c r="B74" s="33" t="n">
        <f aca="false">B73+1</f>
        <v>63</v>
      </c>
      <c r="C74" s="33" t="n">
        <f aca="false">C73+1</f>
        <v>64</v>
      </c>
      <c r="D74" s="33" t="n">
        <f aca="false">D73+1</f>
        <v>62</v>
      </c>
      <c r="E74" s="46" t="s">
        <v>200</v>
      </c>
      <c r="F74" s="46" t="s">
        <v>31</v>
      </c>
      <c r="G74" s="47" t="n">
        <v>8100</v>
      </c>
      <c r="H74" s="47"/>
      <c r="I74" s="59" t="s">
        <v>201</v>
      </c>
      <c r="J74" s="50" t="n">
        <v>186.17</v>
      </c>
      <c r="K74" s="50" t="n">
        <f aca="false">J74*G74</f>
        <v>1507977</v>
      </c>
      <c r="L74" s="48" t="s">
        <v>202</v>
      </c>
      <c r="M74" s="50" t="n">
        <v>159.17</v>
      </c>
      <c r="N74" s="50" t="n">
        <f aca="false">M74*G74</f>
        <v>1289277</v>
      </c>
      <c r="O74" s="78" t="s">
        <v>203</v>
      </c>
      <c r="P74" s="50" t="n">
        <v>157.5</v>
      </c>
      <c r="Q74" s="50" t="n">
        <f aca="false">P74*G74</f>
        <v>1275750</v>
      </c>
      <c r="R74" s="52" t="n">
        <f aca="false">AVERAGE(J74,M74,P74)</f>
        <v>167.613333333333</v>
      </c>
      <c r="S74" s="52" t="n">
        <f aca="false">R74*G74</f>
        <v>1357668</v>
      </c>
      <c r="T74" s="58"/>
      <c r="U74" s="42" t="n">
        <f aca="false">ROUND(J74*100/R74-100,0)</f>
        <v>11</v>
      </c>
      <c r="V74" s="42" t="n">
        <f aca="false">ROUND(M74*100/R74-100,0)</f>
        <v>-5</v>
      </c>
      <c r="W74" s="42" t="n">
        <f aca="false">ROUND(P74*100/R74-100,0)</f>
        <v>-6</v>
      </c>
      <c r="X74" s="54"/>
      <c r="Y74" s="108"/>
      <c r="Z74" s="54"/>
      <c r="AA74" s="55"/>
      <c r="AB74" s="55"/>
      <c r="AC74" s="109"/>
      <c r="AD74" s="55"/>
      <c r="AE74" s="55"/>
      <c r="AM74" s="1"/>
    </row>
    <row r="75" s="43" customFormat="true" ht="63" hidden="true" customHeight="true" outlineLevel="0" collapsed="false">
      <c r="A75" s="91"/>
      <c r="B75" s="33" t="n">
        <f aca="false">B74+1</f>
        <v>64</v>
      </c>
      <c r="C75" s="33" t="n">
        <f aca="false">C74+1</f>
        <v>65</v>
      </c>
      <c r="D75" s="33" t="n">
        <f aca="false">D74+1</f>
        <v>63</v>
      </c>
      <c r="E75" s="110" t="s">
        <v>204</v>
      </c>
      <c r="F75" s="110" t="s">
        <v>56</v>
      </c>
      <c r="G75" s="111" t="n">
        <v>1</v>
      </c>
      <c r="H75" s="111"/>
      <c r="I75" s="59" t="s">
        <v>205</v>
      </c>
      <c r="J75" s="50" t="n">
        <f aca="false">1273050/1.2</f>
        <v>1060875</v>
      </c>
      <c r="K75" s="50" t="n">
        <f aca="false">J75*G75</f>
        <v>1060875</v>
      </c>
      <c r="L75" s="48"/>
      <c r="M75" s="50"/>
      <c r="N75" s="50"/>
      <c r="O75" s="78"/>
      <c r="P75" s="50"/>
      <c r="Q75" s="50"/>
      <c r="R75" s="52" t="n">
        <f aca="false">AVERAGE(J75,M75,P75)</f>
        <v>1060875</v>
      </c>
      <c r="S75" s="52" t="n">
        <f aca="false">R75*G75</f>
        <v>1060875</v>
      </c>
      <c r="T75" s="58" t="s">
        <v>206</v>
      </c>
      <c r="U75" s="42" t="n">
        <f aca="false">ROUND(J75*100/R75-100,0)</f>
        <v>0</v>
      </c>
      <c r="V75" s="42" t="n">
        <f aca="false">ROUND(M75*100/R75-100,0)</f>
        <v>-100</v>
      </c>
      <c r="W75" s="42" t="n">
        <f aca="false">ROUND(P75*100/R75-100,0)</f>
        <v>-100</v>
      </c>
      <c r="X75" s="54"/>
      <c r="Y75" s="108"/>
      <c r="Z75" s="54"/>
      <c r="AA75" s="55"/>
      <c r="AB75" s="55"/>
      <c r="AC75" s="109"/>
      <c r="AD75" s="55"/>
      <c r="AE75" s="55"/>
      <c r="AM75" s="1"/>
    </row>
    <row r="76" s="43" customFormat="true" ht="65.25" hidden="true" customHeight="true" outlineLevel="0" collapsed="false">
      <c r="A76" s="91"/>
      <c r="B76" s="33" t="n">
        <f aca="false">B75+1</f>
        <v>65</v>
      </c>
      <c r="C76" s="33" t="n">
        <f aca="false">C75+1</f>
        <v>66</v>
      </c>
      <c r="D76" s="33" t="n">
        <f aca="false">D75+1</f>
        <v>64</v>
      </c>
      <c r="E76" s="110" t="s">
        <v>207</v>
      </c>
      <c r="F76" s="110" t="s">
        <v>56</v>
      </c>
      <c r="G76" s="111" t="n">
        <v>1</v>
      </c>
      <c r="H76" s="111"/>
      <c r="I76" s="59" t="s">
        <v>205</v>
      </c>
      <c r="J76" s="50" t="n">
        <f aca="false">1783305/1.2</f>
        <v>1486087.5</v>
      </c>
      <c r="K76" s="50" t="n">
        <f aca="false">J76*G76</f>
        <v>1486087.5</v>
      </c>
      <c r="L76" s="48"/>
      <c r="M76" s="50"/>
      <c r="N76" s="50"/>
      <c r="O76" s="78"/>
      <c r="P76" s="50"/>
      <c r="Q76" s="50"/>
      <c r="R76" s="52" t="n">
        <f aca="false">AVERAGE(J76,M76,P76)</f>
        <v>1486087.5</v>
      </c>
      <c r="S76" s="52" t="n">
        <f aca="false">R76*G76</f>
        <v>1486087.5</v>
      </c>
      <c r="T76" s="58" t="s">
        <v>206</v>
      </c>
      <c r="U76" s="42" t="n">
        <f aca="false">ROUND(J76*100/R76-100,0)</f>
        <v>0</v>
      </c>
      <c r="V76" s="42" t="n">
        <f aca="false">ROUND(M76*100/R76-100,0)</f>
        <v>-100</v>
      </c>
      <c r="W76" s="42" t="n">
        <f aca="false">ROUND(P76*100/R76-100,0)</f>
        <v>-100</v>
      </c>
      <c r="X76" s="54"/>
      <c r="Y76" s="108"/>
      <c r="Z76" s="54"/>
      <c r="AA76" s="55"/>
      <c r="AB76" s="55"/>
      <c r="AC76" s="109"/>
      <c r="AD76" s="55"/>
      <c r="AE76" s="55"/>
      <c r="AM76" s="1"/>
    </row>
    <row r="77" s="43" customFormat="true" ht="50.25" hidden="true" customHeight="true" outlineLevel="0" collapsed="false">
      <c r="A77" s="91"/>
      <c r="B77" s="33" t="n">
        <f aca="false">B76+1</f>
        <v>66</v>
      </c>
      <c r="C77" s="33" t="n">
        <f aca="false">C76+1</f>
        <v>67</v>
      </c>
      <c r="D77" s="33" t="n">
        <f aca="false">D76+1</f>
        <v>65</v>
      </c>
      <c r="E77" s="110" t="s">
        <v>208</v>
      </c>
      <c r="F77" s="110" t="s">
        <v>56</v>
      </c>
      <c r="G77" s="111" t="n">
        <v>2</v>
      </c>
      <c r="H77" s="111"/>
      <c r="I77" s="59" t="s">
        <v>205</v>
      </c>
      <c r="J77" s="50" t="n">
        <f aca="false">272895/1.2</f>
        <v>227412.5</v>
      </c>
      <c r="K77" s="50" t="n">
        <f aca="false">J77*G77</f>
        <v>454825</v>
      </c>
      <c r="L77" s="48"/>
      <c r="M77" s="50"/>
      <c r="N77" s="50"/>
      <c r="O77" s="78"/>
      <c r="P77" s="50"/>
      <c r="Q77" s="50"/>
      <c r="R77" s="52" t="n">
        <f aca="false">AVERAGE(J77,M77,P77)</f>
        <v>227412.5</v>
      </c>
      <c r="S77" s="52" t="n">
        <f aca="false">R77*G77</f>
        <v>454825</v>
      </c>
      <c r="T77" s="58" t="s">
        <v>206</v>
      </c>
      <c r="U77" s="42" t="n">
        <f aca="false">ROUND(J77*100/R77-100,0)</f>
        <v>0</v>
      </c>
      <c r="V77" s="42" t="n">
        <f aca="false">ROUND(M77*100/R77-100,0)</f>
        <v>-100</v>
      </c>
      <c r="W77" s="42" t="n">
        <f aca="false">ROUND(P77*100/R77-100,0)</f>
        <v>-100</v>
      </c>
      <c r="X77" s="54"/>
      <c r="Y77" s="108"/>
      <c r="Z77" s="54"/>
      <c r="AA77" s="55"/>
      <c r="AB77" s="55"/>
      <c r="AC77" s="109"/>
      <c r="AD77" s="55"/>
      <c r="AE77" s="55"/>
      <c r="AM77" s="1"/>
    </row>
    <row r="78" s="43" customFormat="true" ht="44.25" hidden="true" customHeight="true" outlineLevel="0" collapsed="false">
      <c r="A78" s="91"/>
      <c r="B78" s="33" t="n">
        <f aca="false">B77+1</f>
        <v>67</v>
      </c>
      <c r="C78" s="33" t="n">
        <f aca="false">C77+1</f>
        <v>68</v>
      </c>
      <c r="D78" s="33" t="n">
        <f aca="false">D77+1</f>
        <v>66</v>
      </c>
      <c r="E78" s="110" t="s">
        <v>209</v>
      </c>
      <c r="F78" s="110" t="s">
        <v>56</v>
      </c>
      <c r="G78" s="111" t="n">
        <v>1</v>
      </c>
      <c r="H78" s="111"/>
      <c r="I78" s="59" t="s">
        <v>205</v>
      </c>
      <c r="J78" s="50" t="n">
        <f aca="false">96830/1.2</f>
        <v>80691.6666666667</v>
      </c>
      <c r="K78" s="50" t="n">
        <f aca="false">J78*G78</f>
        <v>80691.6666666667</v>
      </c>
      <c r="L78" s="48"/>
      <c r="M78" s="50"/>
      <c r="N78" s="50"/>
      <c r="O78" s="78"/>
      <c r="P78" s="50"/>
      <c r="Q78" s="50"/>
      <c r="R78" s="52" t="n">
        <f aca="false">AVERAGE(J78,M78,P78)</f>
        <v>80691.6666666667</v>
      </c>
      <c r="S78" s="52" t="n">
        <f aca="false">R78*G78</f>
        <v>80691.6666666667</v>
      </c>
      <c r="T78" s="58" t="s">
        <v>206</v>
      </c>
      <c r="U78" s="42" t="n">
        <f aca="false">ROUND(J78*100/R78-100,0)</f>
        <v>0</v>
      </c>
      <c r="V78" s="42" t="n">
        <f aca="false">ROUND(M78*100/R78-100,0)</f>
        <v>-100</v>
      </c>
      <c r="W78" s="42" t="n">
        <f aca="false">ROUND(P78*100/R78-100,0)</f>
        <v>-100</v>
      </c>
      <c r="X78" s="54"/>
      <c r="Y78" s="108"/>
      <c r="Z78" s="54"/>
      <c r="AA78" s="55"/>
      <c r="AB78" s="55"/>
      <c r="AC78" s="109"/>
      <c r="AD78" s="55"/>
      <c r="AE78" s="55"/>
      <c r="AM78" s="1"/>
    </row>
    <row r="79" s="43" customFormat="true" ht="44.25" hidden="true" customHeight="true" outlineLevel="0" collapsed="false">
      <c r="A79" s="91"/>
      <c r="B79" s="33" t="n">
        <f aca="false">B78+1</f>
        <v>68</v>
      </c>
      <c r="C79" s="33" t="n">
        <f aca="false">C78+1</f>
        <v>69</v>
      </c>
      <c r="D79" s="33" t="n">
        <f aca="false">D78+1</f>
        <v>67</v>
      </c>
      <c r="E79" s="110" t="s">
        <v>210</v>
      </c>
      <c r="F79" s="110" t="s">
        <v>56</v>
      </c>
      <c r="G79" s="111" t="n">
        <v>1</v>
      </c>
      <c r="H79" s="111"/>
      <c r="I79" s="59" t="s">
        <v>205</v>
      </c>
      <c r="J79" s="50" t="n">
        <f aca="false">58305/1.2</f>
        <v>48587.5</v>
      </c>
      <c r="K79" s="50" t="n">
        <f aca="false">J79*G79</f>
        <v>48587.5</v>
      </c>
      <c r="L79" s="48"/>
      <c r="M79" s="50"/>
      <c r="N79" s="50"/>
      <c r="O79" s="78"/>
      <c r="P79" s="50"/>
      <c r="Q79" s="50"/>
      <c r="R79" s="52" t="n">
        <f aca="false">AVERAGE(J79,M79,P79)</f>
        <v>48587.5</v>
      </c>
      <c r="S79" s="52" t="n">
        <f aca="false">R79*G79</f>
        <v>48587.5</v>
      </c>
      <c r="T79" s="58" t="s">
        <v>206</v>
      </c>
      <c r="U79" s="42" t="n">
        <f aca="false">ROUND(J79*100/R79-100,0)</f>
        <v>0</v>
      </c>
      <c r="V79" s="42" t="n">
        <f aca="false">ROUND(M79*100/R79-100,0)</f>
        <v>-100</v>
      </c>
      <c r="W79" s="42" t="n">
        <f aca="false">ROUND(P79*100/R79-100,0)</f>
        <v>-100</v>
      </c>
      <c r="X79" s="54"/>
      <c r="Y79" s="108"/>
      <c r="Z79" s="54"/>
      <c r="AA79" s="55"/>
      <c r="AB79" s="55"/>
      <c r="AC79" s="109"/>
      <c r="AD79" s="55"/>
      <c r="AE79" s="55"/>
      <c r="AM79" s="1"/>
    </row>
    <row r="80" s="43" customFormat="true" ht="44.25" hidden="true" customHeight="true" outlineLevel="0" collapsed="false">
      <c r="A80" s="91"/>
      <c r="B80" s="33" t="n">
        <f aca="false">B79+1</f>
        <v>69</v>
      </c>
      <c r="C80" s="33" t="n">
        <f aca="false">C79+1</f>
        <v>70</v>
      </c>
      <c r="D80" s="33" t="n">
        <f aca="false">D79+1</f>
        <v>68</v>
      </c>
      <c r="E80" s="110" t="s">
        <v>211</v>
      </c>
      <c r="F80" s="110" t="s">
        <v>56</v>
      </c>
      <c r="G80" s="111" t="n">
        <v>1</v>
      </c>
      <c r="H80" s="111"/>
      <c r="I80" s="59" t="s">
        <v>205</v>
      </c>
      <c r="J80" s="50" t="n">
        <f aca="false">46575/1.2</f>
        <v>38812.5</v>
      </c>
      <c r="K80" s="50" t="n">
        <f aca="false">J80*G80</f>
        <v>38812.5</v>
      </c>
      <c r="L80" s="48"/>
      <c r="M80" s="50"/>
      <c r="N80" s="50"/>
      <c r="O80" s="78"/>
      <c r="P80" s="50"/>
      <c r="Q80" s="50"/>
      <c r="R80" s="52" t="n">
        <f aca="false">AVERAGE(J80,M80,P80)</f>
        <v>38812.5</v>
      </c>
      <c r="S80" s="52" t="n">
        <f aca="false">R80*G80</f>
        <v>38812.5</v>
      </c>
      <c r="T80" s="58" t="s">
        <v>206</v>
      </c>
      <c r="U80" s="42" t="n">
        <f aca="false">ROUND(J80*100/R80-100,0)</f>
        <v>0</v>
      </c>
      <c r="V80" s="42" t="n">
        <f aca="false">ROUND(M80*100/R80-100,0)</f>
        <v>-100</v>
      </c>
      <c r="W80" s="42" t="n">
        <f aca="false">ROUND(P80*100/R80-100,0)</f>
        <v>-100</v>
      </c>
      <c r="X80" s="54"/>
      <c r="Y80" s="108"/>
      <c r="Z80" s="54"/>
      <c r="AA80" s="55"/>
      <c r="AB80" s="55"/>
      <c r="AC80" s="109"/>
      <c r="AD80" s="55"/>
      <c r="AE80" s="55"/>
      <c r="AM80" s="1"/>
    </row>
    <row r="81" s="43" customFormat="true" ht="44.25" hidden="true" customHeight="true" outlineLevel="0" collapsed="false">
      <c r="A81" s="91"/>
      <c r="B81" s="33" t="n">
        <f aca="false">B80+1</f>
        <v>70</v>
      </c>
      <c r="C81" s="33" t="n">
        <f aca="false">C80+1</f>
        <v>71</v>
      </c>
      <c r="D81" s="33" t="n">
        <f aca="false">D80+1</f>
        <v>69</v>
      </c>
      <c r="E81" s="110" t="s">
        <v>212</v>
      </c>
      <c r="F81" s="110" t="s">
        <v>56</v>
      </c>
      <c r="G81" s="111" t="n">
        <v>1</v>
      </c>
      <c r="H81" s="111"/>
      <c r="I81" s="59" t="s">
        <v>205</v>
      </c>
      <c r="J81" s="50" t="n">
        <f aca="false">65550/1.2</f>
        <v>54625</v>
      </c>
      <c r="K81" s="50" t="n">
        <f aca="false">J81*G81</f>
        <v>54625</v>
      </c>
      <c r="L81" s="48"/>
      <c r="M81" s="50"/>
      <c r="N81" s="50"/>
      <c r="O81" s="78"/>
      <c r="P81" s="50"/>
      <c r="Q81" s="50"/>
      <c r="R81" s="52" t="n">
        <f aca="false">AVERAGE(J81,M81,P81)</f>
        <v>54625</v>
      </c>
      <c r="S81" s="52" t="n">
        <f aca="false">R81*G81</f>
        <v>54625</v>
      </c>
      <c r="T81" s="58" t="s">
        <v>206</v>
      </c>
      <c r="U81" s="42" t="n">
        <f aca="false">ROUND(J81*100/R81-100,0)</f>
        <v>0</v>
      </c>
      <c r="V81" s="42" t="n">
        <f aca="false">ROUND(M81*100/R81-100,0)</f>
        <v>-100</v>
      </c>
      <c r="W81" s="42" t="n">
        <f aca="false">ROUND(P81*100/R81-100,0)</f>
        <v>-100</v>
      </c>
      <c r="X81" s="54"/>
      <c r="Y81" s="108"/>
      <c r="Z81" s="54"/>
      <c r="AA81" s="55"/>
      <c r="AB81" s="55"/>
      <c r="AC81" s="109"/>
      <c r="AD81" s="55"/>
      <c r="AE81" s="55"/>
      <c r="AM81" s="1"/>
    </row>
    <row r="82" s="43" customFormat="true" ht="44.25" hidden="true" customHeight="true" outlineLevel="0" collapsed="false">
      <c r="A82" s="91"/>
      <c r="B82" s="33" t="n">
        <f aca="false">B81+1</f>
        <v>71</v>
      </c>
      <c r="C82" s="33" t="n">
        <f aca="false">C81+1</f>
        <v>72</v>
      </c>
      <c r="D82" s="33" t="n">
        <f aca="false">D81+1</f>
        <v>70</v>
      </c>
      <c r="E82" s="46" t="s">
        <v>213</v>
      </c>
      <c r="F82" s="46" t="s">
        <v>56</v>
      </c>
      <c r="G82" s="47" t="n">
        <v>25</v>
      </c>
      <c r="H82" s="47"/>
      <c r="I82" s="59" t="s">
        <v>214</v>
      </c>
      <c r="J82" s="50" t="n">
        <f aca="false">930/1.2</f>
        <v>775</v>
      </c>
      <c r="K82" s="50" t="n">
        <f aca="false">J82*G82</f>
        <v>19375</v>
      </c>
      <c r="L82" s="48" t="s">
        <v>215</v>
      </c>
      <c r="M82" s="50" t="n">
        <f aca="false">925/1.2</f>
        <v>770.833333333333</v>
      </c>
      <c r="N82" s="50" t="n">
        <f aca="false">M82*G82</f>
        <v>19270.8333333333</v>
      </c>
      <c r="O82" s="112" t="s">
        <v>216</v>
      </c>
      <c r="P82" s="50" t="n">
        <f aca="false">954/1.2</f>
        <v>795</v>
      </c>
      <c r="Q82" s="50" t="n">
        <f aca="false">P82*G82</f>
        <v>19875</v>
      </c>
      <c r="R82" s="52" t="n">
        <f aca="false">AVERAGE(J82,M82,P82)</f>
        <v>780.277777777778</v>
      </c>
      <c r="S82" s="52" t="n">
        <f aca="false">R82*G82</f>
        <v>19506.9444444444</v>
      </c>
      <c r="T82" s="58" t="s">
        <v>206</v>
      </c>
      <c r="U82" s="42" t="n">
        <f aca="false">ROUND(J82*100/R82-100,0)</f>
        <v>-1</v>
      </c>
      <c r="V82" s="42" t="n">
        <f aca="false">ROUND(M82*100/R82-100,0)</f>
        <v>-1</v>
      </c>
      <c r="W82" s="42" t="n">
        <f aca="false">ROUND(P82*100/R82-100,0)</f>
        <v>2</v>
      </c>
      <c r="X82" s="54"/>
      <c r="Y82" s="108"/>
      <c r="Z82" s="54"/>
      <c r="AA82" s="55"/>
      <c r="AB82" s="55"/>
      <c r="AC82" s="109"/>
      <c r="AD82" s="55"/>
      <c r="AE82" s="55"/>
      <c r="AM82" s="1"/>
    </row>
    <row r="83" s="43" customFormat="true" ht="27.75" hidden="true" customHeight="true" outlineLevel="0" collapsed="false">
      <c r="A83" s="113"/>
      <c r="B83" s="114"/>
      <c r="C83" s="33"/>
      <c r="D83" s="33"/>
      <c r="E83" s="114"/>
      <c r="F83" s="114"/>
      <c r="G83" s="114"/>
      <c r="H83" s="114"/>
      <c r="I83" s="115"/>
      <c r="J83" s="116" t="s">
        <v>217</v>
      </c>
      <c r="K83" s="39"/>
      <c r="L83" s="115"/>
      <c r="M83" s="116"/>
      <c r="N83" s="116"/>
      <c r="O83" s="115"/>
      <c r="P83" s="116"/>
      <c r="Q83" s="117"/>
      <c r="R83" s="118"/>
      <c r="S83" s="118"/>
      <c r="T83" s="119"/>
      <c r="AM83" s="1"/>
    </row>
    <row r="84" s="43" customFormat="true" ht="45" hidden="true" customHeight="true" outlineLevel="0" collapsed="false">
      <c r="A84" s="120"/>
      <c r="B84" s="33"/>
      <c r="C84" s="121" t="s">
        <v>218</v>
      </c>
      <c r="D84" s="33"/>
      <c r="E84" s="122" t="s">
        <v>219</v>
      </c>
      <c r="F84" s="35"/>
      <c r="G84" s="36"/>
      <c r="H84" s="36"/>
      <c r="I84" s="37"/>
      <c r="J84" s="38"/>
      <c r="K84" s="39"/>
      <c r="L84" s="37"/>
      <c r="M84" s="38"/>
      <c r="N84" s="38"/>
      <c r="O84" s="37"/>
      <c r="P84" s="38"/>
      <c r="Q84" s="38"/>
      <c r="R84" s="40"/>
      <c r="S84" s="41"/>
      <c r="U84" s="42"/>
      <c r="V84" s="42"/>
      <c r="W84" s="42"/>
      <c r="X84" s="15"/>
      <c r="Y84" s="15"/>
      <c r="Z84" s="15"/>
      <c r="AA84" s="15"/>
      <c r="AB84" s="15"/>
      <c r="AC84" s="15"/>
      <c r="AD84" s="15"/>
      <c r="AE84" s="15"/>
      <c r="AF84" s="15"/>
      <c r="AG84" s="15"/>
      <c r="AH84" s="15"/>
      <c r="AI84" s="15"/>
      <c r="AJ84" s="15"/>
      <c r="AK84" s="15"/>
      <c r="AL84" s="15"/>
      <c r="AM84" s="1"/>
    </row>
    <row r="85" s="43" customFormat="true" ht="75" hidden="true" customHeight="false" outlineLevel="0" collapsed="false">
      <c r="A85" s="123"/>
      <c r="B85" s="63" t="n">
        <v>1</v>
      </c>
      <c r="C85" s="63" t="n">
        <f aca="false">C82+1</f>
        <v>73</v>
      </c>
      <c r="D85" s="63" t="n">
        <f aca="false">D82+1</f>
        <v>71</v>
      </c>
      <c r="E85" s="124" t="s">
        <v>220</v>
      </c>
      <c r="F85" s="124" t="s">
        <v>56</v>
      </c>
      <c r="G85" s="125" t="n">
        <f aca="false">300+750+200</f>
        <v>1250</v>
      </c>
      <c r="H85" s="125"/>
      <c r="I85" s="69" t="s">
        <v>57</v>
      </c>
      <c r="J85" s="68" t="n">
        <v>335.8</v>
      </c>
      <c r="K85" s="68" t="n">
        <f aca="false">G85*J85</f>
        <v>419750</v>
      </c>
      <c r="L85" s="69" t="s">
        <v>180</v>
      </c>
      <c r="M85" s="68" t="n">
        <v>335.15</v>
      </c>
      <c r="N85" s="68" t="n">
        <f aca="false">G85*M85</f>
        <v>418937.5</v>
      </c>
      <c r="O85" s="77" t="s">
        <v>221</v>
      </c>
      <c r="P85" s="68" t="n">
        <v>335</v>
      </c>
      <c r="Q85" s="68" t="n">
        <f aca="false">G85*P85</f>
        <v>418750</v>
      </c>
      <c r="R85" s="126" t="n">
        <f aca="false">AVERAGE(J85,M85,P85)</f>
        <v>335.316666666667</v>
      </c>
      <c r="S85" s="71" t="n">
        <f aca="false">R85*G85</f>
        <v>419145.833333333</v>
      </c>
      <c r="T85" s="127"/>
      <c r="U85" s="73" t="n">
        <f aca="false">ROUND(J85*100/R85-100,0)</f>
        <v>0</v>
      </c>
      <c r="V85" s="73" t="n">
        <f aca="false">ROUND(M85*100/R85-100,0)</f>
        <v>-0</v>
      </c>
      <c r="W85" s="73" t="n">
        <f aca="false">ROUND(P85*100/R85-100,0)</f>
        <v>-0</v>
      </c>
      <c r="X85" s="123"/>
      <c r="Y85" s="123"/>
      <c r="Z85" s="123"/>
      <c r="AA85" s="123"/>
      <c r="AB85" s="123"/>
      <c r="AC85" s="123"/>
      <c r="AD85" s="123"/>
      <c r="AE85" s="128"/>
      <c r="AF85" s="128"/>
      <c r="AG85" s="128"/>
      <c r="AH85" s="128"/>
      <c r="AI85" s="128"/>
      <c r="AJ85" s="128"/>
      <c r="AK85" s="128"/>
      <c r="AL85" s="128"/>
      <c r="AM85" s="129"/>
      <c r="AN85" s="119"/>
    </row>
    <row r="86" s="75" customFormat="true" ht="114.75" hidden="true" customHeight="false" outlineLevel="0" collapsed="false">
      <c r="A86" s="2"/>
      <c r="B86" s="33" t="n">
        <v>2</v>
      </c>
      <c r="C86" s="33" t="n">
        <f aca="false">C85+1</f>
        <v>74</v>
      </c>
      <c r="D86" s="33" t="n">
        <f aca="false">D85+1</f>
        <v>72</v>
      </c>
      <c r="E86" s="110" t="s">
        <v>222</v>
      </c>
      <c r="F86" s="110" t="s">
        <v>56</v>
      </c>
      <c r="G86" s="111" t="n">
        <f aca="false">300+750+200</f>
        <v>1250</v>
      </c>
      <c r="H86" s="111"/>
      <c r="I86" s="59" t="s">
        <v>223</v>
      </c>
      <c r="J86" s="50" t="n">
        <v>45.85</v>
      </c>
      <c r="K86" s="50" t="n">
        <f aca="false">G86*J86</f>
        <v>57312.5</v>
      </c>
      <c r="L86" s="56" t="s">
        <v>224</v>
      </c>
      <c r="M86" s="50" t="n">
        <v>39</v>
      </c>
      <c r="N86" s="50" t="n">
        <f aca="false">G86*M86</f>
        <v>48750</v>
      </c>
      <c r="O86" s="56" t="s">
        <v>225</v>
      </c>
      <c r="P86" s="50" t="n">
        <v>38.89</v>
      </c>
      <c r="Q86" s="50" t="n">
        <f aca="false">G86*P86</f>
        <v>48612.5</v>
      </c>
      <c r="R86" s="118" t="n">
        <f aca="false">AVERAGE(J86,M86,P86)</f>
        <v>41.2466666666667</v>
      </c>
      <c r="S86" s="52" t="n">
        <f aca="false">R86*G86</f>
        <v>51558.3333333333</v>
      </c>
      <c r="T86" s="57"/>
      <c r="U86" s="42" t="n">
        <f aca="false">ROUND(J86*100/R86-100,0)</f>
        <v>11</v>
      </c>
      <c r="V86" s="42" t="n">
        <f aca="false">ROUND(M86*100/R86-100,0)</f>
        <v>-5</v>
      </c>
      <c r="W86" s="42" t="n">
        <f aca="false">ROUND(P86*100/R86-100,0)</f>
        <v>-6</v>
      </c>
      <c r="X86" s="2"/>
      <c r="Y86" s="2"/>
      <c r="Z86" s="2"/>
      <c r="AA86" s="2"/>
      <c r="AB86" s="2"/>
      <c r="AC86" s="2"/>
      <c r="AD86" s="2"/>
      <c r="AE86" s="128"/>
      <c r="AF86" s="128"/>
      <c r="AG86" s="128"/>
      <c r="AH86" s="128"/>
      <c r="AI86" s="128"/>
      <c r="AJ86" s="128"/>
      <c r="AK86" s="128"/>
      <c r="AL86" s="128"/>
      <c r="AM86" s="129"/>
      <c r="AN86" s="130"/>
    </row>
    <row r="87" s="43" customFormat="true" ht="89.25" hidden="true" customHeight="false" outlineLevel="0" collapsed="false">
      <c r="A87" s="2"/>
      <c r="B87" s="33" t="n">
        <v>3</v>
      </c>
      <c r="C87" s="33" t="n">
        <f aca="false">C86+1</f>
        <v>75</v>
      </c>
      <c r="D87" s="33" t="n">
        <f aca="false">D86+1</f>
        <v>73</v>
      </c>
      <c r="E87" s="110" t="s">
        <v>226</v>
      </c>
      <c r="F87" s="110" t="s">
        <v>31</v>
      </c>
      <c r="G87" s="111" t="n">
        <f aca="false">3+3</f>
        <v>6</v>
      </c>
      <c r="H87" s="111"/>
      <c r="I87" s="56" t="s">
        <v>227</v>
      </c>
      <c r="J87" s="50" t="n">
        <v>733.33</v>
      </c>
      <c r="K87" s="50" t="n">
        <f aca="false">G87*J87</f>
        <v>4399.98</v>
      </c>
      <c r="L87" s="131" t="s">
        <v>228</v>
      </c>
      <c r="M87" s="50" t="n">
        <v>810</v>
      </c>
      <c r="N87" s="50" t="n">
        <f aca="false">G87*M87</f>
        <v>4860</v>
      </c>
      <c r="O87" s="56"/>
      <c r="P87" s="50"/>
      <c r="Q87" s="50" t="n">
        <f aca="false">G87*P87</f>
        <v>0</v>
      </c>
      <c r="R87" s="118" t="n">
        <f aca="false">AVERAGE(J87,M87,P87)</f>
        <v>771.665</v>
      </c>
      <c r="S87" s="52" t="n">
        <f aca="false">R87*G87</f>
        <v>4629.99</v>
      </c>
      <c r="T87" s="57"/>
      <c r="U87" s="42" t="n">
        <f aca="false">ROUND(J87*100/R87-100,0)</f>
        <v>-5</v>
      </c>
      <c r="V87" s="42" t="n">
        <f aca="false">ROUND(M87*100/R87-100,0)</f>
        <v>5</v>
      </c>
      <c r="W87" s="42" t="n">
        <f aca="false">ROUND(P87*100/R87-100,0)</f>
        <v>-100</v>
      </c>
      <c r="X87" s="2"/>
      <c r="Y87" s="2"/>
      <c r="Z87" s="2"/>
      <c r="AA87" s="2"/>
      <c r="AB87" s="2"/>
      <c r="AC87" s="2"/>
      <c r="AD87" s="2"/>
      <c r="AE87" s="128"/>
      <c r="AF87" s="128"/>
      <c r="AG87" s="128"/>
      <c r="AH87" s="128"/>
      <c r="AI87" s="128"/>
      <c r="AJ87" s="128"/>
      <c r="AK87" s="128"/>
      <c r="AL87" s="128"/>
      <c r="AM87" s="129"/>
      <c r="AN87" s="119"/>
    </row>
    <row r="88" s="43" customFormat="true" ht="32.25" hidden="true" customHeight="true" outlineLevel="0" collapsed="false">
      <c r="A88" s="2"/>
      <c r="B88" s="33" t="n">
        <v>4</v>
      </c>
      <c r="C88" s="33" t="n">
        <f aca="false">C87+1</f>
        <v>76</v>
      </c>
      <c r="D88" s="33" t="n">
        <f aca="false">D87+1</f>
        <v>74</v>
      </c>
      <c r="E88" s="110" t="s">
        <v>229</v>
      </c>
      <c r="F88" s="110" t="s">
        <v>31</v>
      </c>
      <c r="G88" s="111" t="n">
        <v>9</v>
      </c>
      <c r="H88" s="111"/>
      <c r="I88" s="56" t="s">
        <v>227</v>
      </c>
      <c r="J88" s="50" t="n">
        <v>687.5</v>
      </c>
      <c r="K88" s="50" t="n">
        <f aca="false">G88*J88</f>
        <v>6187.5</v>
      </c>
      <c r="L88" s="131" t="s">
        <v>228</v>
      </c>
      <c r="M88" s="50" t="n">
        <v>698</v>
      </c>
      <c r="N88" s="50" t="n">
        <f aca="false">G88*M88</f>
        <v>6282</v>
      </c>
      <c r="O88" s="56"/>
      <c r="P88" s="50"/>
      <c r="Q88" s="50" t="n">
        <f aca="false">G88*P88</f>
        <v>0</v>
      </c>
      <c r="R88" s="118" t="n">
        <f aca="false">AVERAGE(J88,M88,P88)</f>
        <v>692.75</v>
      </c>
      <c r="S88" s="52" t="n">
        <f aca="false">R88*G88</f>
        <v>6234.75</v>
      </c>
      <c r="T88" s="57"/>
      <c r="U88" s="42" t="n">
        <f aca="false">ROUND(J88*100/R88-100,0)</f>
        <v>-1</v>
      </c>
      <c r="V88" s="42" t="n">
        <f aca="false">ROUND(M88*100/R88-100,0)</f>
        <v>1</v>
      </c>
      <c r="W88" s="42" t="n">
        <f aca="false">ROUND(P88*100/R88-100,0)</f>
        <v>-100</v>
      </c>
      <c r="X88" s="2"/>
      <c r="Y88" s="2"/>
      <c r="Z88" s="2"/>
      <c r="AA88" s="2"/>
      <c r="AB88" s="2"/>
      <c r="AC88" s="2"/>
      <c r="AD88" s="2"/>
      <c r="AE88" s="128"/>
      <c r="AF88" s="128"/>
      <c r="AG88" s="128"/>
      <c r="AH88" s="128"/>
      <c r="AI88" s="128"/>
      <c r="AJ88" s="128"/>
      <c r="AK88" s="128"/>
      <c r="AL88" s="128"/>
      <c r="AM88" s="129"/>
      <c r="AN88" s="119"/>
    </row>
    <row r="89" s="43" customFormat="true" ht="191.25" hidden="true" customHeight="false" outlineLevel="0" collapsed="false">
      <c r="A89" s="2"/>
      <c r="B89" s="33" t="n">
        <v>5</v>
      </c>
      <c r="C89" s="33" t="n">
        <f aca="false">C88+1</f>
        <v>77</v>
      </c>
      <c r="D89" s="33" t="n">
        <f aca="false">D88+1</f>
        <v>75</v>
      </c>
      <c r="E89" s="110" t="s">
        <v>230</v>
      </c>
      <c r="F89" s="110" t="s">
        <v>31</v>
      </c>
      <c r="G89" s="111" t="n">
        <f aca="false">7+30+8</f>
        <v>45</v>
      </c>
      <c r="H89" s="111"/>
      <c r="I89" s="56" t="s">
        <v>231</v>
      </c>
      <c r="J89" s="50" t="n">
        <v>2453.33</v>
      </c>
      <c r="K89" s="50" t="n">
        <f aca="false">G89*J89</f>
        <v>110399.85</v>
      </c>
      <c r="L89" s="56" t="s">
        <v>232</v>
      </c>
      <c r="M89" s="50" t="n">
        <v>2116.33</v>
      </c>
      <c r="N89" s="50" t="n">
        <f aca="false">G89*M89</f>
        <v>95234.85</v>
      </c>
      <c r="O89" s="56"/>
      <c r="P89" s="50"/>
      <c r="Q89" s="50" t="n">
        <f aca="false">G89*P89</f>
        <v>0</v>
      </c>
      <c r="R89" s="118" t="n">
        <f aca="false">AVERAGE(J89,M89,P89)</f>
        <v>2284.83</v>
      </c>
      <c r="S89" s="52" t="n">
        <f aca="false">R89*G89</f>
        <v>102817.35</v>
      </c>
      <c r="T89" s="57"/>
      <c r="U89" s="42" t="n">
        <f aca="false">ROUND(J89*100/R89-100,0)</f>
        <v>7</v>
      </c>
      <c r="V89" s="42" t="n">
        <f aca="false">ROUND(M89*100/R89-100,0)</f>
        <v>-7</v>
      </c>
      <c r="W89" s="42" t="n">
        <f aca="false">ROUND(P89*100/R89-100,0)</f>
        <v>-100</v>
      </c>
      <c r="X89" s="2"/>
      <c r="Y89" s="2"/>
      <c r="Z89" s="2"/>
      <c r="AA89" s="2"/>
      <c r="AB89" s="2"/>
      <c r="AC89" s="2"/>
      <c r="AD89" s="2"/>
      <c r="AE89" s="128"/>
      <c r="AF89" s="128"/>
      <c r="AG89" s="128"/>
      <c r="AH89" s="128"/>
      <c r="AI89" s="128"/>
      <c r="AJ89" s="128"/>
      <c r="AK89" s="128"/>
      <c r="AL89" s="128"/>
      <c r="AM89" s="129"/>
      <c r="AN89" s="119"/>
    </row>
    <row r="90" s="43" customFormat="true" ht="191.25" hidden="true" customHeight="false" outlineLevel="0" collapsed="false">
      <c r="A90" s="2"/>
      <c r="B90" s="33" t="n">
        <v>6</v>
      </c>
      <c r="C90" s="33" t="n">
        <f aca="false">C89+1</f>
        <v>78</v>
      </c>
      <c r="D90" s="33" t="n">
        <f aca="false">D89+1</f>
        <v>76</v>
      </c>
      <c r="E90" s="110" t="s">
        <v>233</v>
      </c>
      <c r="F90" s="110" t="s">
        <v>56</v>
      </c>
      <c r="G90" s="132" t="n">
        <f aca="false">8+20</f>
        <v>28</v>
      </c>
      <c r="H90" s="132"/>
      <c r="I90" s="56" t="s">
        <v>234</v>
      </c>
      <c r="J90" s="50" t="n">
        <v>190</v>
      </c>
      <c r="K90" s="50" t="n">
        <f aca="false">G90*J90</f>
        <v>5320</v>
      </c>
      <c r="L90" s="56" t="s">
        <v>235</v>
      </c>
      <c r="M90" s="50" t="n">
        <v>183.33</v>
      </c>
      <c r="N90" s="50" t="n">
        <f aca="false">G90*M90</f>
        <v>5133.24</v>
      </c>
      <c r="O90" s="56"/>
      <c r="P90" s="50"/>
      <c r="Q90" s="50" t="n">
        <f aca="false">G90*P90</f>
        <v>0</v>
      </c>
      <c r="R90" s="118" t="n">
        <f aca="false">AVERAGE(J90,M90,P90)</f>
        <v>186.665</v>
      </c>
      <c r="S90" s="52" t="n">
        <f aca="false">R90*G90</f>
        <v>5226.62</v>
      </c>
      <c r="T90" s="57"/>
      <c r="U90" s="42" t="n">
        <f aca="false">ROUND(J90*100/R90-100,0)</f>
        <v>2</v>
      </c>
      <c r="V90" s="42" t="n">
        <f aca="false">ROUND(M90*100/R90-100,0)</f>
        <v>-2</v>
      </c>
      <c r="W90" s="42" t="n">
        <f aca="false">ROUND(P90*100/R90-100,0)</f>
        <v>-100</v>
      </c>
      <c r="X90" s="2"/>
      <c r="Y90" s="2"/>
      <c r="Z90" s="2"/>
      <c r="AA90" s="2"/>
      <c r="AB90" s="2"/>
      <c r="AC90" s="2"/>
      <c r="AD90" s="2"/>
      <c r="AE90" s="128"/>
      <c r="AF90" s="128"/>
      <c r="AG90" s="128"/>
      <c r="AH90" s="128"/>
      <c r="AI90" s="128"/>
      <c r="AJ90" s="128"/>
      <c r="AK90" s="128"/>
      <c r="AL90" s="128"/>
      <c r="AM90" s="129"/>
      <c r="AN90" s="119"/>
    </row>
    <row r="91" s="43" customFormat="true" ht="63.75" hidden="true" customHeight="false" outlineLevel="0" collapsed="false">
      <c r="A91" s="2"/>
      <c r="B91" s="33"/>
      <c r="C91" s="33" t="n">
        <f aca="false">C90+1</f>
        <v>79</v>
      </c>
      <c r="D91" s="33" t="n">
        <f aca="false">D90+1</f>
        <v>77</v>
      </c>
      <c r="E91" s="110" t="s">
        <v>236</v>
      </c>
      <c r="F91" s="110" t="s">
        <v>56</v>
      </c>
      <c r="G91" s="111" t="n">
        <v>5</v>
      </c>
      <c r="H91" s="111"/>
      <c r="I91" s="56" t="s">
        <v>237</v>
      </c>
      <c r="J91" s="50" t="n">
        <v>4050</v>
      </c>
      <c r="K91" s="50" t="n">
        <f aca="false">G91*J91</f>
        <v>20250</v>
      </c>
      <c r="L91" s="56" t="s">
        <v>238</v>
      </c>
      <c r="M91" s="50" t="n">
        <v>3340.375</v>
      </c>
      <c r="N91" s="50" t="n">
        <f aca="false">G91*M91</f>
        <v>16701.875</v>
      </c>
      <c r="O91" s="56" t="s">
        <v>239</v>
      </c>
      <c r="P91" s="50" t="n">
        <v>3173.25</v>
      </c>
      <c r="Q91" s="50" t="n">
        <f aca="false">G91*P91</f>
        <v>15866.25</v>
      </c>
      <c r="R91" s="118" t="n">
        <f aca="false">AVERAGE(J91,M91,P91)</f>
        <v>3521.20833333333</v>
      </c>
      <c r="S91" s="52" t="n">
        <f aca="false">R91*G91</f>
        <v>17606.0416666667</v>
      </c>
      <c r="T91" s="57"/>
      <c r="U91" s="42" t="n">
        <f aca="false">ROUND(J91*100/R91-100,0)</f>
        <v>15</v>
      </c>
      <c r="V91" s="42" t="n">
        <f aca="false">ROUND(M91*100/R91-100,0)</f>
        <v>-5</v>
      </c>
      <c r="W91" s="42" t="n">
        <f aca="false">ROUND(P91*100/R91-100,0)</f>
        <v>-10</v>
      </c>
      <c r="X91" s="2"/>
      <c r="Y91" s="2"/>
      <c r="Z91" s="2"/>
      <c r="AA91" s="2"/>
      <c r="AB91" s="2"/>
      <c r="AC91" s="2"/>
      <c r="AD91" s="2"/>
      <c r="AE91" s="128"/>
      <c r="AF91" s="128"/>
      <c r="AG91" s="128"/>
      <c r="AH91" s="128"/>
      <c r="AI91" s="128"/>
      <c r="AJ91" s="128"/>
      <c r="AK91" s="128"/>
      <c r="AL91" s="128"/>
      <c r="AM91" s="129"/>
      <c r="AN91" s="119"/>
    </row>
    <row r="92" s="43" customFormat="true" ht="165.75" hidden="true" customHeight="false" outlineLevel="0" collapsed="false">
      <c r="A92" s="2"/>
      <c r="B92" s="33" t="n">
        <v>7</v>
      </c>
      <c r="C92" s="33" t="n">
        <f aca="false">C91+1</f>
        <v>80</v>
      </c>
      <c r="D92" s="33" t="n">
        <f aca="false">D91+1</f>
        <v>78</v>
      </c>
      <c r="E92" s="110" t="s">
        <v>240</v>
      </c>
      <c r="F92" s="110" t="s">
        <v>56</v>
      </c>
      <c r="G92" s="111" t="n">
        <v>1</v>
      </c>
      <c r="H92" s="111"/>
      <c r="I92" s="56" t="s">
        <v>241</v>
      </c>
      <c r="J92" s="50" t="n">
        <v>4087.925</v>
      </c>
      <c r="K92" s="50" t="n">
        <f aca="false">G92*J92</f>
        <v>4087.925</v>
      </c>
      <c r="L92" s="56" t="s">
        <v>242</v>
      </c>
      <c r="M92" s="50" t="n">
        <v>4089</v>
      </c>
      <c r="N92" s="50" t="n">
        <f aca="false">G92*M92</f>
        <v>4089</v>
      </c>
      <c r="O92" s="56" t="s">
        <v>243</v>
      </c>
      <c r="P92" s="50" t="n">
        <v>4809.325</v>
      </c>
      <c r="Q92" s="50" t="n">
        <f aca="false">G92*P92</f>
        <v>4809.325</v>
      </c>
      <c r="R92" s="118" t="n">
        <f aca="false">AVERAGE(J92,M92,P92)</f>
        <v>4328.75</v>
      </c>
      <c r="S92" s="52" t="n">
        <f aca="false">R92*G92</f>
        <v>4328.75</v>
      </c>
      <c r="T92" s="57"/>
      <c r="U92" s="42" t="n">
        <f aca="false">ROUND(J92*100/R92-100,0)</f>
        <v>-6</v>
      </c>
      <c r="V92" s="42" t="n">
        <f aca="false">ROUND(M92*100/R92-100,0)</f>
        <v>-6</v>
      </c>
      <c r="W92" s="42" t="n">
        <f aca="false">ROUND(P92*100/R92-100,0)</f>
        <v>11</v>
      </c>
      <c r="X92" s="2"/>
      <c r="Y92" s="2"/>
      <c r="Z92" s="2"/>
      <c r="AA92" s="2"/>
      <c r="AB92" s="2"/>
      <c r="AC92" s="2"/>
      <c r="AD92" s="2"/>
      <c r="AE92" s="128"/>
      <c r="AF92" s="128"/>
      <c r="AG92" s="128"/>
      <c r="AH92" s="128"/>
      <c r="AI92" s="128"/>
      <c r="AJ92" s="128"/>
      <c r="AK92" s="128"/>
      <c r="AL92" s="128"/>
      <c r="AM92" s="129"/>
      <c r="AN92" s="119"/>
    </row>
    <row r="93" s="43" customFormat="true" ht="293.25" hidden="true" customHeight="false" outlineLevel="0" collapsed="false">
      <c r="A93" s="2"/>
      <c r="B93" s="33" t="n">
        <v>8</v>
      </c>
      <c r="C93" s="33" t="n">
        <f aca="false">C92+1</f>
        <v>81</v>
      </c>
      <c r="D93" s="33" t="n">
        <f aca="false">D92+1</f>
        <v>79</v>
      </c>
      <c r="E93" s="110" t="s">
        <v>244</v>
      </c>
      <c r="F93" s="110" t="s">
        <v>56</v>
      </c>
      <c r="G93" s="111" t="n">
        <v>1</v>
      </c>
      <c r="H93" s="111"/>
      <c r="I93" s="131" t="s">
        <v>245</v>
      </c>
      <c r="J93" s="50" t="n">
        <v>2643.25</v>
      </c>
      <c r="K93" s="50" t="n">
        <f aca="false">G93*J93</f>
        <v>2643.25</v>
      </c>
      <c r="L93" s="56" t="s">
        <v>246</v>
      </c>
      <c r="M93" s="50" t="n">
        <v>2616.775</v>
      </c>
      <c r="N93" s="50" t="n">
        <f aca="false">G93*M93</f>
        <v>2616.775</v>
      </c>
      <c r="O93" s="56" t="s">
        <v>247</v>
      </c>
      <c r="P93" s="50" t="n">
        <v>3188.875</v>
      </c>
      <c r="Q93" s="50" t="n">
        <f aca="false">G93*P93</f>
        <v>3188.875</v>
      </c>
      <c r="R93" s="118" t="n">
        <f aca="false">AVERAGE(J93,M93,P93)</f>
        <v>2816.3</v>
      </c>
      <c r="S93" s="52" t="n">
        <f aca="false">R93*G93</f>
        <v>2816.3</v>
      </c>
      <c r="T93" s="57"/>
      <c r="U93" s="42" t="n">
        <f aca="false">ROUND(J93*100/R93-100,0)</f>
        <v>-6</v>
      </c>
      <c r="V93" s="42" t="n">
        <f aca="false">ROUND(M93*100/R93-100,0)</f>
        <v>-7</v>
      </c>
      <c r="W93" s="42" t="n">
        <f aca="false">ROUND(P93*100/R93-100,0)</f>
        <v>13</v>
      </c>
      <c r="X93" s="2"/>
      <c r="Y93" s="2"/>
      <c r="Z93" s="2"/>
      <c r="AA93" s="2"/>
      <c r="AB93" s="2"/>
      <c r="AC93" s="2"/>
      <c r="AD93" s="2"/>
      <c r="AE93" s="128"/>
      <c r="AF93" s="128"/>
      <c r="AG93" s="128"/>
      <c r="AH93" s="128"/>
      <c r="AI93" s="128"/>
      <c r="AJ93" s="128"/>
      <c r="AK93" s="128"/>
      <c r="AL93" s="128"/>
      <c r="AM93" s="129"/>
      <c r="AN93" s="119"/>
    </row>
    <row r="94" s="43" customFormat="true" ht="40.5" hidden="true" customHeight="true" outlineLevel="0" collapsed="false">
      <c r="A94" s="2"/>
      <c r="B94" s="33" t="n">
        <v>9</v>
      </c>
      <c r="C94" s="33" t="n">
        <f aca="false">C93+1</f>
        <v>82</v>
      </c>
      <c r="D94" s="33" t="n">
        <f aca="false">D93+1</f>
        <v>80</v>
      </c>
      <c r="E94" s="110" t="s">
        <v>248</v>
      </c>
      <c r="F94" s="110" t="s">
        <v>56</v>
      </c>
      <c r="G94" s="111" t="n">
        <v>90</v>
      </c>
      <c r="H94" s="111"/>
      <c r="I94" s="56" t="s">
        <v>249</v>
      </c>
      <c r="J94" s="50" t="n">
        <v>5.43</v>
      </c>
      <c r="K94" s="50" t="n">
        <f aca="false">G94*J94</f>
        <v>488.7</v>
      </c>
      <c r="L94" s="56" t="s">
        <v>250</v>
      </c>
      <c r="M94" s="50" t="n">
        <v>4.608</v>
      </c>
      <c r="N94" s="50" t="n">
        <f aca="false">G94*M94</f>
        <v>414.72</v>
      </c>
      <c r="O94" s="56" t="s">
        <v>251</v>
      </c>
      <c r="P94" s="50" t="n">
        <v>5</v>
      </c>
      <c r="Q94" s="50" t="n">
        <f aca="false">G94*P94</f>
        <v>450</v>
      </c>
      <c r="R94" s="118" t="n">
        <f aca="false">AVERAGE(J94,M94,P94)</f>
        <v>5.01266666666667</v>
      </c>
      <c r="S94" s="52" t="n">
        <f aca="false">R94*G94</f>
        <v>451.14</v>
      </c>
      <c r="T94" s="57"/>
      <c r="U94" s="42" t="n">
        <f aca="false">ROUND(J94*100/R94-100,0)</f>
        <v>8</v>
      </c>
      <c r="V94" s="42" t="n">
        <f aca="false">ROUND(M94*100/R94-100,0)</f>
        <v>-8</v>
      </c>
      <c r="W94" s="42" t="n">
        <f aca="false">ROUND(P94*100/R94-100,0)</f>
        <v>-0</v>
      </c>
      <c r="X94" s="2"/>
      <c r="Y94" s="2"/>
      <c r="Z94" s="2"/>
      <c r="AA94" s="2"/>
      <c r="AB94" s="2"/>
      <c r="AC94" s="2"/>
      <c r="AD94" s="2"/>
      <c r="AE94" s="128"/>
      <c r="AF94" s="128"/>
      <c r="AG94" s="128"/>
      <c r="AH94" s="128"/>
      <c r="AI94" s="128"/>
      <c r="AJ94" s="128"/>
      <c r="AK94" s="128"/>
      <c r="AL94" s="128"/>
      <c r="AM94" s="129"/>
      <c r="AN94" s="119"/>
    </row>
    <row r="95" s="43" customFormat="true" ht="153" hidden="true" customHeight="false" outlineLevel="0" collapsed="false">
      <c r="A95" s="2"/>
      <c r="B95" s="33" t="n">
        <v>10</v>
      </c>
      <c r="C95" s="33" t="n">
        <f aca="false">C94+1</f>
        <v>83</v>
      </c>
      <c r="D95" s="33" t="n">
        <f aca="false">D94+1</f>
        <v>81</v>
      </c>
      <c r="E95" s="110" t="s">
        <v>252</v>
      </c>
      <c r="F95" s="110" t="s">
        <v>56</v>
      </c>
      <c r="G95" s="111" t="n">
        <v>90</v>
      </c>
      <c r="H95" s="111"/>
      <c r="I95" s="56" t="s">
        <v>253</v>
      </c>
      <c r="J95" s="50" t="n">
        <v>4.466</v>
      </c>
      <c r="K95" s="50" t="n">
        <f aca="false">G95*J95</f>
        <v>401.94</v>
      </c>
      <c r="L95" s="56" t="s">
        <v>254</v>
      </c>
      <c r="M95" s="50" t="n">
        <v>4.5</v>
      </c>
      <c r="N95" s="50" t="n">
        <f aca="false">G95*M95</f>
        <v>405</v>
      </c>
      <c r="O95" s="56" t="s">
        <v>255</v>
      </c>
      <c r="P95" s="50" t="n">
        <v>4.79</v>
      </c>
      <c r="Q95" s="50" t="n">
        <f aca="false">G95*P95</f>
        <v>431.1</v>
      </c>
      <c r="R95" s="118" t="n">
        <f aca="false">AVERAGE(J95,M95,P95)</f>
        <v>4.58533333333333</v>
      </c>
      <c r="S95" s="52" t="n">
        <f aca="false">R95*G95</f>
        <v>412.68</v>
      </c>
      <c r="T95" s="57"/>
      <c r="U95" s="42" t="n">
        <f aca="false">ROUND(J95*100/R95-100,0)</f>
        <v>-3</v>
      </c>
      <c r="V95" s="42" t="n">
        <f aca="false">ROUND(M95*100/R95-100,0)</f>
        <v>-2</v>
      </c>
      <c r="W95" s="42" t="n">
        <f aca="false">ROUND(P95*100/R95-100,0)</f>
        <v>4</v>
      </c>
      <c r="X95" s="2"/>
      <c r="Y95" s="2"/>
      <c r="Z95" s="2"/>
      <c r="AA95" s="2"/>
      <c r="AB95" s="2"/>
      <c r="AC95" s="2"/>
      <c r="AD95" s="2"/>
      <c r="AE95" s="128"/>
      <c r="AF95" s="128"/>
      <c r="AG95" s="128"/>
      <c r="AH95" s="128"/>
      <c r="AI95" s="128"/>
      <c r="AJ95" s="128"/>
      <c r="AK95" s="128"/>
      <c r="AL95" s="128"/>
      <c r="AM95" s="129"/>
      <c r="AN95" s="119"/>
    </row>
    <row r="96" s="43" customFormat="true" ht="229.5" hidden="true" customHeight="false" outlineLevel="0" collapsed="false">
      <c r="A96" s="2"/>
      <c r="B96" s="33" t="n">
        <v>14</v>
      </c>
      <c r="C96" s="33" t="n">
        <f aca="false">C95+1</f>
        <v>84</v>
      </c>
      <c r="D96" s="33" t="n">
        <f aca="false">D95+1</f>
        <v>82</v>
      </c>
      <c r="E96" s="110" t="s">
        <v>256</v>
      </c>
      <c r="F96" s="110" t="s">
        <v>257</v>
      </c>
      <c r="G96" s="111" t="n">
        <v>116</v>
      </c>
      <c r="H96" s="111"/>
      <c r="I96" s="56" t="s">
        <v>258</v>
      </c>
      <c r="J96" s="50" t="n">
        <v>2216.5</v>
      </c>
      <c r="K96" s="50" t="n">
        <f aca="false">G96*J96</f>
        <v>257114</v>
      </c>
      <c r="L96" s="56" t="s">
        <v>259</v>
      </c>
      <c r="M96" s="50" t="n">
        <v>1875</v>
      </c>
      <c r="N96" s="50" t="n">
        <f aca="false">G96*M96</f>
        <v>217500</v>
      </c>
      <c r="O96" s="56" t="s">
        <v>260</v>
      </c>
      <c r="P96" s="50" t="n">
        <v>2216.67</v>
      </c>
      <c r="Q96" s="50" t="n">
        <f aca="false">G96*P96</f>
        <v>257133.72</v>
      </c>
      <c r="R96" s="118"/>
      <c r="S96" s="52" t="n">
        <f aca="false">R96*G96</f>
        <v>0</v>
      </c>
      <c r="T96" s="57"/>
      <c r="U96" s="42" t="e">
        <f aca="false">ROUND(J96*100/R96-100,0)</f>
        <v>#DIV/0!</v>
      </c>
      <c r="V96" s="42" t="e">
        <f aca="false">ROUND(M96*100/R96-100,0)</f>
        <v>#DIV/0!</v>
      </c>
      <c r="W96" s="42" t="e">
        <f aca="false">ROUND(P96*100/R96-100,0)</f>
        <v>#DIV/0!</v>
      </c>
      <c r="X96" s="2"/>
      <c r="Y96" s="2"/>
      <c r="Z96" s="2"/>
      <c r="AA96" s="2"/>
      <c r="AB96" s="2"/>
      <c r="AC96" s="2"/>
      <c r="AD96" s="2"/>
      <c r="AE96" s="128"/>
      <c r="AF96" s="128"/>
      <c r="AG96" s="128"/>
      <c r="AH96" s="128"/>
      <c r="AI96" s="128"/>
      <c r="AJ96" s="128"/>
      <c r="AK96" s="128"/>
      <c r="AL96" s="128"/>
      <c r="AM96" s="129"/>
      <c r="AN96" s="119"/>
    </row>
    <row r="97" s="43" customFormat="true" ht="165.75" hidden="true" customHeight="false" outlineLevel="0" collapsed="false">
      <c r="A97" s="2"/>
      <c r="B97" s="33" t="n">
        <v>15</v>
      </c>
      <c r="C97" s="33" t="n">
        <f aca="false">C96+1</f>
        <v>85</v>
      </c>
      <c r="D97" s="33" t="n">
        <f aca="false">D96+1</f>
        <v>83</v>
      </c>
      <c r="E97" s="110" t="s">
        <v>261</v>
      </c>
      <c r="F97" s="110" t="s">
        <v>257</v>
      </c>
      <c r="G97" s="111" t="n">
        <v>126</v>
      </c>
      <c r="H97" s="111"/>
      <c r="I97" s="131" t="s">
        <v>262</v>
      </c>
      <c r="J97" s="50" t="n">
        <v>193.92</v>
      </c>
      <c r="K97" s="50" t="n">
        <f aca="false">G97*J97</f>
        <v>24433.92</v>
      </c>
      <c r="L97" s="56" t="s">
        <v>263</v>
      </c>
      <c r="M97" s="50" t="n">
        <v>190.83</v>
      </c>
      <c r="N97" s="50" t="n">
        <f aca="false">G97*M97</f>
        <v>24044.58</v>
      </c>
      <c r="O97" s="56" t="s">
        <v>264</v>
      </c>
      <c r="P97" s="50" t="n">
        <v>201.67</v>
      </c>
      <c r="Q97" s="50" t="n">
        <f aca="false">G97*P97</f>
        <v>25410.42</v>
      </c>
      <c r="R97" s="118"/>
      <c r="S97" s="52" t="n">
        <f aca="false">R97*G97</f>
        <v>0</v>
      </c>
      <c r="T97" s="57"/>
      <c r="U97" s="42" t="e">
        <f aca="false">ROUND(J97*100/R97-100,0)</f>
        <v>#DIV/0!</v>
      </c>
      <c r="V97" s="42" t="e">
        <f aca="false">ROUND(M97*100/R97-100,0)</f>
        <v>#DIV/0!</v>
      </c>
      <c r="W97" s="42" t="e">
        <f aca="false">ROUND(P97*100/R97-100,0)</f>
        <v>#DIV/0!</v>
      </c>
      <c r="X97" s="2"/>
      <c r="Y97" s="2"/>
      <c r="Z97" s="2"/>
      <c r="AA97" s="2"/>
      <c r="AB97" s="2"/>
      <c r="AC97" s="2"/>
      <c r="AD97" s="2"/>
      <c r="AE97" s="128"/>
      <c r="AF97" s="128"/>
      <c r="AG97" s="128"/>
      <c r="AH97" s="128"/>
      <c r="AI97" s="128"/>
      <c r="AJ97" s="128"/>
      <c r="AK97" s="128"/>
      <c r="AL97" s="128"/>
      <c r="AM97" s="129"/>
      <c r="AN97" s="119"/>
    </row>
    <row r="98" s="43" customFormat="true" ht="89.25" hidden="true" customHeight="false" outlineLevel="0" collapsed="false">
      <c r="A98" s="2"/>
      <c r="B98" s="33" t="n">
        <v>16</v>
      </c>
      <c r="C98" s="33" t="n">
        <f aca="false">C97+1</f>
        <v>86</v>
      </c>
      <c r="D98" s="33" t="n">
        <f aca="false">D97+1</f>
        <v>84</v>
      </c>
      <c r="E98" s="110" t="s">
        <v>265</v>
      </c>
      <c r="F98" s="110" t="s">
        <v>257</v>
      </c>
      <c r="G98" s="111" t="n">
        <v>10</v>
      </c>
      <c r="H98" s="111"/>
      <c r="I98" s="131" t="s">
        <v>262</v>
      </c>
      <c r="J98" s="50" t="n">
        <v>134.04</v>
      </c>
      <c r="K98" s="50" t="n">
        <f aca="false">G98*J98</f>
        <v>1340.4</v>
      </c>
      <c r="L98" s="131"/>
      <c r="M98" s="50"/>
      <c r="N98" s="50" t="n">
        <f aca="false">G98*M98</f>
        <v>0</v>
      </c>
      <c r="O98" s="131"/>
      <c r="P98" s="50"/>
      <c r="Q98" s="50" t="n">
        <f aca="false">G98*P98</f>
        <v>0</v>
      </c>
      <c r="R98" s="118"/>
      <c r="S98" s="52" t="n">
        <f aca="false">R98*G98</f>
        <v>0</v>
      </c>
      <c r="T98" s="57"/>
      <c r="U98" s="42" t="e">
        <f aca="false">ROUND(J98*100/R98-100,0)</f>
        <v>#DIV/0!</v>
      </c>
      <c r="V98" s="42" t="e">
        <f aca="false">ROUND(M98*100/R98-100,0)</f>
        <v>#DIV/0!</v>
      </c>
      <c r="W98" s="42" t="e">
        <f aca="false">ROUND(P98*100/R98-100,0)</f>
        <v>#DIV/0!</v>
      </c>
      <c r="X98" s="2"/>
      <c r="Y98" s="2"/>
      <c r="Z98" s="2"/>
      <c r="AA98" s="2"/>
      <c r="AB98" s="2"/>
      <c r="AC98" s="2"/>
      <c r="AD98" s="2"/>
      <c r="AE98" s="128"/>
      <c r="AF98" s="128"/>
      <c r="AG98" s="128"/>
      <c r="AH98" s="128"/>
      <c r="AI98" s="128"/>
      <c r="AJ98" s="128"/>
      <c r="AK98" s="128"/>
      <c r="AL98" s="128"/>
      <c r="AM98" s="129"/>
      <c r="AN98" s="119"/>
    </row>
    <row r="99" s="43" customFormat="true" ht="63.75" hidden="true" customHeight="false" outlineLevel="0" collapsed="false">
      <c r="A99" s="2"/>
      <c r="B99" s="33" t="n">
        <v>17</v>
      </c>
      <c r="C99" s="33" t="n">
        <f aca="false">C98+1</f>
        <v>87</v>
      </c>
      <c r="D99" s="33" t="n">
        <f aca="false">D98+1</f>
        <v>85</v>
      </c>
      <c r="E99" s="110" t="s">
        <v>266</v>
      </c>
      <c r="F99" s="110" t="s">
        <v>56</v>
      </c>
      <c r="G99" s="111" t="n">
        <v>90</v>
      </c>
      <c r="H99" s="111"/>
      <c r="I99" s="131" t="s">
        <v>267</v>
      </c>
      <c r="J99" s="50" t="n">
        <v>486</v>
      </c>
      <c r="K99" s="50" t="n">
        <f aca="false">G99*J99</f>
        <v>43740</v>
      </c>
      <c r="L99" s="131"/>
      <c r="M99" s="50"/>
      <c r="N99" s="50" t="n">
        <f aca="false">G99*M99</f>
        <v>0</v>
      </c>
      <c r="O99" s="131"/>
      <c r="P99" s="50"/>
      <c r="Q99" s="50" t="n">
        <f aca="false">G99*P99</f>
        <v>0</v>
      </c>
      <c r="R99" s="118"/>
      <c r="S99" s="52" t="n">
        <f aca="false">R99*G99</f>
        <v>0</v>
      </c>
      <c r="T99" s="57"/>
      <c r="U99" s="42" t="e">
        <f aca="false">ROUND(J99*100/R99-100,0)</f>
        <v>#DIV/0!</v>
      </c>
      <c r="V99" s="42" t="e">
        <f aca="false">ROUND(M99*100/R99-100,0)</f>
        <v>#DIV/0!</v>
      </c>
      <c r="W99" s="42" t="e">
        <f aca="false">ROUND(P99*100/R99-100,0)</f>
        <v>#DIV/0!</v>
      </c>
      <c r="X99" s="2"/>
      <c r="Y99" s="2"/>
      <c r="Z99" s="2"/>
      <c r="AA99" s="2"/>
      <c r="AB99" s="2"/>
      <c r="AC99" s="2"/>
      <c r="AD99" s="2"/>
      <c r="AE99" s="128"/>
      <c r="AF99" s="128"/>
      <c r="AG99" s="128"/>
      <c r="AH99" s="128"/>
      <c r="AI99" s="128"/>
      <c r="AJ99" s="128"/>
      <c r="AK99" s="128"/>
      <c r="AL99" s="128"/>
      <c r="AM99" s="129"/>
      <c r="AN99" s="119"/>
    </row>
    <row r="100" s="43" customFormat="true" ht="63.75" hidden="true" customHeight="false" outlineLevel="0" collapsed="false">
      <c r="A100" s="2"/>
      <c r="B100" s="33" t="n">
        <v>18</v>
      </c>
      <c r="C100" s="33" t="n">
        <f aca="false">C99+1</f>
        <v>88</v>
      </c>
      <c r="D100" s="33" t="n">
        <f aca="false">D99+1</f>
        <v>86</v>
      </c>
      <c r="E100" s="110" t="s">
        <v>268</v>
      </c>
      <c r="F100" s="110" t="s">
        <v>56</v>
      </c>
      <c r="G100" s="111" t="n">
        <v>90</v>
      </c>
      <c r="H100" s="111"/>
      <c r="I100" s="131" t="s">
        <v>267</v>
      </c>
      <c r="J100" s="50" t="n">
        <v>450</v>
      </c>
      <c r="K100" s="50" t="n">
        <f aca="false">G100*J100</f>
        <v>40500</v>
      </c>
      <c r="L100" s="131"/>
      <c r="M100" s="50"/>
      <c r="N100" s="50" t="n">
        <f aca="false">G100*M100</f>
        <v>0</v>
      </c>
      <c r="O100" s="131"/>
      <c r="P100" s="50"/>
      <c r="Q100" s="50" t="n">
        <f aca="false">G100*P100</f>
        <v>0</v>
      </c>
      <c r="R100" s="118"/>
      <c r="S100" s="52" t="n">
        <f aca="false">R100*G100</f>
        <v>0</v>
      </c>
      <c r="T100" s="57"/>
      <c r="U100" s="42" t="e">
        <f aca="false">ROUND(J100*100/R100-100,0)</f>
        <v>#DIV/0!</v>
      </c>
      <c r="V100" s="42" t="e">
        <f aca="false">ROUND(M100*100/R100-100,0)</f>
        <v>#DIV/0!</v>
      </c>
      <c r="W100" s="42" t="e">
        <f aca="false">ROUND(P100*100/R100-100,0)</f>
        <v>#DIV/0!</v>
      </c>
      <c r="X100" s="2"/>
      <c r="Y100" s="2"/>
      <c r="Z100" s="2"/>
      <c r="AA100" s="2"/>
      <c r="AB100" s="2"/>
      <c r="AC100" s="2"/>
      <c r="AD100" s="2"/>
      <c r="AE100" s="128"/>
      <c r="AF100" s="128"/>
      <c r="AG100" s="128"/>
      <c r="AH100" s="128"/>
      <c r="AI100" s="128"/>
      <c r="AJ100" s="128"/>
      <c r="AK100" s="128"/>
      <c r="AL100" s="128"/>
      <c r="AM100" s="129"/>
      <c r="AN100" s="119"/>
    </row>
    <row r="101" s="43" customFormat="true" ht="63.75" hidden="true" customHeight="false" outlineLevel="0" collapsed="false">
      <c r="A101" s="2"/>
      <c r="B101" s="33" t="n">
        <v>19</v>
      </c>
      <c r="C101" s="33" t="n">
        <f aca="false">C100+1</f>
        <v>89</v>
      </c>
      <c r="D101" s="33" t="n">
        <f aca="false">D100+1</f>
        <v>87</v>
      </c>
      <c r="E101" s="110" t="s">
        <v>269</v>
      </c>
      <c r="F101" s="110" t="s">
        <v>56</v>
      </c>
      <c r="G101" s="111" t="n">
        <v>90</v>
      </c>
      <c r="H101" s="111"/>
      <c r="I101" s="131" t="s">
        <v>267</v>
      </c>
      <c r="J101" s="50" t="n">
        <v>126</v>
      </c>
      <c r="K101" s="50" t="n">
        <f aca="false">G101*J101</f>
        <v>11340</v>
      </c>
      <c r="L101" s="131"/>
      <c r="M101" s="50"/>
      <c r="N101" s="50" t="n">
        <f aca="false">G101*M101</f>
        <v>0</v>
      </c>
      <c r="O101" s="131"/>
      <c r="P101" s="50"/>
      <c r="Q101" s="50" t="n">
        <f aca="false">G101*P101</f>
        <v>0</v>
      </c>
      <c r="R101" s="118"/>
      <c r="S101" s="52" t="n">
        <f aca="false">R101*G101</f>
        <v>0</v>
      </c>
      <c r="T101" s="57"/>
      <c r="U101" s="42" t="e">
        <f aca="false">ROUND(J101*100/R101-100,0)</f>
        <v>#DIV/0!</v>
      </c>
      <c r="V101" s="42" t="e">
        <f aca="false">ROUND(M101*100/R101-100,0)</f>
        <v>#DIV/0!</v>
      </c>
      <c r="W101" s="42" t="e">
        <f aca="false">ROUND(P101*100/R101-100,0)</f>
        <v>#DIV/0!</v>
      </c>
      <c r="X101" s="2"/>
      <c r="Y101" s="2"/>
      <c r="Z101" s="2"/>
      <c r="AA101" s="2"/>
      <c r="AB101" s="2"/>
      <c r="AC101" s="2"/>
      <c r="AD101" s="2"/>
      <c r="AE101" s="128"/>
      <c r="AF101" s="128"/>
      <c r="AG101" s="128"/>
      <c r="AH101" s="128"/>
      <c r="AI101" s="128"/>
      <c r="AJ101" s="128"/>
      <c r="AK101" s="128"/>
      <c r="AL101" s="128"/>
      <c r="AM101" s="129"/>
      <c r="AN101" s="119"/>
    </row>
    <row r="102" s="43" customFormat="true" ht="102" hidden="true" customHeight="false" outlineLevel="0" collapsed="false">
      <c r="A102" s="2"/>
      <c r="B102" s="33" t="n">
        <v>20</v>
      </c>
      <c r="C102" s="33" t="n">
        <f aca="false">C101+1</f>
        <v>90</v>
      </c>
      <c r="D102" s="33" t="n">
        <f aca="false">D101+1</f>
        <v>88</v>
      </c>
      <c r="E102" s="110" t="s">
        <v>270</v>
      </c>
      <c r="F102" s="110" t="s">
        <v>56</v>
      </c>
      <c r="G102" s="111" t="n">
        <v>1</v>
      </c>
      <c r="H102" s="111"/>
      <c r="I102" s="131" t="s">
        <v>271</v>
      </c>
      <c r="J102" s="50" t="n">
        <v>112.99</v>
      </c>
      <c r="K102" s="50" t="n">
        <f aca="false">G102*J102</f>
        <v>112.99</v>
      </c>
      <c r="L102" s="131" t="s">
        <v>272</v>
      </c>
      <c r="M102" s="50" t="n">
        <v>53</v>
      </c>
      <c r="N102" s="50" t="n">
        <f aca="false">G102*M102</f>
        <v>53</v>
      </c>
      <c r="O102" s="131"/>
      <c r="P102" s="50"/>
      <c r="Q102" s="50" t="n">
        <f aca="false">G102*P102</f>
        <v>0</v>
      </c>
      <c r="R102" s="118"/>
      <c r="S102" s="52" t="n">
        <f aca="false">R102*G102</f>
        <v>0</v>
      </c>
      <c r="T102" s="57"/>
      <c r="U102" s="42" t="e">
        <f aca="false">ROUND(J102*100/R102-100,0)</f>
        <v>#DIV/0!</v>
      </c>
      <c r="V102" s="42" t="e">
        <f aca="false">ROUND(M102*100/R102-100,0)</f>
        <v>#DIV/0!</v>
      </c>
      <c r="W102" s="42" t="e">
        <f aca="false">ROUND(P102*100/R102-100,0)</f>
        <v>#DIV/0!</v>
      </c>
      <c r="X102" s="2"/>
      <c r="Y102" s="2"/>
      <c r="Z102" s="2"/>
      <c r="AA102" s="2"/>
      <c r="AB102" s="2"/>
      <c r="AC102" s="2"/>
      <c r="AD102" s="2"/>
      <c r="AE102" s="128"/>
      <c r="AF102" s="128"/>
      <c r="AG102" s="128"/>
      <c r="AH102" s="128"/>
      <c r="AI102" s="128"/>
      <c r="AJ102" s="128"/>
      <c r="AK102" s="128"/>
      <c r="AL102" s="128"/>
      <c r="AM102" s="129"/>
      <c r="AN102" s="119"/>
    </row>
    <row r="103" s="43" customFormat="true" ht="102" hidden="true" customHeight="false" outlineLevel="0" collapsed="false">
      <c r="A103" s="2"/>
      <c r="B103" s="33" t="n">
        <v>21</v>
      </c>
      <c r="C103" s="33" t="n">
        <f aca="false">C102+1</f>
        <v>91</v>
      </c>
      <c r="D103" s="33" t="n">
        <f aca="false">D102+1</f>
        <v>89</v>
      </c>
      <c r="E103" s="110" t="s">
        <v>273</v>
      </c>
      <c r="F103" s="110" t="s">
        <v>56</v>
      </c>
      <c r="G103" s="111" t="n">
        <v>2</v>
      </c>
      <c r="H103" s="111"/>
      <c r="I103" s="131" t="s">
        <v>271</v>
      </c>
      <c r="J103" s="50" t="n">
        <v>145.35</v>
      </c>
      <c r="K103" s="50" t="n">
        <f aca="false">G103*J103</f>
        <v>290.7</v>
      </c>
      <c r="L103" s="131" t="s">
        <v>272</v>
      </c>
      <c r="M103" s="50" t="n">
        <v>120</v>
      </c>
      <c r="N103" s="50" t="n">
        <f aca="false">G103*M103</f>
        <v>240</v>
      </c>
      <c r="O103" s="131"/>
      <c r="P103" s="50"/>
      <c r="Q103" s="50" t="n">
        <f aca="false">G103*P103</f>
        <v>0</v>
      </c>
      <c r="R103" s="118"/>
      <c r="S103" s="52" t="n">
        <f aca="false">R103*G103</f>
        <v>0</v>
      </c>
      <c r="T103" s="57"/>
      <c r="U103" s="42" t="e">
        <f aca="false">ROUND(J103*100/R103-100,0)</f>
        <v>#DIV/0!</v>
      </c>
      <c r="V103" s="42" t="e">
        <f aca="false">ROUND(M103*100/R103-100,0)</f>
        <v>#DIV/0!</v>
      </c>
      <c r="W103" s="42" t="e">
        <f aca="false">ROUND(P103*100/R103-100,0)</f>
        <v>#DIV/0!</v>
      </c>
      <c r="X103" s="2"/>
      <c r="Y103" s="2"/>
      <c r="Z103" s="2"/>
      <c r="AA103" s="2"/>
      <c r="AB103" s="2"/>
      <c r="AC103" s="2"/>
      <c r="AD103" s="2"/>
      <c r="AE103" s="128"/>
      <c r="AF103" s="128"/>
      <c r="AG103" s="128"/>
      <c r="AH103" s="128"/>
      <c r="AI103" s="128"/>
      <c r="AJ103" s="128"/>
      <c r="AK103" s="128"/>
      <c r="AL103" s="128"/>
      <c r="AM103" s="129"/>
      <c r="AN103" s="119"/>
    </row>
    <row r="104" s="43" customFormat="true" ht="89.25" hidden="true" customHeight="false" outlineLevel="0" collapsed="false">
      <c r="A104" s="2"/>
      <c r="B104" s="33" t="n">
        <v>64</v>
      </c>
      <c r="C104" s="33" t="n">
        <f aca="false">C103+1</f>
        <v>92</v>
      </c>
      <c r="D104" s="33" t="n">
        <f aca="false">D103+1</f>
        <v>90</v>
      </c>
      <c r="E104" s="110" t="s">
        <v>274</v>
      </c>
      <c r="F104" s="110" t="s">
        <v>56</v>
      </c>
      <c r="G104" s="111" t="n">
        <v>20</v>
      </c>
      <c r="H104" s="111"/>
      <c r="I104" s="131" t="s">
        <v>275</v>
      </c>
      <c r="J104" s="50" t="n">
        <v>451.14</v>
      </c>
      <c r="K104" s="50" t="n">
        <f aca="false">G104*J104</f>
        <v>9022.8</v>
      </c>
      <c r="L104" s="131" t="s">
        <v>276</v>
      </c>
      <c r="M104" s="50" t="n">
        <v>603</v>
      </c>
      <c r="N104" s="50" t="n">
        <f aca="false">G104*M104</f>
        <v>12060</v>
      </c>
      <c r="O104" s="131" t="s">
        <v>277</v>
      </c>
      <c r="P104" s="50" t="n">
        <v>623</v>
      </c>
      <c r="Q104" s="50" t="n">
        <f aca="false">G104*P104</f>
        <v>12460</v>
      </c>
      <c r="R104" s="118" t="n">
        <f aca="false">AVERAGE(J104,M104,P104)</f>
        <v>559.046666666667</v>
      </c>
      <c r="S104" s="52" t="n">
        <f aca="false">R104*G104</f>
        <v>11180.9333333333</v>
      </c>
      <c r="T104" s="133"/>
      <c r="U104" s="42" t="n">
        <f aca="false">ROUND(J104*100/R104-100,0)</f>
        <v>-19</v>
      </c>
      <c r="V104" s="42" t="n">
        <f aca="false">ROUND(M104*100/R104-100,0)</f>
        <v>8</v>
      </c>
      <c r="W104" s="42" t="n">
        <f aca="false">ROUND(P104*100/R104-100,0)</f>
        <v>11</v>
      </c>
      <c r="X104" s="2"/>
      <c r="Y104" s="2"/>
      <c r="Z104" s="2"/>
      <c r="AA104" s="2"/>
      <c r="AB104" s="2"/>
      <c r="AC104" s="2"/>
      <c r="AD104" s="2"/>
      <c r="AE104" s="128"/>
      <c r="AF104" s="128"/>
      <c r="AG104" s="128"/>
      <c r="AH104" s="128"/>
      <c r="AI104" s="128"/>
      <c r="AJ104" s="128"/>
      <c r="AK104" s="128"/>
      <c r="AL104" s="128"/>
      <c r="AM104" s="129"/>
      <c r="AN104" s="119"/>
    </row>
    <row r="105" s="43" customFormat="true" ht="315" hidden="true" customHeight="false" outlineLevel="0" collapsed="false">
      <c r="A105" s="2"/>
      <c r="B105" s="33" t="n">
        <v>65</v>
      </c>
      <c r="C105" s="33" t="n">
        <f aca="false">C104+1</f>
        <v>93</v>
      </c>
      <c r="D105" s="33" t="n">
        <f aca="false">D104+1</f>
        <v>91</v>
      </c>
      <c r="E105" s="110" t="s">
        <v>278</v>
      </c>
      <c r="F105" s="110" t="s">
        <v>44</v>
      </c>
      <c r="G105" s="111" t="n">
        <v>16</v>
      </c>
      <c r="H105" s="111"/>
      <c r="I105" s="57" t="s">
        <v>279</v>
      </c>
      <c r="J105" s="50" t="n">
        <v>2040</v>
      </c>
      <c r="K105" s="50" t="n">
        <f aca="false">G105*J105</f>
        <v>32640</v>
      </c>
      <c r="L105" s="57" t="s">
        <v>280</v>
      </c>
      <c r="M105" s="50" t="n">
        <v>2046.67</v>
      </c>
      <c r="N105" s="50" t="n">
        <f aca="false">G105*M105</f>
        <v>32746.72</v>
      </c>
      <c r="O105" s="131" t="s">
        <v>281</v>
      </c>
      <c r="P105" s="50" t="n">
        <v>2100</v>
      </c>
      <c r="Q105" s="50" t="n">
        <f aca="false">G105*P105</f>
        <v>33600</v>
      </c>
      <c r="R105" s="118" t="n">
        <f aca="false">AVERAGE(J105,M105,P105)</f>
        <v>2062.22333333333</v>
      </c>
      <c r="S105" s="52" t="n">
        <f aca="false">R105*G105</f>
        <v>32995.5733333333</v>
      </c>
      <c r="T105" s="133"/>
      <c r="U105" s="42" t="n">
        <f aca="false">ROUND(J105*100/R105-100,0)</f>
        <v>-1</v>
      </c>
      <c r="V105" s="42" t="n">
        <f aca="false">ROUND(M105*100/R105-100,0)</f>
        <v>-1</v>
      </c>
      <c r="W105" s="42" t="n">
        <f aca="false">ROUND(P105*100/R105-100,0)</f>
        <v>2</v>
      </c>
      <c r="X105" s="2"/>
      <c r="Y105" s="2"/>
      <c r="Z105" s="2"/>
      <c r="AA105" s="2"/>
      <c r="AB105" s="2"/>
      <c r="AC105" s="2"/>
      <c r="AD105" s="2"/>
      <c r="AE105" s="128"/>
      <c r="AF105" s="128"/>
      <c r="AG105" s="128"/>
      <c r="AH105" s="128"/>
      <c r="AI105" s="128"/>
      <c r="AJ105" s="128"/>
      <c r="AK105" s="128"/>
      <c r="AL105" s="128"/>
      <c r="AM105" s="129"/>
      <c r="AN105" s="119"/>
    </row>
    <row r="106" s="43" customFormat="true" ht="89.25" hidden="true" customHeight="false" outlineLevel="0" collapsed="false">
      <c r="A106" s="2"/>
      <c r="B106" s="33" t="n">
        <v>66</v>
      </c>
      <c r="C106" s="33" t="n">
        <f aca="false">C105+1</f>
        <v>94</v>
      </c>
      <c r="D106" s="33" t="n">
        <f aca="false">D105+1</f>
        <v>92</v>
      </c>
      <c r="E106" s="110" t="s">
        <v>282</v>
      </c>
      <c r="F106" s="110" t="s">
        <v>56</v>
      </c>
      <c r="G106" s="111" t="n">
        <v>24</v>
      </c>
      <c r="H106" s="111"/>
      <c r="I106" s="131" t="s">
        <v>275</v>
      </c>
      <c r="J106" s="50" t="n">
        <v>439.72</v>
      </c>
      <c r="K106" s="50" t="n">
        <f aca="false">G106*J106</f>
        <v>10553.28</v>
      </c>
      <c r="L106" s="131" t="s">
        <v>276</v>
      </c>
      <c r="M106" s="50" t="n">
        <v>378.4</v>
      </c>
      <c r="N106" s="50" t="n">
        <f aca="false">G106*M106</f>
        <v>9081.6</v>
      </c>
      <c r="O106" s="131" t="s">
        <v>277</v>
      </c>
      <c r="P106" s="50" t="n">
        <v>395.15</v>
      </c>
      <c r="Q106" s="50" t="n">
        <f aca="false">G106*P106</f>
        <v>9483.6</v>
      </c>
      <c r="R106" s="118" t="n">
        <f aca="false">AVERAGE(J106,M106,P106)</f>
        <v>404.423333333333</v>
      </c>
      <c r="S106" s="52" t="n">
        <f aca="false">R106*G106</f>
        <v>9706.16</v>
      </c>
      <c r="T106" s="119"/>
      <c r="U106" s="42" t="n">
        <f aca="false">ROUND(J106*100/R106-100,0)</f>
        <v>9</v>
      </c>
      <c r="V106" s="42" t="n">
        <f aca="false">ROUND(M106*100/R106-100,0)</f>
        <v>-6</v>
      </c>
      <c r="W106" s="42" t="n">
        <f aca="false">ROUND(P106*100/R106-100,0)</f>
        <v>-2</v>
      </c>
      <c r="X106" s="2"/>
      <c r="Y106" s="2"/>
      <c r="Z106" s="2"/>
      <c r="AA106" s="2"/>
      <c r="AB106" s="2"/>
      <c r="AC106" s="2"/>
      <c r="AD106" s="2"/>
      <c r="AE106" s="128"/>
      <c r="AF106" s="128"/>
      <c r="AG106" s="128"/>
      <c r="AH106" s="128"/>
      <c r="AI106" s="128"/>
      <c r="AJ106" s="128"/>
      <c r="AK106" s="128"/>
      <c r="AL106" s="128"/>
      <c r="AM106" s="129"/>
      <c r="AN106" s="119"/>
    </row>
    <row r="107" s="43" customFormat="true" ht="127.5" hidden="true" customHeight="false" outlineLevel="0" collapsed="false">
      <c r="A107" s="2"/>
      <c r="B107" s="33" t="n">
        <v>67</v>
      </c>
      <c r="C107" s="33" t="n">
        <f aca="false">C106+1</f>
        <v>95</v>
      </c>
      <c r="D107" s="33" t="n">
        <f aca="false">D106+1</f>
        <v>93</v>
      </c>
      <c r="E107" s="110" t="s">
        <v>283</v>
      </c>
      <c r="F107" s="110" t="s">
        <v>56</v>
      </c>
      <c r="G107" s="111" t="n">
        <v>100</v>
      </c>
      <c r="H107" s="111"/>
      <c r="I107" s="56" t="s">
        <v>284</v>
      </c>
      <c r="J107" s="50" t="n">
        <v>460.83</v>
      </c>
      <c r="K107" s="50" t="n">
        <f aca="false">G107*J107</f>
        <v>46083</v>
      </c>
      <c r="L107" s="131" t="s">
        <v>276</v>
      </c>
      <c r="M107" s="50" t="n">
        <v>455</v>
      </c>
      <c r="N107" s="50" t="n">
        <f aca="false">G107*M107</f>
        <v>45500</v>
      </c>
      <c r="O107" s="131" t="s">
        <v>277</v>
      </c>
      <c r="P107" s="50" t="n">
        <v>473.67</v>
      </c>
      <c r="Q107" s="50" t="n">
        <f aca="false">G107*P107</f>
        <v>47367</v>
      </c>
      <c r="R107" s="118" t="n">
        <f aca="false">AVERAGE(J107,M107,P107)</f>
        <v>463.166666666667</v>
      </c>
      <c r="S107" s="52" t="n">
        <f aca="false">R107*G107</f>
        <v>46316.6666666667</v>
      </c>
      <c r="T107" s="119"/>
      <c r="U107" s="42" t="n">
        <f aca="false">ROUND(J107*100/R107-100,0)</f>
        <v>-1</v>
      </c>
      <c r="V107" s="42" t="n">
        <f aca="false">ROUND(M107*100/R107-100,0)</f>
        <v>-2</v>
      </c>
      <c r="W107" s="42" t="n">
        <f aca="false">ROUND(P107*100/R107-100,0)</f>
        <v>2</v>
      </c>
      <c r="X107" s="2"/>
      <c r="Y107" s="2"/>
      <c r="Z107" s="2"/>
      <c r="AA107" s="2"/>
      <c r="AB107" s="2"/>
      <c r="AC107" s="2"/>
      <c r="AD107" s="2"/>
      <c r="AE107" s="128"/>
      <c r="AF107" s="128"/>
      <c r="AG107" s="128"/>
      <c r="AH107" s="128"/>
      <c r="AI107" s="128"/>
      <c r="AJ107" s="128"/>
      <c r="AK107" s="128"/>
      <c r="AL107" s="128"/>
      <c r="AM107" s="129"/>
      <c r="AN107" s="119"/>
    </row>
    <row r="108" s="43" customFormat="true" ht="76.5" hidden="true" customHeight="false" outlineLevel="0" collapsed="false">
      <c r="A108" s="2"/>
      <c r="B108" s="33" t="n">
        <v>68</v>
      </c>
      <c r="C108" s="33" t="n">
        <f aca="false">C107+1</f>
        <v>96</v>
      </c>
      <c r="D108" s="33" t="n">
        <f aca="false">D107+1</f>
        <v>94</v>
      </c>
      <c r="E108" s="110" t="s">
        <v>285</v>
      </c>
      <c r="F108" s="110" t="s">
        <v>56</v>
      </c>
      <c r="G108" s="111" t="n">
        <v>3</v>
      </c>
      <c r="H108" s="111"/>
      <c r="I108" s="131" t="s">
        <v>286</v>
      </c>
      <c r="J108" s="50" t="n">
        <v>83.34</v>
      </c>
      <c r="K108" s="50" t="n">
        <f aca="false">G108*J108</f>
        <v>250.02</v>
      </c>
      <c r="L108" s="131" t="s">
        <v>276</v>
      </c>
      <c r="M108" s="50" t="n">
        <v>91.25</v>
      </c>
      <c r="N108" s="50" t="n">
        <f aca="false">G108*M108</f>
        <v>273.75</v>
      </c>
      <c r="O108" s="131" t="s">
        <v>277</v>
      </c>
      <c r="P108" s="50" t="n">
        <v>101.03</v>
      </c>
      <c r="Q108" s="50" t="n">
        <f aca="false">G108*P108</f>
        <v>303.09</v>
      </c>
      <c r="R108" s="118" t="n">
        <f aca="false">AVERAGE(J108,M108,P108)</f>
        <v>91.8733333333333</v>
      </c>
      <c r="S108" s="52" t="n">
        <f aca="false">R108*G108</f>
        <v>275.62</v>
      </c>
      <c r="T108" s="119"/>
      <c r="U108" s="42" t="n">
        <f aca="false">ROUND(J108*100/R108-100,0)</f>
        <v>-9</v>
      </c>
      <c r="V108" s="42" t="n">
        <f aca="false">ROUND(M108*100/R108-100,0)</f>
        <v>-1</v>
      </c>
      <c r="W108" s="42" t="n">
        <f aca="false">ROUND(P108*100/R108-100,0)</f>
        <v>10</v>
      </c>
      <c r="X108" s="2"/>
      <c r="Y108" s="2"/>
      <c r="Z108" s="2"/>
      <c r="AA108" s="2"/>
      <c r="AB108" s="2"/>
      <c r="AC108" s="2"/>
      <c r="AD108" s="2"/>
      <c r="AE108" s="128"/>
      <c r="AF108" s="128"/>
      <c r="AG108" s="128"/>
      <c r="AH108" s="128"/>
      <c r="AI108" s="128"/>
      <c r="AJ108" s="128"/>
      <c r="AK108" s="128"/>
      <c r="AL108" s="128"/>
      <c r="AM108" s="129"/>
      <c r="AN108" s="119"/>
    </row>
    <row r="109" s="43" customFormat="true" ht="127.5" hidden="true" customHeight="false" outlineLevel="0" collapsed="false">
      <c r="A109" s="2"/>
      <c r="B109" s="33" t="n">
        <v>69</v>
      </c>
      <c r="C109" s="33" t="n">
        <f aca="false">C108+1</f>
        <v>97</v>
      </c>
      <c r="D109" s="33" t="n">
        <f aca="false">D108+1</f>
        <v>95</v>
      </c>
      <c r="E109" s="110" t="s">
        <v>287</v>
      </c>
      <c r="F109" s="110" t="s">
        <v>56</v>
      </c>
      <c r="G109" s="111" t="n">
        <v>2</v>
      </c>
      <c r="H109" s="111"/>
      <c r="I109" s="56" t="s">
        <v>288</v>
      </c>
      <c r="J109" s="50" t="n">
        <v>169333.33</v>
      </c>
      <c r="K109" s="50" t="n">
        <f aca="false">G109*J109</f>
        <v>338666.66</v>
      </c>
      <c r="L109" s="56" t="s">
        <v>289</v>
      </c>
      <c r="M109" s="50" t="n">
        <v>169333.33</v>
      </c>
      <c r="N109" s="50" t="n">
        <f aca="false">G109*M109</f>
        <v>338666.66</v>
      </c>
      <c r="O109" s="56" t="s">
        <v>290</v>
      </c>
      <c r="P109" s="50" t="n">
        <v>169333.33</v>
      </c>
      <c r="Q109" s="50" t="n">
        <f aca="false">G109*P109</f>
        <v>338666.66</v>
      </c>
      <c r="R109" s="118" t="n">
        <f aca="false">AVERAGE(J109,M109,P109)</f>
        <v>169333.33</v>
      </c>
      <c r="S109" s="52" t="n">
        <f aca="false">R109*G109</f>
        <v>338666.66</v>
      </c>
      <c r="T109" s="119"/>
      <c r="U109" s="42" t="n">
        <f aca="false">ROUND(J109*100/R109-100,0)</f>
        <v>0</v>
      </c>
      <c r="V109" s="42" t="n">
        <f aca="false">ROUND(M109*100/R109-100,0)</f>
        <v>0</v>
      </c>
      <c r="W109" s="42" t="n">
        <f aca="false">ROUND(P109*100/R109-100,0)</f>
        <v>0</v>
      </c>
      <c r="X109" s="2"/>
      <c r="Y109" s="2"/>
      <c r="Z109" s="2"/>
      <c r="AA109" s="2"/>
      <c r="AB109" s="2"/>
      <c r="AC109" s="2"/>
      <c r="AD109" s="2"/>
      <c r="AE109" s="128"/>
      <c r="AF109" s="128"/>
      <c r="AG109" s="128"/>
      <c r="AH109" s="128"/>
      <c r="AI109" s="128"/>
      <c r="AJ109" s="128"/>
      <c r="AK109" s="128"/>
      <c r="AL109" s="128"/>
      <c r="AM109" s="129"/>
      <c r="AN109" s="119"/>
    </row>
    <row r="110" s="43" customFormat="true" ht="89.25" hidden="true" customHeight="false" outlineLevel="0" collapsed="false">
      <c r="A110" s="2"/>
      <c r="B110" s="33" t="n">
        <v>70</v>
      </c>
      <c r="C110" s="33" t="n">
        <f aca="false">C109+1</f>
        <v>98</v>
      </c>
      <c r="D110" s="33" t="n">
        <f aca="false">D109+1</f>
        <v>96</v>
      </c>
      <c r="E110" s="110" t="s">
        <v>291</v>
      </c>
      <c r="F110" s="110" t="s">
        <v>56</v>
      </c>
      <c r="G110" s="111" t="n">
        <v>2</v>
      </c>
      <c r="H110" s="111"/>
      <c r="I110" s="131" t="s">
        <v>275</v>
      </c>
      <c r="J110" s="50" t="n">
        <v>33358.62</v>
      </c>
      <c r="K110" s="50" t="n">
        <f aca="false">G110*J110</f>
        <v>66717.24</v>
      </c>
      <c r="L110" s="131" t="s">
        <v>276</v>
      </c>
      <c r="M110" s="50" t="n">
        <v>24015.32</v>
      </c>
      <c r="N110" s="50" t="n">
        <f aca="false">G110*M110</f>
        <v>48030.64</v>
      </c>
      <c r="O110" s="131" t="s">
        <v>277</v>
      </c>
      <c r="P110" s="50" t="n">
        <v>26305</v>
      </c>
      <c r="Q110" s="50" t="n">
        <f aca="false">G110*P110</f>
        <v>52610</v>
      </c>
      <c r="R110" s="118" t="n">
        <f aca="false">AVERAGE(J110,M110,P110)</f>
        <v>27892.98</v>
      </c>
      <c r="S110" s="52" t="n">
        <f aca="false">R110*G110</f>
        <v>55785.96</v>
      </c>
      <c r="T110" s="119"/>
      <c r="U110" s="42" t="n">
        <f aca="false">ROUND(J110*100/R110-100,0)</f>
        <v>20</v>
      </c>
      <c r="V110" s="42" t="n">
        <f aca="false">ROUND(M110*100/R110-100,0)</f>
        <v>-14</v>
      </c>
      <c r="W110" s="42" t="n">
        <f aca="false">ROUND(P110*100/R110-100,0)</f>
        <v>-6</v>
      </c>
      <c r="X110" s="2"/>
      <c r="Y110" s="2"/>
      <c r="Z110" s="2"/>
      <c r="AA110" s="2"/>
      <c r="AB110" s="2"/>
      <c r="AC110" s="2"/>
      <c r="AD110" s="2"/>
      <c r="AE110" s="128"/>
      <c r="AF110" s="128"/>
      <c r="AG110" s="128"/>
      <c r="AH110" s="128"/>
      <c r="AI110" s="128"/>
      <c r="AJ110" s="128"/>
      <c r="AK110" s="128"/>
      <c r="AL110" s="128"/>
      <c r="AM110" s="129"/>
      <c r="AN110" s="119"/>
    </row>
    <row r="111" s="43" customFormat="true" ht="89.25" hidden="true" customHeight="false" outlineLevel="0" collapsed="false">
      <c r="A111" s="2"/>
      <c r="B111" s="33" t="n">
        <v>71</v>
      </c>
      <c r="C111" s="33" t="n">
        <f aca="false">C110+1</f>
        <v>99</v>
      </c>
      <c r="D111" s="33" t="n">
        <f aca="false">D110+1</f>
        <v>97</v>
      </c>
      <c r="E111" s="110" t="s">
        <v>292</v>
      </c>
      <c r="F111" s="110" t="s">
        <v>56</v>
      </c>
      <c r="G111" s="111" t="n">
        <v>10</v>
      </c>
      <c r="H111" s="111"/>
      <c r="I111" s="131" t="s">
        <v>275</v>
      </c>
      <c r="J111" s="50" t="n">
        <v>3344.79</v>
      </c>
      <c r="K111" s="50" t="n">
        <f aca="false">G111*J111</f>
        <v>33447.9</v>
      </c>
      <c r="L111" s="131" t="s">
        <v>276</v>
      </c>
      <c r="M111" s="50" t="n">
        <v>2517.4</v>
      </c>
      <c r="N111" s="50" t="n">
        <f aca="false">G111*M111</f>
        <v>25174</v>
      </c>
      <c r="O111" s="131" t="s">
        <v>277</v>
      </c>
      <c r="P111" s="50" t="n">
        <v>2645.33</v>
      </c>
      <c r="Q111" s="50" t="n">
        <f aca="false">G111*P111</f>
        <v>26453.3</v>
      </c>
      <c r="R111" s="118" t="n">
        <f aca="false">AVERAGE(J111,M111,P111)</f>
        <v>2835.84</v>
      </c>
      <c r="S111" s="52" t="n">
        <f aca="false">R111*G111</f>
        <v>28358.4</v>
      </c>
      <c r="T111" s="119"/>
      <c r="U111" s="42" t="n">
        <f aca="false">ROUND(J111*100/R111-100,0)</f>
        <v>18</v>
      </c>
      <c r="V111" s="42" t="n">
        <f aca="false">ROUND(M111*100/R111-100,0)</f>
        <v>-11</v>
      </c>
      <c r="W111" s="42" t="n">
        <f aca="false">ROUND(P111*100/R111-100,0)</f>
        <v>-7</v>
      </c>
      <c r="X111" s="2"/>
      <c r="Y111" s="2"/>
      <c r="Z111" s="2"/>
      <c r="AA111" s="2"/>
      <c r="AB111" s="2"/>
      <c r="AC111" s="2"/>
      <c r="AD111" s="2"/>
      <c r="AE111" s="128"/>
      <c r="AF111" s="128"/>
      <c r="AG111" s="128"/>
      <c r="AH111" s="128"/>
      <c r="AI111" s="128"/>
      <c r="AJ111" s="128"/>
      <c r="AK111" s="128"/>
      <c r="AL111" s="128"/>
      <c r="AM111" s="129"/>
      <c r="AN111" s="119"/>
    </row>
    <row r="112" s="43" customFormat="true" ht="89.25" hidden="true" customHeight="false" outlineLevel="0" collapsed="false">
      <c r="A112" s="2"/>
      <c r="B112" s="33" t="n">
        <v>72</v>
      </c>
      <c r="C112" s="33" t="n">
        <f aca="false">C111+1</f>
        <v>100</v>
      </c>
      <c r="D112" s="33" t="n">
        <f aca="false">D111+1</f>
        <v>98</v>
      </c>
      <c r="E112" s="110" t="s">
        <v>293</v>
      </c>
      <c r="F112" s="110" t="s">
        <v>56</v>
      </c>
      <c r="G112" s="111" t="n">
        <v>10</v>
      </c>
      <c r="H112" s="111"/>
      <c r="I112" s="131" t="s">
        <v>275</v>
      </c>
      <c r="J112" s="50" t="n">
        <v>3716.42</v>
      </c>
      <c r="K112" s="50" t="n">
        <f aca="false">G112*J112</f>
        <v>37164.2</v>
      </c>
      <c r="L112" s="131" t="s">
        <v>276</v>
      </c>
      <c r="M112" s="50" t="n">
        <v>2748</v>
      </c>
      <c r="N112" s="50" t="n">
        <f aca="false">G112*M112</f>
        <v>27480</v>
      </c>
      <c r="O112" s="131" t="s">
        <v>277</v>
      </c>
      <c r="P112" s="50" t="n">
        <v>2906</v>
      </c>
      <c r="Q112" s="50" t="n">
        <f aca="false">G112*P112</f>
        <v>29060</v>
      </c>
      <c r="R112" s="118" t="n">
        <f aca="false">AVERAGE(J112,M112,P112)</f>
        <v>3123.47333333333</v>
      </c>
      <c r="S112" s="52" t="n">
        <f aca="false">R112*G112</f>
        <v>31234.7333333333</v>
      </c>
      <c r="T112" s="119"/>
      <c r="U112" s="42" t="n">
        <f aca="false">ROUND(J112*100/R112-100,0)</f>
        <v>19</v>
      </c>
      <c r="V112" s="42" t="n">
        <f aca="false">ROUND(M112*100/R112-100,0)</f>
        <v>-12</v>
      </c>
      <c r="W112" s="42" t="n">
        <f aca="false">ROUND(P112*100/R112-100,0)</f>
        <v>-7</v>
      </c>
      <c r="X112" s="2"/>
      <c r="Y112" s="2"/>
      <c r="Z112" s="2"/>
      <c r="AA112" s="2"/>
      <c r="AB112" s="2"/>
      <c r="AC112" s="2"/>
      <c r="AD112" s="2"/>
      <c r="AE112" s="128"/>
      <c r="AF112" s="128"/>
      <c r="AG112" s="128"/>
      <c r="AH112" s="128"/>
      <c r="AI112" s="128"/>
      <c r="AJ112" s="128"/>
      <c r="AK112" s="128"/>
      <c r="AL112" s="128"/>
      <c r="AM112" s="129"/>
      <c r="AN112" s="119"/>
    </row>
    <row r="113" s="43" customFormat="true" ht="89.25" hidden="true" customHeight="false" outlineLevel="0" collapsed="false">
      <c r="A113" s="2"/>
      <c r="B113" s="33" t="n">
        <v>73</v>
      </c>
      <c r="C113" s="33" t="n">
        <f aca="false">C112+1</f>
        <v>101</v>
      </c>
      <c r="D113" s="33" t="n">
        <f aca="false">D112+1</f>
        <v>99</v>
      </c>
      <c r="E113" s="110" t="s">
        <v>294</v>
      </c>
      <c r="F113" s="110" t="s">
        <v>44</v>
      </c>
      <c r="G113" s="111" t="n">
        <v>15</v>
      </c>
      <c r="H113" s="111"/>
      <c r="I113" s="131" t="s">
        <v>275</v>
      </c>
      <c r="J113" s="50" t="n">
        <v>4504.76</v>
      </c>
      <c r="K113" s="50" t="n">
        <f aca="false">G113*J113</f>
        <v>67571.4</v>
      </c>
      <c r="L113" s="131" t="s">
        <v>276</v>
      </c>
      <c r="M113" s="50" t="n">
        <v>3815.19</v>
      </c>
      <c r="N113" s="50" t="n">
        <f aca="false">G113*M113</f>
        <v>57227.85</v>
      </c>
      <c r="O113" s="131" t="s">
        <v>277</v>
      </c>
      <c r="P113" s="50" t="n">
        <v>4010</v>
      </c>
      <c r="Q113" s="50" t="n">
        <f aca="false">G113*P113</f>
        <v>60150</v>
      </c>
      <c r="R113" s="118" t="n">
        <f aca="false">AVERAGE(J113,M113,P113)</f>
        <v>4109.98333333333</v>
      </c>
      <c r="S113" s="52" t="n">
        <f aca="false">R113*G113</f>
        <v>61649.75</v>
      </c>
      <c r="T113" s="119"/>
      <c r="U113" s="42" t="n">
        <f aca="false">ROUND(J113*100/R113-100,0)</f>
        <v>10</v>
      </c>
      <c r="V113" s="42" t="n">
        <f aca="false">ROUND(M113*100/R113-100,0)</f>
        <v>-7</v>
      </c>
      <c r="W113" s="42" t="n">
        <f aca="false">ROUND(P113*100/R113-100,0)</f>
        <v>-2</v>
      </c>
      <c r="X113" s="2"/>
      <c r="Y113" s="2"/>
      <c r="Z113" s="2"/>
      <c r="AA113" s="2"/>
      <c r="AB113" s="2"/>
      <c r="AC113" s="2"/>
      <c r="AD113" s="2"/>
      <c r="AE113" s="128"/>
      <c r="AF113" s="128"/>
      <c r="AG113" s="128"/>
      <c r="AH113" s="128"/>
      <c r="AI113" s="128"/>
      <c r="AJ113" s="128"/>
      <c r="AK113" s="128"/>
      <c r="AL113" s="128"/>
      <c r="AM113" s="129"/>
      <c r="AN113" s="119"/>
    </row>
    <row r="114" s="43" customFormat="true" ht="89.25" hidden="true" customHeight="false" outlineLevel="0" collapsed="false">
      <c r="A114" s="2"/>
      <c r="B114" s="33" t="n">
        <v>74</v>
      </c>
      <c r="C114" s="33" t="n">
        <f aca="false">C113+1</f>
        <v>102</v>
      </c>
      <c r="D114" s="33" t="n">
        <f aca="false">D113+1</f>
        <v>100</v>
      </c>
      <c r="E114" s="110" t="s">
        <v>295</v>
      </c>
      <c r="F114" s="110" t="s">
        <v>56</v>
      </c>
      <c r="G114" s="111" t="n">
        <v>20</v>
      </c>
      <c r="H114" s="111"/>
      <c r="I114" s="131" t="s">
        <v>275</v>
      </c>
      <c r="J114" s="50" t="n">
        <v>16204.25</v>
      </c>
      <c r="K114" s="50" t="n">
        <f aca="false">G114*J114</f>
        <v>324085</v>
      </c>
      <c r="L114" s="131" t="s">
        <v>276</v>
      </c>
      <c r="M114" s="50" t="n">
        <v>17451</v>
      </c>
      <c r="N114" s="50" t="n">
        <f aca="false">G114*M114</f>
        <v>349020</v>
      </c>
      <c r="O114" s="131" t="s">
        <v>277</v>
      </c>
      <c r="P114" s="50" t="n">
        <v>18715</v>
      </c>
      <c r="Q114" s="50" t="n">
        <f aca="false">G114*P114</f>
        <v>374300</v>
      </c>
      <c r="R114" s="118" t="n">
        <f aca="false">AVERAGE(J114,M114,P114)</f>
        <v>17456.75</v>
      </c>
      <c r="S114" s="52" t="n">
        <f aca="false">R114*G114</f>
        <v>349135</v>
      </c>
      <c r="T114" s="119"/>
      <c r="U114" s="42" t="n">
        <f aca="false">ROUND(J114*100/R114-100,0)</f>
        <v>-7</v>
      </c>
      <c r="V114" s="42" t="n">
        <f aca="false">ROUND(M114*100/R114-100,0)</f>
        <v>-0</v>
      </c>
      <c r="W114" s="42" t="n">
        <f aca="false">ROUND(P114*100/R114-100,0)</f>
        <v>7</v>
      </c>
      <c r="X114" s="2"/>
      <c r="Y114" s="2"/>
      <c r="Z114" s="2"/>
      <c r="AA114" s="2"/>
      <c r="AB114" s="2"/>
      <c r="AC114" s="2"/>
      <c r="AD114" s="2"/>
      <c r="AE114" s="128"/>
      <c r="AF114" s="128"/>
      <c r="AG114" s="128"/>
      <c r="AH114" s="128"/>
      <c r="AI114" s="128"/>
      <c r="AJ114" s="128"/>
      <c r="AK114" s="128"/>
      <c r="AL114" s="128"/>
      <c r="AM114" s="129"/>
      <c r="AN114" s="119"/>
    </row>
    <row r="115" s="43" customFormat="true" ht="89.25" hidden="true" customHeight="false" outlineLevel="0" collapsed="false">
      <c r="A115" s="2"/>
      <c r="B115" s="33" t="n">
        <v>75</v>
      </c>
      <c r="C115" s="33" t="n">
        <f aca="false">C114+1</f>
        <v>103</v>
      </c>
      <c r="D115" s="33" t="n">
        <f aca="false">D114+1</f>
        <v>101</v>
      </c>
      <c r="E115" s="110" t="s">
        <v>296</v>
      </c>
      <c r="F115" s="110" t="s">
        <v>56</v>
      </c>
      <c r="G115" s="111" t="n">
        <v>20</v>
      </c>
      <c r="H115" s="111"/>
      <c r="I115" s="131" t="s">
        <v>297</v>
      </c>
      <c r="J115" s="50" t="n">
        <v>161</v>
      </c>
      <c r="K115" s="50" t="n">
        <f aca="false">G115*J115</f>
        <v>3220</v>
      </c>
      <c r="L115" s="131" t="s">
        <v>298</v>
      </c>
      <c r="M115" s="50" t="n">
        <v>111</v>
      </c>
      <c r="N115" s="50" t="n">
        <f aca="false">G115*M115</f>
        <v>2220</v>
      </c>
      <c r="O115" s="131" t="s">
        <v>275</v>
      </c>
      <c r="P115" s="50" t="n">
        <v>144.8</v>
      </c>
      <c r="Q115" s="50" t="n">
        <f aca="false">G115*P115</f>
        <v>2896</v>
      </c>
      <c r="R115" s="118" t="n">
        <f aca="false">AVERAGE(J115,M115,P115)</f>
        <v>138.933333333333</v>
      </c>
      <c r="S115" s="52" t="n">
        <f aca="false">R115*G115</f>
        <v>2778.66666666667</v>
      </c>
      <c r="T115" s="119"/>
      <c r="U115" s="42" t="n">
        <f aca="false">ROUND(J115*100/R115-100,0)</f>
        <v>16</v>
      </c>
      <c r="V115" s="42" t="n">
        <f aca="false">ROUND(M115*100/R115-100,0)</f>
        <v>-20</v>
      </c>
      <c r="W115" s="42" t="n">
        <f aca="false">ROUND(P115*100/R115-100,0)</f>
        <v>4</v>
      </c>
      <c r="X115" s="2"/>
      <c r="Y115" s="2"/>
      <c r="Z115" s="2"/>
      <c r="AA115" s="2"/>
      <c r="AB115" s="2"/>
      <c r="AC115" s="2"/>
      <c r="AD115" s="2"/>
      <c r="AE115" s="128"/>
      <c r="AF115" s="128"/>
      <c r="AG115" s="128"/>
      <c r="AH115" s="128"/>
      <c r="AI115" s="128"/>
      <c r="AJ115" s="128"/>
      <c r="AK115" s="128"/>
      <c r="AL115" s="128"/>
      <c r="AM115" s="129"/>
      <c r="AN115" s="119"/>
    </row>
    <row r="116" s="43" customFormat="true" ht="89.25" hidden="true" customHeight="false" outlineLevel="0" collapsed="false">
      <c r="A116" s="2"/>
      <c r="B116" s="33" t="n">
        <v>76</v>
      </c>
      <c r="C116" s="33" t="n">
        <f aca="false">C115+1</f>
        <v>104</v>
      </c>
      <c r="D116" s="33" t="n">
        <f aca="false">D115+1</f>
        <v>102</v>
      </c>
      <c r="E116" s="110" t="s">
        <v>299</v>
      </c>
      <c r="F116" s="110" t="s">
        <v>31</v>
      </c>
      <c r="G116" s="111" t="n">
        <v>5</v>
      </c>
      <c r="H116" s="111"/>
      <c r="I116" s="131" t="s">
        <v>275</v>
      </c>
      <c r="J116" s="50" t="n">
        <v>579.18</v>
      </c>
      <c r="K116" s="50" t="n">
        <f aca="false">G116*J116</f>
        <v>2895.9</v>
      </c>
      <c r="L116" s="131" t="s">
        <v>276</v>
      </c>
      <c r="M116" s="50" t="n">
        <v>599.35</v>
      </c>
      <c r="N116" s="50" t="n">
        <f aca="false">G116*M116</f>
        <v>2996.75</v>
      </c>
      <c r="O116" s="131" t="s">
        <v>277</v>
      </c>
      <c r="P116" s="50" t="n">
        <v>611.1</v>
      </c>
      <c r="Q116" s="50" t="n">
        <f aca="false">G116*P116</f>
        <v>3055.5</v>
      </c>
      <c r="R116" s="118"/>
      <c r="S116" s="52" t="n">
        <f aca="false">R116*G116</f>
        <v>0</v>
      </c>
      <c r="T116" s="119"/>
      <c r="U116" s="42" t="e">
        <f aca="false">ROUND(J116*100/R116-100,0)</f>
        <v>#DIV/0!</v>
      </c>
      <c r="V116" s="42" t="e">
        <f aca="false">ROUND(M116*100/R116-100,0)</f>
        <v>#DIV/0!</v>
      </c>
      <c r="W116" s="42" t="e">
        <f aca="false">ROUND(P116*100/R116-100,0)</f>
        <v>#DIV/0!</v>
      </c>
      <c r="X116" s="2"/>
      <c r="Y116" s="2"/>
      <c r="Z116" s="2"/>
      <c r="AA116" s="2"/>
      <c r="AB116" s="2"/>
      <c r="AC116" s="2"/>
      <c r="AD116" s="2"/>
      <c r="AE116" s="128"/>
      <c r="AF116" s="128"/>
      <c r="AG116" s="128"/>
      <c r="AH116" s="128"/>
      <c r="AI116" s="128"/>
      <c r="AJ116" s="128"/>
      <c r="AK116" s="128"/>
      <c r="AL116" s="128"/>
      <c r="AM116" s="129"/>
      <c r="AN116" s="119"/>
    </row>
    <row r="117" s="43" customFormat="true" ht="89.25" hidden="true" customHeight="false" outlineLevel="0" collapsed="false">
      <c r="A117" s="2"/>
      <c r="B117" s="33" t="n">
        <v>77</v>
      </c>
      <c r="C117" s="33" t="n">
        <f aca="false">C116+1</f>
        <v>105</v>
      </c>
      <c r="D117" s="33" t="n">
        <f aca="false">D116+1</f>
        <v>103</v>
      </c>
      <c r="E117" s="110" t="s">
        <v>300</v>
      </c>
      <c r="F117" s="110" t="s">
        <v>56</v>
      </c>
      <c r="G117" s="111" t="n">
        <v>24</v>
      </c>
      <c r="H117" s="111"/>
      <c r="I117" s="131" t="s">
        <v>275</v>
      </c>
      <c r="J117" s="50" t="n">
        <v>194.35</v>
      </c>
      <c r="K117" s="50" t="n">
        <f aca="false">G117*J117</f>
        <v>4664.4</v>
      </c>
      <c r="L117" s="131" t="s">
        <v>276</v>
      </c>
      <c r="M117" s="50" t="n">
        <v>161</v>
      </c>
      <c r="N117" s="50" t="n">
        <f aca="false">G117*M117</f>
        <v>3864</v>
      </c>
      <c r="O117" s="131" t="s">
        <v>277</v>
      </c>
      <c r="P117" s="50" t="n">
        <v>183.2</v>
      </c>
      <c r="Q117" s="50" t="n">
        <f aca="false">G117*P117</f>
        <v>4396.8</v>
      </c>
      <c r="R117" s="118" t="n">
        <f aca="false">AVERAGE(J117,M117,P117)</f>
        <v>179.516666666667</v>
      </c>
      <c r="S117" s="52" t="n">
        <f aca="false">R117*G117</f>
        <v>4308.4</v>
      </c>
      <c r="T117" s="119"/>
      <c r="U117" s="42" t="n">
        <f aca="false">ROUND(J117*100/R117-100,0)</f>
        <v>8</v>
      </c>
      <c r="V117" s="42" t="n">
        <f aca="false">ROUND(M117*100/R117-100,0)</f>
        <v>-10</v>
      </c>
      <c r="W117" s="42" t="n">
        <f aca="false">ROUND(P117*100/R117-100,0)</f>
        <v>2</v>
      </c>
      <c r="X117" s="2"/>
      <c r="Y117" s="2"/>
      <c r="Z117" s="2"/>
      <c r="AA117" s="2"/>
      <c r="AB117" s="2"/>
      <c r="AC117" s="2"/>
      <c r="AD117" s="2"/>
      <c r="AE117" s="128"/>
      <c r="AF117" s="128"/>
      <c r="AG117" s="128"/>
      <c r="AH117" s="128"/>
      <c r="AI117" s="128"/>
      <c r="AJ117" s="128"/>
      <c r="AK117" s="128"/>
      <c r="AL117" s="128"/>
      <c r="AM117" s="129"/>
      <c r="AN117" s="119"/>
    </row>
    <row r="118" s="43" customFormat="true" ht="76.5" hidden="true" customHeight="false" outlineLevel="0" collapsed="false">
      <c r="A118" s="2"/>
      <c r="B118" s="33" t="n">
        <v>78</v>
      </c>
      <c r="C118" s="33" t="n">
        <f aca="false">C117+1</f>
        <v>106</v>
      </c>
      <c r="D118" s="33" t="n">
        <f aca="false">D117+1</f>
        <v>104</v>
      </c>
      <c r="E118" s="110" t="s">
        <v>301</v>
      </c>
      <c r="F118" s="110" t="s">
        <v>56</v>
      </c>
      <c r="G118" s="111" t="n">
        <v>20</v>
      </c>
      <c r="H118" s="111"/>
      <c r="I118" s="131" t="s">
        <v>286</v>
      </c>
      <c r="J118" s="50" t="n">
        <v>949.72</v>
      </c>
      <c r="K118" s="50" t="n">
        <f aca="false">G118*J118</f>
        <v>18994.4</v>
      </c>
      <c r="L118" s="131" t="s">
        <v>276</v>
      </c>
      <c r="M118" s="50" t="n">
        <v>989</v>
      </c>
      <c r="N118" s="50" t="n">
        <f aca="false">G118*M118</f>
        <v>19780</v>
      </c>
      <c r="O118" s="131" t="s">
        <v>277</v>
      </c>
      <c r="P118" s="50" t="n">
        <v>1111</v>
      </c>
      <c r="Q118" s="50" t="n">
        <f aca="false">G118*P118</f>
        <v>22220</v>
      </c>
      <c r="R118" s="118" t="n">
        <f aca="false">AVERAGE(J118,M118,P118)</f>
        <v>1016.57333333333</v>
      </c>
      <c r="S118" s="52" t="n">
        <f aca="false">R118*G118</f>
        <v>20331.4666666667</v>
      </c>
      <c r="T118" s="119"/>
      <c r="U118" s="42" t="n">
        <f aca="false">ROUND(J118*100/R118-100,0)</f>
        <v>-7</v>
      </c>
      <c r="V118" s="42" t="n">
        <f aca="false">ROUND(M118*100/R118-100,0)</f>
        <v>-3</v>
      </c>
      <c r="W118" s="42" t="n">
        <f aca="false">ROUND(P118*100/R118-100,0)</f>
        <v>9</v>
      </c>
      <c r="X118" s="2"/>
      <c r="Y118" s="2"/>
      <c r="Z118" s="2"/>
      <c r="AA118" s="2"/>
      <c r="AB118" s="2"/>
      <c r="AC118" s="2"/>
      <c r="AD118" s="2"/>
      <c r="AE118" s="128"/>
      <c r="AF118" s="128"/>
      <c r="AG118" s="128"/>
      <c r="AH118" s="128"/>
      <c r="AI118" s="128"/>
      <c r="AJ118" s="128"/>
      <c r="AK118" s="128"/>
      <c r="AL118" s="128"/>
      <c r="AM118" s="129"/>
      <c r="AN118" s="119"/>
    </row>
    <row r="119" s="43" customFormat="true" ht="89.25" hidden="true" customHeight="false" outlineLevel="0" collapsed="false">
      <c r="A119" s="2"/>
      <c r="B119" s="33" t="n">
        <v>79</v>
      </c>
      <c r="C119" s="33" t="n">
        <f aca="false">C118+1</f>
        <v>107</v>
      </c>
      <c r="D119" s="33" t="n">
        <f aca="false">D118+1</f>
        <v>105</v>
      </c>
      <c r="E119" s="110" t="s">
        <v>302</v>
      </c>
      <c r="F119" s="110" t="s">
        <v>56</v>
      </c>
      <c r="G119" s="111" t="n">
        <v>2</v>
      </c>
      <c r="H119" s="111"/>
      <c r="I119" s="131" t="s">
        <v>275</v>
      </c>
      <c r="J119" s="50" t="n">
        <v>19077.65</v>
      </c>
      <c r="K119" s="50" t="n">
        <f aca="false">G119*J119</f>
        <v>38155.3</v>
      </c>
      <c r="L119" s="131" t="s">
        <v>276</v>
      </c>
      <c r="M119" s="50" t="n">
        <v>19101</v>
      </c>
      <c r="N119" s="50" t="n">
        <f aca="false">G119*M119</f>
        <v>38202</v>
      </c>
      <c r="O119" s="131" t="s">
        <v>277</v>
      </c>
      <c r="P119" s="50" t="n">
        <v>14512</v>
      </c>
      <c r="Q119" s="50" t="n">
        <f aca="false">G119*P119</f>
        <v>29024</v>
      </c>
      <c r="R119" s="118" t="n">
        <f aca="false">AVERAGE(J119,M119,P119)</f>
        <v>17563.55</v>
      </c>
      <c r="S119" s="52" t="n">
        <f aca="false">R119*G119</f>
        <v>35127.1</v>
      </c>
      <c r="T119" s="119"/>
      <c r="U119" s="42" t="n">
        <f aca="false">ROUND(J119*100/R119-100,0)</f>
        <v>9</v>
      </c>
      <c r="V119" s="42" t="n">
        <f aca="false">ROUND(M119*100/R119-100,0)</f>
        <v>9</v>
      </c>
      <c r="W119" s="42" t="n">
        <f aca="false">ROUND(P119*100/R119-100,0)</f>
        <v>-17</v>
      </c>
      <c r="X119" s="2"/>
      <c r="Y119" s="2"/>
      <c r="Z119" s="2"/>
      <c r="AA119" s="2"/>
      <c r="AB119" s="2"/>
      <c r="AC119" s="2"/>
      <c r="AD119" s="2"/>
      <c r="AE119" s="128"/>
      <c r="AF119" s="128"/>
      <c r="AG119" s="128"/>
      <c r="AH119" s="128"/>
      <c r="AI119" s="128"/>
      <c r="AJ119" s="128"/>
      <c r="AK119" s="128"/>
      <c r="AL119" s="128"/>
      <c r="AM119" s="129"/>
      <c r="AN119" s="119"/>
    </row>
    <row r="120" s="43" customFormat="true" ht="89.25" hidden="true" customHeight="false" outlineLevel="0" collapsed="false">
      <c r="A120" s="2"/>
      <c r="B120" s="33" t="n">
        <v>80</v>
      </c>
      <c r="C120" s="33" t="n">
        <f aca="false">C119+1</f>
        <v>108</v>
      </c>
      <c r="D120" s="33" t="n">
        <f aca="false">D119+1</f>
        <v>106</v>
      </c>
      <c r="E120" s="110" t="s">
        <v>303</v>
      </c>
      <c r="F120" s="110" t="s">
        <v>56</v>
      </c>
      <c r="G120" s="111" t="n">
        <v>4</v>
      </c>
      <c r="H120" s="111"/>
      <c r="I120" s="131" t="s">
        <v>275</v>
      </c>
      <c r="J120" s="50" t="n">
        <v>1263.91</v>
      </c>
      <c r="K120" s="50" t="n">
        <f aca="false">G120*J120</f>
        <v>5055.64</v>
      </c>
      <c r="L120" s="131" t="s">
        <v>276</v>
      </c>
      <c r="M120" s="50" t="n">
        <v>1315.2</v>
      </c>
      <c r="N120" s="50" t="n">
        <f aca="false">G120*M120</f>
        <v>5260.8</v>
      </c>
      <c r="O120" s="131" t="s">
        <v>277</v>
      </c>
      <c r="P120" s="50" t="n">
        <v>1405.45</v>
      </c>
      <c r="Q120" s="50" t="n">
        <f aca="false">G120*P120</f>
        <v>5621.8</v>
      </c>
      <c r="R120" s="118" t="n">
        <f aca="false">AVERAGE(J120,M120,P120)</f>
        <v>1328.18666666667</v>
      </c>
      <c r="S120" s="52" t="n">
        <f aca="false">R120*G120</f>
        <v>5312.74666666667</v>
      </c>
      <c r="T120" s="119"/>
      <c r="U120" s="42" t="n">
        <f aca="false">ROUND(J120*100/R120-100,0)</f>
        <v>-5</v>
      </c>
      <c r="V120" s="42" t="n">
        <f aca="false">ROUND(M120*100/R120-100,0)</f>
        <v>-1</v>
      </c>
      <c r="W120" s="42" t="n">
        <f aca="false">ROUND(P120*100/R120-100,0)</f>
        <v>6</v>
      </c>
      <c r="X120" s="2"/>
      <c r="Y120" s="2"/>
      <c r="Z120" s="2"/>
      <c r="AA120" s="2"/>
      <c r="AB120" s="2"/>
      <c r="AC120" s="2"/>
      <c r="AD120" s="2"/>
      <c r="AE120" s="128"/>
      <c r="AF120" s="128"/>
      <c r="AG120" s="128"/>
      <c r="AH120" s="128"/>
      <c r="AI120" s="128"/>
      <c r="AJ120" s="128"/>
      <c r="AK120" s="128"/>
      <c r="AL120" s="128"/>
      <c r="AM120" s="129"/>
      <c r="AN120" s="119"/>
    </row>
    <row r="121" s="43" customFormat="true" ht="89.25" hidden="true" customHeight="false" outlineLevel="0" collapsed="false">
      <c r="A121" s="2"/>
      <c r="B121" s="33" t="n">
        <v>81</v>
      </c>
      <c r="C121" s="33" t="n">
        <f aca="false">C120+1</f>
        <v>109</v>
      </c>
      <c r="D121" s="33" t="n">
        <f aca="false">D120+1</f>
        <v>107</v>
      </c>
      <c r="E121" s="110" t="s">
        <v>304</v>
      </c>
      <c r="F121" s="110" t="s">
        <v>305</v>
      </c>
      <c r="G121" s="111" t="n">
        <v>60</v>
      </c>
      <c r="H121" s="111"/>
      <c r="I121" s="131" t="s">
        <v>275</v>
      </c>
      <c r="J121" s="50" t="n">
        <v>901.76</v>
      </c>
      <c r="K121" s="50" t="n">
        <f aca="false">G121*J121</f>
        <v>54105.6</v>
      </c>
      <c r="L121" s="131" t="s">
        <v>276</v>
      </c>
      <c r="M121" s="50" t="n">
        <v>821</v>
      </c>
      <c r="N121" s="50" t="n">
        <f aca="false">G121*M121</f>
        <v>49260</v>
      </c>
      <c r="O121" s="131" t="s">
        <v>277</v>
      </c>
      <c r="P121" s="50" t="n">
        <v>901</v>
      </c>
      <c r="Q121" s="50" t="n">
        <f aca="false">G121*P121</f>
        <v>54060</v>
      </c>
      <c r="R121" s="118" t="n">
        <f aca="false">AVERAGE(J121,M121,P121)</f>
        <v>874.586666666667</v>
      </c>
      <c r="S121" s="52" t="n">
        <f aca="false">R121*G121</f>
        <v>52475.2</v>
      </c>
      <c r="T121" s="119"/>
      <c r="U121" s="42" t="n">
        <f aca="false">ROUND(J121*100/R121-100,0)</f>
        <v>3</v>
      </c>
      <c r="V121" s="42" t="n">
        <f aca="false">ROUND(M121*100/R121-100,0)</f>
        <v>-6</v>
      </c>
      <c r="W121" s="42" t="n">
        <f aca="false">ROUND(P121*100/R121-100,0)</f>
        <v>3</v>
      </c>
      <c r="X121" s="2"/>
      <c r="Y121" s="2"/>
      <c r="Z121" s="2"/>
      <c r="AA121" s="2"/>
      <c r="AB121" s="2"/>
      <c r="AC121" s="2"/>
      <c r="AD121" s="2"/>
      <c r="AE121" s="128"/>
      <c r="AF121" s="128"/>
      <c r="AG121" s="128"/>
      <c r="AH121" s="128"/>
      <c r="AI121" s="128"/>
      <c r="AJ121" s="128"/>
      <c r="AK121" s="128"/>
      <c r="AL121" s="128"/>
      <c r="AM121" s="129"/>
      <c r="AN121" s="119"/>
    </row>
    <row r="122" s="43" customFormat="true" ht="89.25" hidden="true" customHeight="false" outlineLevel="0" collapsed="false">
      <c r="A122" s="2"/>
      <c r="B122" s="33" t="n">
        <v>82</v>
      </c>
      <c r="C122" s="33" t="n">
        <f aca="false">C121+1</f>
        <v>110</v>
      </c>
      <c r="D122" s="33" t="n">
        <f aca="false">D121+1</f>
        <v>108</v>
      </c>
      <c r="E122" s="110" t="s">
        <v>306</v>
      </c>
      <c r="F122" s="110" t="s">
        <v>257</v>
      </c>
      <c r="G122" s="111" t="n">
        <v>60</v>
      </c>
      <c r="H122" s="111"/>
      <c r="I122" s="131" t="s">
        <v>275</v>
      </c>
      <c r="J122" s="50" t="n">
        <v>372.41</v>
      </c>
      <c r="K122" s="50" t="n">
        <f aca="false">G122*J122</f>
        <v>22344.6</v>
      </c>
      <c r="L122" s="131" t="s">
        <v>276</v>
      </c>
      <c r="M122" s="50" t="n">
        <v>445</v>
      </c>
      <c r="N122" s="50" t="n">
        <f aca="false">G122*M122</f>
        <v>26700</v>
      </c>
      <c r="O122" s="131" t="s">
        <v>277</v>
      </c>
      <c r="P122" s="50" t="n">
        <v>478</v>
      </c>
      <c r="Q122" s="50" t="n">
        <f aca="false">G122*P122</f>
        <v>28680</v>
      </c>
      <c r="R122" s="118" t="n">
        <f aca="false">AVERAGE(J122,M122,P122)</f>
        <v>431.803333333333</v>
      </c>
      <c r="S122" s="52" t="n">
        <f aca="false">R122*G122</f>
        <v>25908.2</v>
      </c>
      <c r="T122" s="119"/>
      <c r="U122" s="42" t="n">
        <f aca="false">ROUND(J122*100/R122-100,0)</f>
        <v>-14</v>
      </c>
      <c r="V122" s="42" t="n">
        <f aca="false">ROUND(M122*100/R122-100,0)</f>
        <v>3</v>
      </c>
      <c r="W122" s="42" t="n">
        <f aca="false">ROUND(P122*100/R122-100,0)</f>
        <v>11</v>
      </c>
      <c r="X122" s="2"/>
      <c r="Y122" s="2"/>
      <c r="Z122" s="2"/>
      <c r="AA122" s="2"/>
      <c r="AB122" s="2"/>
      <c r="AC122" s="2"/>
      <c r="AD122" s="2"/>
      <c r="AE122" s="128"/>
      <c r="AF122" s="128"/>
      <c r="AG122" s="128"/>
      <c r="AH122" s="128"/>
      <c r="AI122" s="128"/>
      <c r="AJ122" s="128"/>
      <c r="AK122" s="128"/>
      <c r="AL122" s="128"/>
      <c r="AM122" s="129"/>
      <c r="AN122" s="119"/>
    </row>
    <row r="123" s="43" customFormat="true" ht="89.25" hidden="true" customHeight="false" outlineLevel="0" collapsed="false">
      <c r="A123" s="2"/>
      <c r="B123" s="33" t="n">
        <v>83</v>
      </c>
      <c r="C123" s="33" t="n">
        <f aca="false">C122+1</f>
        <v>111</v>
      </c>
      <c r="D123" s="33" t="n">
        <f aca="false">D122+1</f>
        <v>109</v>
      </c>
      <c r="E123" s="110" t="s">
        <v>307</v>
      </c>
      <c r="F123" s="110" t="s">
        <v>56</v>
      </c>
      <c r="G123" s="111" t="n">
        <v>2</v>
      </c>
      <c r="H123" s="111"/>
      <c r="I123" s="131" t="s">
        <v>275</v>
      </c>
      <c r="J123" s="50" t="n">
        <v>1348.22</v>
      </c>
      <c r="K123" s="50" t="n">
        <f aca="false">G123*J123</f>
        <v>2696.44</v>
      </c>
      <c r="L123" s="131" t="s">
        <v>276</v>
      </c>
      <c r="M123" s="50" t="n">
        <v>1352</v>
      </c>
      <c r="N123" s="50" t="n">
        <f aca="false">G123*M123</f>
        <v>2704</v>
      </c>
      <c r="O123" s="131" t="s">
        <v>277</v>
      </c>
      <c r="P123" s="50" t="n">
        <v>1410</v>
      </c>
      <c r="Q123" s="50" t="n">
        <f aca="false">G123*P123</f>
        <v>2820</v>
      </c>
      <c r="R123" s="118" t="n">
        <f aca="false">AVERAGE(J123,M123,P123)</f>
        <v>1370.07333333333</v>
      </c>
      <c r="S123" s="52" t="n">
        <f aca="false">R123*G123</f>
        <v>2740.14666666667</v>
      </c>
      <c r="T123" s="119"/>
      <c r="U123" s="42" t="n">
        <f aca="false">ROUND(J123*100/R123-100,0)</f>
        <v>-2</v>
      </c>
      <c r="V123" s="42" t="n">
        <f aca="false">ROUND(M123*100/R123-100,0)</f>
        <v>-1</v>
      </c>
      <c r="W123" s="42" t="n">
        <f aca="false">ROUND(P123*100/R123-100,0)</f>
        <v>3</v>
      </c>
      <c r="X123" s="2"/>
      <c r="Y123" s="2"/>
      <c r="Z123" s="2"/>
      <c r="AA123" s="2"/>
      <c r="AB123" s="2"/>
      <c r="AC123" s="2"/>
      <c r="AD123" s="2"/>
      <c r="AE123" s="128"/>
      <c r="AF123" s="128"/>
      <c r="AG123" s="128"/>
      <c r="AH123" s="128"/>
      <c r="AI123" s="128"/>
      <c r="AJ123" s="128"/>
      <c r="AK123" s="128"/>
      <c r="AL123" s="128"/>
      <c r="AM123" s="129"/>
      <c r="AN123" s="119"/>
    </row>
    <row r="124" s="43" customFormat="true" ht="89.25" hidden="true" customHeight="false" outlineLevel="0" collapsed="false">
      <c r="A124" s="2"/>
      <c r="B124" s="33" t="n">
        <v>84</v>
      </c>
      <c r="C124" s="33" t="n">
        <f aca="false">C123+1</f>
        <v>112</v>
      </c>
      <c r="D124" s="33" t="n">
        <f aca="false">D123+1</f>
        <v>110</v>
      </c>
      <c r="E124" s="110" t="s">
        <v>308</v>
      </c>
      <c r="F124" s="110" t="s">
        <v>56</v>
      </c>
      <c r="G124" s="111" t="n">
        <v>8</v>
      </c>
      <c r="H124" s="111"/>
      <c r="I124" s="131" t="s">
        <v>275</v>
      </c>
      <c r="J124" s="50" t="n">
        <v>750</v>
      </c>
      <c r="K124" s="50" t="n">
        <f aca="false">G124*J124</f>
        <v>6000</v>
      </c>
      <c r="L124" s="131" t="s">
        <v>276</v>
      </c>
      <c r="M124" s="50" t="n">
        <v>612.67</v>
      </c>
      <c r="N124" s="50" t="n">
        <f aca="false">G124*M124</f>
        <v>4901.36</v>
      </c>
      <c r="O124" s="131" t="s">
        <v>277</v>
      </c>
      <c r="P124" s="50" t="n">
        <v>623.13</v>
      </c>
      <c r="Q124" s="50" t="n">
        <f aca="false">G124*P124</f>
        <v>4985.04</v>
      </c>
      <c r="R124" s="118" t="n">
        <f aca="false">AVERAGE(J124,M124,P124)</f>
        <v>661.933333333333</v>
      </c>
      <c r="S124" s="52" t="n">
        <f aca="false">R124*G124</f>
        <v>5295.46666666667</v>
      </c>
      <c r="T124" s="119"/>
      <c r="U124" s="42" t="n">
        <f aca="false">ROUND(J124*100/R124-100,0)</f>
        <v>13</v>
      </c>
      <c r="V124" s="42" t="n">
        <f aca="false">ROUND(M124*100/R124-100,0)</f>
        <v>-7</v>
      </c>
      <c r="W124" s="42" t="n">
        <f aca="false">ROUND(P124*100/R124-100,0)</f>
        <v>-6</v>
      </c>
      <c r="X124" s="2"/>
      <c r="Y124" s="2"/>
      <c r="Z124" s="2"/>
      <c r="AA124" s="2"/>
      <c r="AB124" s="2"/>
      <c r="AC124" s="2"/>
      <c r="AD124" s="2"/>
      <c r="AE124" s="128"/>
      <c r="AF124" s="128"/>
      <c r="AG124" s="128"/>
      <c r="AH124" s="128"/>
      <c r="AI124" s="128"/>
      <c r="AJ124" s="128"/>
      <c r="AK124" s="128"/>
      <c r="AL124" s="128"/>
      <c r="AM124" s="129"/>
      <c r="AN124" s="119"/>
    </row>
    <row r="125" s="43" customFormat="true" ht="89.25" hidden="true" customHeight="false" outlineLevel="0" collapsed="false">
      <c r="A125" s="2"/>
      <c r="B125" s="33" t="n">
        <v>85</v>
      </c>
      <c r="C125" s="33" t="n">
        <f aca="false">C124+1</f>
        <v>113</v>
      </c>
      <c r="D125" s="33" t="n">
        <f aca="false">D124+1</f>
        <v>111</v>
      </c>
      <c r="E125" s="110" t="s">
        <v>309</v>
      </c>
      <c r="F125" s="110" t="s">
        <v>56</v>
      </c>
      <c r="G125" s="111" t="n">
        <v>2</v>
      </c>
      <c r="H125" s="111"/>
      <c r="I125" s="131" t="s">
        <v>286</v>
      </c>
      <c r="J125" s="50" t="n">
        <v>3021.766</v>
      </c>
      <c r="K125" s="50" t="n">
        <f aca="false">G125*J125</f>
        <v>6043.532</v>
      </c>
      <c r="L125" s="131" t="s">
        <v>275</v>
      </c>
      <c r="M125" s="50" t="n">
        <v>2896.39</v>
      </c>
      <c r="N125" s="50" t="n">
        <f aca="false">G125*M125</f>
        <v>5792.78</v>
      </c>
      <c r="O125" s="131" t="s">
        <v>277</v>
      </c>
      <c r="P125" s="50" t="n">
        <v>3400.05</v>
      </c>
      <c r="Q125" s="50" t="n">
        <f aca="false">G125*P125</f>
        <v>6800.1</v>
      </c>
      <c r="R125" s="118" t="n">
        <f aca="false">AVERAGE(J125,M125,P125)</f>
        <v>3106.06866666667</v>
      </c>
      <c r="S125" s="52" t="n">
        <f aca="false">R125*G125</f>
        <v>6212.13733333333</v>
      </c>
      <c r="T125" s="119"/>
      <c r="U125" s="42" t="n">
        <f aca="false">ROUND(J125*100/R125-100,0)</f>
        <v>-3</v>
      </c>
      <c r="V125" s="42" t="n">
        <f aca="false">ROUND(M125*100/R125-100,0)</f>
        <v>-7</v>
      </c>
      <c r="W125" s="42" t="n">
        <f aca="false">ROUND(P125*100/R125-100,0)</f>
        <v>9</v>
      </c>
      <c r="X125" s="2"/>
      <c r="Y125" s="2"/>
      <c r="Z125" s="2"/>
      <c r="AA125" s="2"/>
      <c r="AB125" s="2"/>
      <c r="AC125" s="2"/>
      <c r="AD125" s="2"/>
      <c r="AE125" s="128"/>
      <c r="AF125" s="128"/>
      <c r="AG125" s="128"/>
      <c r="AH125" s="128"/>
      <c r="AI125" s="128"/>
      <c r="AJ125" s="128"/>
      <c r="AK125" s="128"/>
      <c r="AL125" s="128"/>
      <c r="AM125" s="129"/>
      <c r="AN125" s="119"/>
    </row>
    <row r="126" s="43" customFormat="true" ht="89.25" hidden="true" customHeight="false" outlineLevel="0" collapsed="false">
      <c r="A126" s="2"/>
      <c r="B126" s="33" t="n">
        <v>86</v>
      </c>
      <c r="C126" s="33" t="n">
        <f aca="false">C125+1</f>
        <v>114</v>
      </c>
      <c r="D126" s="33" t="n">
        <f aca="false">D125+1</f>
        <v>112</v>
      </c>
      <c r="E126" s="110" t="s">
        <v>310</v>
      </c>
      <c r="F126" s="110" t="s">
        <v>56</v>
      </c>
      <c r="G126" s="111" t="n">
        <v>8</v>
      </c>
      <c r="H126" s="111"/>
      <c r="I126" s="131" t="s">
        <v>311</v>
      </c>
      <c r="J126" s="50" t="n">
        <v>4315.491</v>
      </c>
      <c r="K126" s="50" t="n">
        <f aca="false">G126*J126</f>
        <v>34523.928</v>
      </c>
      <c r="L126" s="131" t="s">
        <v>275</v>
      </c>
      <c r="M126" s="50" t="n">
        <v>4136.43</v>
      </c>
      <c r="N126" s="50" t="n">
        <f aca="false">G126*M126</f>
        <v>33091.44</v>
      </c>
      <c r="O126" s="131" t="s">
        <v>277</v>
      </c>
      <c r="P126" s="50" t="n">
        <v>4516.17</v>
      </c>
      <c r="Q126" s="50" t="n">
        <f aca="false">G126*P126</f>
        <v>36129.36</v>
      </c>
      <c r="R126" s="118" t="n">
        <f aca="false">AVERAGE(J126,M126,P126)</f>
        <v>4322.697</v>
      </c>
      <c r="S126" s="52" t="n">
        <f aca="false">R126*G126</f>
        <v>34581.576</v>
      </c>
      <c r="T126" s="119"/>
      <c r="U126" s="42" t="n">
        <f aca="false">ROUND(J126*100/R126-100,0)</f>
        <v>-0</v>
      </c>
      <c r="V126" s="42" t="n">
        <f aca="false">ROUND(M126*100/R126-100,0)</f>
        <v>-4</v>
      </c>
      <c r="W126" s="42" t="n">
        <f aca="false">ROUND(P126*100/R126-100,0)</f>
        <v>4</v>
      </c>
      <c r="X126" s="2"/>
      <c r="Y126" s="2"/>
      <c r="Z126" s="2"/>
      <c r="AA126" s="2"/>
      <c r="AB126" s="2"/>
      <c r="AC126" s="2"/>
      <c r="AD126" s="2"/>
      <c r="AE126" s="128"/>
      <c r="AF126" s="128"/>
      <c r="AG126" s="128"/>
      <c r="AH126" s="128"/>
      <c r="AI126" s="128"/>
      <c r="AJ126" s="128"/>
      <c r="AK126" s="128"/>
      <c r="AL126" s="128"/>
      <c r="AM126" s="129"/>
      <c r="AN126" s="119"/>
    </row>
    <row r="127" s="43" customFormat="true" ht="89.25" hidden="true" customHeight="false" outlineLevel="0" collapsed="false">
      <c r="A127" s="2"/>
      <c r="B127" s="33" t="n">
        <v>87</v>
      </c>
      <c r="C127" s="33" t="n">
        <f aca="false">C126+1</f>
        <v>115</v>
      </c>
      <c r="D127" s="33" t="n">
        <f aca="false">D126+1</f>
        <v>113</v>
      </c>
      <c r="E127" s="110" t="s">
        <v>312</v>
      </c>
      <c r="F127" s="110" t="s">
        <v>44</v>
      </c>
      <c r="G127" s="111" t="n">
        <v>2</v>
      </c>
      <c r="H127" s="111"/>
      <c r="I127" s="131" t="s">
        <v>313</v>
      </c>
      <c r="J127" s="50" t="n">
        <v>3137.366</v>
      </c>
      <c r="K127" s="50" t="n">
        <f aca="false">G127*J127</f>
        <v>6274.732</v>
      </c>
      <c r="L127" s="131" t="s">
        <v>275</v>
      </c>
      <c r="M127" s="50" t="n">
        <v>3007.19</v>
      </c>
      <c r="N127" s="50" t="n">
        <f aca="false">G127*M127</f>
        <v>6014.38</v>
      </c>
      <c r="O127" s="131" t="s">
        <v>277</v>
      </c>
      <c r="P127" s="50" t="n">
        <v>3523.06</v>
      </c>
      <c r="Q127" s="50" t="n">
        <f aca="false">G127*P127</f>
        <v>7046.12</v>
      </c>
      <c r="R127" s="118" t="n">
        <f aca="false">AVERAGE(J127,M127,P127)</f>
        <v>3222.53866666667</v>
      </c>
      <c r="S127" s="52" t="n">
        <f aca="false">R127*G127</f>
        <v>6445.07733333333</v>
      </c>
      <c r="T127" s="119"/>
      <c r="U127" s="42" t="n">
        <f aca="false">ROUND(J127*100/R127-100,0)</f>
        <v>-3</v>
      </c>
      <c r="V127" s="42" t="n">
        <f aca="false">ROUND(M127*100/R127-100,0)</f>
        <v>-7</v>
      </c>
      <c r="W127" s="42" t="n">
        <f aca="false">ROUND(P127*100/R127-100,0)</f>
        <v>9</v>
      </c>
      <c r="X127" s="2"/>
      <c r="Y127" s="2"/>
      <c r="Z127" s="2"/>
      <c r="AA127" s="2"/>
      <c r="AB127" s="2"/>
      <c r="AC127" s="2"/>
      <c r="AD127" s="2"/>
      <c r="AE127" s="128"/>
      <c r="AF127" s="128"/>
      <c r="AG127" s="128"/>
      <c r="AH127" s="128"/>
      <c r="AI127" s="128"/>
      <c r="AJ127" s="128"/>
      <c r="AK127" s="128"/>
      <c r="AL127" s="128"/>
      <c r="AM127" s="129"/>
      <c r="AN127" s="119"/>
    </row>
    <row r="128" s="43" customFormat="true" ht="89.25" hidden="true" customHeight="false" outlineLevel="0" collapsed="false">
      <c r="A128" s="2"/>
      <c r="B128" s="33" t="n">
        <v>88</v>
      </c>
      <c r="C128" s="33" t="n">
        <f aca="false">C127+1</f>
        <v>116</v>
      </c>
      <c r="D128" s="33" t="n">
        <f aca="false">D127+1</f>
        <v>114</v>
      </c>
      <c r="E128" s="110" t="s">
        <v>314</v>
      </c>
      <c r="F128" s="110" t="s">
        <v>44</v>
      </c>
      <c r="G128" s="111" t="n">
        <v>2</v>
      </c>
      <c r="H128" s="111"/>
      <c r="I128" s="131" t="s">
        <v>315</v>
      </c>
      <c r="J128" s="50" t="n">
        <v>2818.358</v>
      </c>
      <c r="K128" s="50" t="n">
        <f aca="false">G128*J128</f>
        <v>5636.716</v>
      </c>
      <c r="L128" s="131" t="s">
        <v>275</v>
      </c>
      <c r="M128" s="50" t="n">
        <v>2701.42</v>
      </c>
      <c r="N128" s="50" t="n">
        <f aca="false">G128*M128</f>
        <v>5402.84</v>
      </c>
      <c r="O128" s="131" t="s">
        <v>277</v>
      </c>
      <c r="P128" s="50" t="n">
        <v>3015.4</v>
      </c>
      <c r="Q128" s="50" t="n">
        <f aca="false">G128*P128</f>
        <v>6030.8</v>
      </c>
      <c r="R128" s="118" t="n">
        <f aca="false">AVERAGE(J128,M128,P128)</f>
        <v>2845.05933333333</v>
      </c>
      <c r="S128" s="52" t="n">
        <f aca="false">R128*G128</f>
        <v>5690.11866666667</v>
      </c>
      <c r="T128" s="119"/>
      <c r="U128" s="42" t="n">
        <f aca="false">ROUND(J128*100/R128-100,0)</f>
        <v>-1</v>
      </c>
      <c r="V128" s="42" t="n">
        <f aca="false">ROUND(M128*100/R128-100,0)</f>
        <v>-5</v>
      </c>
      <c r="W128" s="42" t="n">
        <f aca="false">ROUND(P128*100/R128-100,0)</f>
        <v>6</v>
      </c>
      <c r="X128" s="2"/>
      <c r="Y128" s="2"/>
      <c r="Z128" s="2"/>
      <c r="AA128" s="2"/>
      <c r="AB128" s="2"/>
      <c r="AC128" s="2"/>
      <c r="AD128" s="2"/>
      <c r="AE128" s="128"/>
      <c r="AF128" s="128"/>
      <c r="AG128" s="128"/>
      <c r="AH128" s="128"/>
      <c r="AI128" s="128"/>
      <c r="AJ128" s="128"/>
      <c r="AK128" s="128"/>
      <c r="AL128" s="128"/>
      <c r="AM128" s="129"/>
      <c r="AN128" s="119"/>
    </row>
    <row r="129" s="43" customFormat="true" ht="89.25" hidden="true" customHeight="false" outlineLevel="0" collapsed="false">
      <c r="A129" s="2"/>
      <c r="B129" s="33" t="n">
        <v>89</v>
      </c>
      <c r="C129" s="33" t="n">
        <f aca="false">C128+1</f>
        <v>117</v>
      </c>
      <c r="D129" s="33" t="n">
        <f aca="false">D128+1</f>
        <v>115</v>
      </c>
      <c r="E129" s="110" t="s">
        <v>316</v>
      </c>
      <c r="F129" s="110" t="s">
        <v>317</v>
      </c>
      <c r="G129" s="111" t="n">
        <v>10</v>
      </c>
      <c r="H129" s="111"/>
      <c r="I129" s="131" t="s">
        <v>318</v>
      </c>
      <c r="J129" s="50" t="n">
        <v>4331.866</v>
      </c>
      <c r="K129" s="50" t="n">
        <f aca="false">G129*J129</f>
        <v>43318.66</v>
      </c>
      <c r="L129" s="131" t="s">
        <v>275</v>
      </c>
      <c r="M129" s="50" t="n">
        <v>4820.78</v>
      </c>
      <c r="N129" s="50" t="n">
        <f aca="false">G129*M129</f>
        <v>48207.8</v>
      </c>
      <c r="O129" s="131" t="s">
        <v>277</v>
      </c>
      <c r="P129" s="50" t="n">
        <v>4365.2</v>
      </c>
      <c r="Q129" s="50" t="n">
        <f aca="false">G129*P129</f>
        <v>43652</v>
      </c>
      <c r="R129" s="118"/>
      <c r="S129" s="52" t="n">
        <f aca="false">R129*G129</f>
        <v>0</v>
      </c>
      <c r="T129" s="119"/>
      <c r="U129" s="42" t="e">
        <f aca="false">ROUND(J129*100/R129-100,0)</f>
        <v>#DIV/0!</v>
      </c>
      <c r="V129" s="42" t="e">
        <f aca="false">ROUND(M129*100/R129-100,0)</f>
        <v>#DIV/0!</v>
      </c>
      <c r="W129" s="42" t="e">
        <f aca="false">ROUND(P129*100/R129-100,0)</f>
        <v>#DIV/0!</v>
      </c>
      <c r="X129" s="2"/>
      <c r="Y129" s="2"/>
      <c r="Z129" s="2"/>
      <c r="AA129" s="2"/>
      <c r="AB129" s="2"/>
      <c r="AC129" s="2"/>
      <c r="AD129" s="2"/>
      <c r="AE129" s="128"/>
      <c r="AF129" s="128"/>
      <c r="AG129" s="128"/>
      <c r="AH129" s="128"/>
      <c r="AI129" s="128"/>
      <c r="AJ129" s="128"/>
      <c r="AK129" s="128"/>
      <c r="AL129" s="128"/>
      <c r="AM129" s="129"/>
      <c r="AN129" s="119"/>
    </row>
    <row r="130" s="43" customFormat="true" ht="89.25" hidden="true" customHeight="false" outlineLevel="0" collapsed="false">
      <c r="A130" s="2"/>
      <c r="B130" s="33" t="n">
        <v>90</v>
      </c>
      <c r="C130" s="33" t="n">
        <f aca="false">C129+1</f>
        <v>118</v>
      </c>
      <c r="D130" s="33" t="n">
        <f aca="false">D129+1</f>
        <v>116</v>
      </c>
      <c r="E130" s="110" t="s">
        <v>319</v>
      </c>
      <c r="F130" s="110" t="s">
        <v>56</v>
      </c>
      <c r="G130" s="111" t="n">
        <v>100</v>
      </c>
      <c r="H130" s="111"/>
      <c r="I130" s="131" t="s">
        <v>275</v>
      </c>
      <c r="J130" s="50" t="n">
        <v>105.54</v>
      </c>
      <c r="K130" s="50" t="n">
        <f aca="false">G130*J130</f>
        <v>10554</v>
      </c>
      <c r="L130" s="131" t="s">
        <v>276</v>
      </c>
      <c r="M130" s="50" t="n">
        <v>98</v>
      </c>
      <c r="N130" s="50" t="n">
        <f aca="false">G130*M130</f>
        <v>9800</v>
      </c>
      <c r="O130" s="131" t="s">
        <v>277</v>
      </c>
      <c r="P130" s="50" t="n">
        <v>108</v>
      </c>
      <c r="Q130" s="50" t="n">
        <f aca="false">G130*P130</f>
        <v>10800</v>
      </c>
      <c r="R130" s="118" t="n">
        <f aca="false">AVERAGE(J130,M130,P130)</f>
        <v>103.846666666667</v>
      </c>
      <c r="S130" s="52" t="n">
        <f aca="false">R130*G130</f>
        <v>10384.6666666667</v>
      </c>
      <c r="T130" s="119"/>
      <c r="U130" s="42" t="n">
        <f aca="false">ROUND(J130*100/R130-100,0)</f>
        <v>2</v>
      </c>
      <c r="V130" s="42" t="n">
        <f aca="false">ROUND(M130*100/R130-100,0)</f>
        <v>-6</v>
      </c>
      <c r="W130" s="42" t="n">
        <f aca="false">ROUND(P130*100/R130-100,0)</f>
        <v>4</v>
      </c>
      <c r="X130" s="2"/>
      <c r="Y130" s="2"/>
      <c r="Z130" s="2"/>
      <c r="AA130" s="2"/>
      <c r="AB130" s="2"/>
      <c r="AC130" s="2"/>
      <c r="AD130" s="2"/>
      <c r="AE130" s="128"/>
      <c r="AF130" s="128"/>
      <c r="AG130" s="128"/>
      <c r="AH130" s="128"/>
      <c r="AI130" s="128"/>
      <c r="AJ130" s="128"/>
      <c r="AK130" s="128"/>
      <c r="AL130" s="128"/>
      <c r="AM130" s="129"/>
      <c r="AN130" s="119"/>
    </row>
    <row r="131" s="43" customFormat="true" ht="89.25" hidden="true" customHeight="false" outlineLevel="0" collapsed="false">
      <c r="A131" s="2"/>
      <c r="B131" s="33" t="n">
        <v>91</v>
      </c>
      <c r="C131" s="33" t="n">
        <f aca="false">C130+1</f>
        <v>119</v>
      </c>
      <c r="D131" s="33" t="n">
        <f aca="false">D130+1</f>
        <v>117</v>
      </c>
      <c r="E131" s="110" t="s">
        <v>320</v>
      </c>
      <c r="F131" s="110" t="s">
        <v>56</v>
      </c>
      <c r="G131" s="111" t="n">
        <v>3</v>
      </c>
      <c r="H131" s="111"/>
      <c r="I131" s="131" t="s">
        <v>321</v>
      </c>
      <c r="J131" s="50" t="n">
        <v>903000</v>
      </c>
      <c r="K131" s="50" t="n">
        <f aca="false">G131*J131</f>
        <v>2709000</v>
      </c>
      <c r="L131" s="131" t="s">
        <v>322</v>
      </c>
      <c r="M131" s="50" t="n">
        <v>699000</v>
      </c>
      <c r="N131" s="50" t="n">
        <f aca="false">G131*M131</f>
        <v>2097000</v>
      </c>
      <c r="O131" s="131" t="s">
        <v>323</v>
      </c>
      <c r="P131" s="50" t="n">
        <v>750000</v>
      </c>
      <c r="Q131" s="50" t="n">
        <f aca="false">G131*P131</f>
        <v>2250000</v>
      </c>
      <c r="R131" s="118" t="n">
        <f aca="false">AVERAGE(M131,P131)</f>
        <v>724500</v>
      </c>
      <c r="S131" s="52" t="n">
        <f aca="false">R131*G131</f>
        <v>2173500</v>
      </c>
      <c r="T131" s="119" t="s">
        <v>324</v>
      </c>
      <c r="U131" s="42"/>
      <c r="V131" s="42" t="n">
        <f aca="false">ROUND(M131*100/R131-100,0)</f>
        <v>-4</v>
      </c>
      <c r="W131" s="42" t="n">
        <f aca="false">ROUND(P131*100/R131-100,0)</f>
        <v>4</v>
      </c>
      <c r="X131" s="2"/>
      <c r="Y131" s="2"/>
      <c r="Z131" s="2"/>
      <c r="AA131" s="2"/>
      <c r="AB131" s="2"/>
      <c r="AC131" s="2"/>
      <c r="AD131" s="2"/>
      <c r="AE131" s="128"/>
      <c r="AF131" s="128"/>
      <c r="AG131" s="128"/>
      <c r="AH131" s="128"/>
      <c r="AI131" s="128"/>
      <c r="AJ131" s="128"/>
      <c r="AK131" s="128"/>
      <c r="AL131" s="128"/>
      <c r="AM131" s="129"/>
      <c r="AN131" s="119"/>
    </row>
    <row r="132" s="43" customFormat="true" ht="89.25" hidden="true" customHeight="false" outlineLevel="0" collapsed="false">
      <c r="A132" s="2"/>
      <c r="B132" s="33" t="n">
        <v>92</v>
      </c>
      <c r="C132" s="33" t="n">
        <f aca="false">C131+1</f>
        <v>120</v>
      </c>
      <c r="D132" s="33" t="n">
        <f aca="false">D131+1</f>
        <v>118</v>
      </c>
      <c r="E132" s="110" t="s">
        <v>325</v>
      </c>
      <c r="F132" s="110" t="s">
        <v>326</v>
      </c>
      <c r="G132" s="111" t="n">
        <v>45</v>
      </c>
      <c r="H132" s="111"/>
      <c r="I132" s="131" t="s">
        <v>275</v>
      </c>
      <c r="J132" s="50" t="n">
        <v>437.6</v>
      </c>
      <c r="K132" s="50" t="n">
        <f aca="false">G132*J132</f>
        <v>19692</v>
      </c>
      <c r="L132" s="131" t="s">
        <v>276</v>
      </c>
      <c r="M132" s="50" t="n">
        <v>423</v>
      </c>
      <c r="N132" s="50" t="n">
        <f aca="false">G132*M132</f>
        <v>19035</v>
      </c>
      <c r="O132" s="131" t="s">
        <v>277</v>
      </c>
      <c r="P132" s="50" t="n">
        <v>437.18</v>
      </c>
      <c r="Q132" s="50" t="n">
        <f aca="false">G132*P132</f>
        <v>19673.1</v>
      </c>
      <c r="R132" s="118" t="n">
        <f aca="false">AVERAGE(J132,M132,P132)</f>
        <v>432.593333333333</v>
      </c>
      <c r="S132" s="52" t="n">
        <f aca="false">R132*G132</f>
        <v>19466.7</v>
      </c>
      <c r="T132" s="119"/>
      <c r="U132" s="42" t="n">
        <f aca="false">ROUND(J132*100/R132-100,0)</f>
        <v>1</v>
      </c>
      <c r="V132" s="42" t="n">
        <f aca="false">ROUND(M132*100/R132-100,0)</f>
        <v>-2</v>
      </c>
      <c r="W132" s="42" t="n">
        <f aca="false">ROUND(P132*100/R132-100,0)</f>
        <v>1</v>
      </c>
      <c r="X132" s="2"/>
      <c r="Y132" s="2"/>
      <c r="Z132" s="2"/>
      <c r="AA132" s="2"/>
      <c r="AB132" s="2"/>
      <c r="AC132" s="2"/>
      <c r="AD132" s="2"/>
      <c r="AE132" s="128"/>
      <c r="AF132" s="128"/>
      <c r="AG132" s="128"/>
      <c r="AH132" s="128"/>
      <c r="AI132" s="128"/>
      <c r="AJ132" s="128"/>
      <c r="AK132" s="128"/>
      <c r="AL132" s="128"/>
      <c r="AM132" s="129"/>
      <c r="AN132" s="119"/>
    </row>
    <row r="133" s="43" customFormat="true" ht="89.25" hidden="true" customHeight="false" outlineLevel="0" collapsed="false">
      <c r="A133" s="2"/>
      <c r="B133" s="33" t="n">
        <v>93</v>
      </c>
      <c r="C133" s="33" t="n">
        <f aca="false">C132+1</f>
        <v>121</v>
      </c>
      <c r="D133" s="33" t="n">
        <f aca="false">D132+1</f>
        <v>119</v>
      </c>
      <c r="E133" s="110" t="s">
        <v>327</v>
      </c>
      <c r="F133" s="110" t="s">
        <v>326</v>
      </c>
      <c r="G133" s="111" t="n">
        <v>15</v>
      </c>
      <c r="H133" s="111"/>
      <c r="I133" s="131" t="s">
        <v>275</v>
      </c>
      <c r="J133" s="50" t="n">
        <v>437.6</v>
      </c>
      <c r="K133" s="50" t="n">
        <f aca="false">G133*J133</f>
        <v>6564</v>
      </c>
      <c r="L133" s="131" t="s">
        <v>276</v>
      </c>
      <c r="M133" s="50" t="n">
        <v>435</v>
      </c>
      <c r="N133" s="50" t="n">
        <f aca="false">G133*M133</f>
        <v>6525</v>
      </c>
      <c r="O133" s="131" t="s">
        <v>277</v>
      </c>
      <c r="P133" s="50" t="n">
        <v>456.89</v>
      </c>
      <c r="Q133" s="50" t="n">
        <f aca="false">G133*P133</f>
        <v>6853.35</v>
      </c>
      <c r="R133" s="118" t="n">
        <f aca="false">AVERAGE(J133,M133,P133)</f>
        <v>443.163333333333</v>
      </c>
      <c r="S133" s="52" t="n">
        <f aca="false">R133*G133</f>
        <v>6647.45</v>
      </c>
      <c r="T133" s="119"/>
      <c r="U133" s="42" t="n">
        <f aca="false">ROUND(J133*100/R133-100,0)</f>
        <v>-1</v>
      </c>
      <c r="V133" s="42" t="n">
        <f aca="false">ROUND(M133*100/R133-100,0)</f>
        <v>-2</v>
      </c>
      <c r="W133" s="42" t="n">
        <f aca="false">ROUND(P133*100/R133-100,0)</f>
        <v>3</v>
      </c>
      <c r="X133" s="2"/>
      <c r="Y133" s="2"/>
      <c r="Z133" s="2"/>
      <c r="AA133" s="2"/>
      <c r="AB133" s="2"/>
      <c r="AC133" s="2"/>
      <c r="AD133" s="2"/>
      <c r="AE133" s="128"/>
      <c r="AF133" s="128"/>
      <c r="AG133" s="128"/>
      <c r="AH133" s="128"/>
      <c r="AI133" s="128"/>
      <c r="AJ133" s="128"/>
      <c r="AK133" s="128"/>
      <c r="AL133" s="128"/>
      <c r="AM133" s="129"/>
      <c r="AN133" s="119"/>
    </row>
    <row r="134" s="43" customFormat="true" ht="89.25" hidden="true" customHeight="false" outlineLevel="0" collapsed="false">
      <c r="A134" s="2"/>
      <c r="B134" s="33" t="n">
        <v>94</v>
      </c>
      <c r="C134" s="33" t="n">
        <f aca="false">C133+1</f>
        <v>122</v>
      </c>
      <c r="D134" s="33" t="n">
        <f aca="false">D133+1</f>
        <v>120</v>
      </c>
      <c r="E134" s="110" t="s">
        <v>328</v>
      </c>
      <c r="F134" s="110" t="s">
        <v>326</v>
      </c>
      <c r="G134" s="111" t="n">
        <v>15</v>
      </c>
      <c r="H134" s="111"/>
      <c r="I134" s="131" t="s">
        <v>277</v>
      </c>
      <c r="J134" s="50" t="n">
        <v>525</v>
      </c>
      <c r="K134" s="50" t="n">
        <f aca="false">G134*J134</f>
        <v>7875</v>
      </c>
      <c r="L134" s="131" t="s">
        <v>276</v>
      </c>
      <c r="M134" s="50" t="n">
        <v>510</v>
      </c>
      <c r="N134" s="50" t="n">
        <f aca="false">G134*M134</f>
        <v>7650</v>
      </c>
      <c r="O134" s="131" t="s">
        <v>275</v>
      </c>
      <c r="P134" s="50" t="n">
        <v>588.19</v>
      </c>
      <c r="Q134" s="50" t="n">
        <f aca="false">G134*P134</f>
        <v>8822.85</v>
      </c>
      <c r="R134" s="118" t="n">
        <f aca="false">AVERAGE(J134,M134,P134)</f>
        <v>541.063333333333</v>
      </c>
      <c r="S134" s="52" t="n">
        <f aca="false">R134*G134</f>
        <v>8115.95</v>
      </c>
      <c r="T134" s="119"/>
      <c r="U134" s="42" t="n">
        <f aca="false">ROUND(J134*100/R134-100,0)</f>
        <v>-3</v>
      </c>
      <c r="V134" s="42" t="n">
        <f aca="false">ROUND(M134*100/R134-100,0)</f>
        <v>-6</v>
      </c>
      <c r="W134" s="42" t="n">
        <f aca="false">ROUND(P134*100/R134-100,0)</f>
        <v>9</v>
      </c>
      <c r="X134" s="2"/>
      <c r="Y134" s="2"/>
      <c r="Z134" s="2"/>
      <c r="AA134" s="2"/>
      <c r="AB134" s="2"/>
      <c r="AC134" s="2"/>
      <c r="AD134" s="2"/>
      <c r="AE134" s="128"/>
      <c r="AF134" s="128"/>
      <c r="AG134" s="128"/>
      <c r="AH134" s="128"/>
      <c r="AI134" s="128"/>
      <c r="AJ134" s="128"/>
      <c r="AK134" s="128"/>
      <c r="AL134" s="128"/>
      <c r="AM134" s="129"/>
      <c r="AN134" s="119"/>
    </row>
    <row r="135" s="43" customFormat="true" ht="89.25" hidden="true" customHeight="false" outlineLevel="0" collapsed="false">
      <c r="A135" s="2"/>
      <c r="B135" s="33" t="n">
        <v>95</v>
      </c>
      <c r="C135" s="33" t="n">
        <f aca="false">C134+1</f>
        <v>123</v>
      </c>
      <c r="D135" s="33" t="n">
        <f aca="false">D134+1</f>
        <v>121</v>
      </c>
      <c r="E135" s="110" t="s">
        <v>329</v>
      </c>
      <c r="F135" s="110" t="s">
        <v>56</v>
      </c>
      <c r="G135" s="111" t="n">
        <v>1184</v>
      </c>
      <c r="H135" s="111"/>
      <c r="I135" s="131" t="s">
        <v>275</v>
      </c>
      <c r="J135" s="50" t="n">
        <v>98.26</v>
      </c>
      <c r="K135" s="50" t="n">
        <f aca="false">G135*J135</f>
        <v>116339.84</v>
      </c>
      <c r="L135" s="131" t="s">
        <v>276</v>
      </c>
      <c r="M135" s="50" t="n">
        <v>95.3</v>
      </c>
      <c r="N135" s="50" t="n">
        <f aca="false">G135*M135</f>
        <v>112835.2</v>
      </c>
      <c r="O135" s="131" t="s">
        <v>277</v>
      </c>
      <c r="P135" s="50" t="n">
        <v>100.4</v>
      </c>
      <c r="Q135" s="50" t="n">
        <f aca="false">G135*P135</f>
        <v>118873.6</v>
      </c>
      <c r="R135" s="118" t="n">
        <f aca="false">AVERAGE(J135,M135,P135)</f>
        <v>97.9866666666667</v>
      </c>
      <c r="S135" s="52" t="n">
        <f aca="false">R135*G135</f>
        <v>116016.213333333</v>
      </c>
      <c r="T135" s="119"/>
      <c r="U135" s="42" t="n">
        <f aca="false">ROUND(J135*100/R135-100,0)</f>
        <v>0</v>
      </c>
      <c r="V135" s="42" t="n">
        <f aca="false">ROUND(M135*100/R135-100,0)</f>
        <v>-3</v>
      </c>
      <c r="W135" s="42" t="n">
        <f aca="false">ROUND(P135*100/R135-100,0)</f>
        <v>2</v>
      </c>
      <c r="X135" s="2"/>
      <c r="Y135" s="2"/>
      <c r="Z135" s="2"/>
      <c r="AA135" s="2"/>
      <c r="AB135" s="2"/>
      <c r="AC135" s="2"/>
      <c r="AD135" s="2"/>
      <c r="AE135" s="128"/>
      <c r="AF135" s="128"/>
      <c r="AG135" s="128"/>
      <c r="AH135" s="128"/>
      <c r="AI135" s="128"/>
      <c r="AJ135" s="128"/>
      <c r="AK135" s="128"/>
      <c r="AL135" s="128"/>
      <c r="AM135" s="129"/>
      <c r="AN135" s="119"/>
    </row>
    <row r="136" s="43" customFormat="true" ht="89.25" hidden="true" customHeight="false" outlineLevel="0" collapsed="false">
      <c r="A136" s="2"/>
      <c r="B136" s="33" t="n">
        <v>96</v>
      </c>
      <c r="C136" s="33" t="n">
        <f aca="false">C135+1</f>
        <v>124</v>
      </c>
      <c r="D136" s="33" t="n">
        <f aca="false">D135+1</f>
        <v>122</v>
      </c>
      <c r="E136" s="110" t="s">
        <v>330</v>
      </c>
      <c r="F136" s="110" t="s">
        <v>56</v>
      </c>
      <c r="G136" s="111" t="n">
        <v>100</v>
      </c>
      <c r="H136" s="111"/>
      <c r="I136" s="131" t="s">
        <v>275</v>
      </c>
      <c r="J136" s="50" t="n">
        <v>278.27</v>
      </c>
      <c r="K136" s="50" t="n">
        <f aca="false">G136*J136</f>
        <v>27827</v>
      </c>
      <c r="L136" s="131" t="s">
        <v>276</v>
      </c>
      <c r="M136" s="50" t="n">
        <v>283.4</v>
      </c>
      <c r="N136" s="50" t="n">
        <f aca="false">G136*M136</f>
        <v>28340</v>
      </c>
      <c r="O136" s="131" t="s">
        <v>277</v>
      </c>
      <c r="P136" s="50" t="n">
        <v>301.15</v>
      </c>
      <c r="Q136" s="50" t="n">
        <f aca="false">G136*P136</f>
        <v>30115</v>
      </c>
      <c r="R136" s="118" t="n">
        <f aca="false">AVERAGE(J136,M136,P136)</f>
        <v>287.606666666667</v>
      </c>
      <c r="S136" s="52" t="n">
        <f aca="false">R136*G136</f>
        <v>28760.6666666667</v>
      </c>
      <c r="T136" s="119"/>
      <c r="U136" s="42" t="n">
        <f aca="false">ROUND(J136*100/R136-100,0)</f>
        <v>-3</v>
      </c>
      <c r="V136" s="42" t="n">
        <f aca="false">ROUND(M136*100/R136-100,0)</f>
        <v>-1</v>
      </c>
      <c r="W136" s="42" t="n">
        <f aca="false">ROUND(P136*100/R136-100,0)</f>
        <v>5</v>
      </c>
      <c r="X136" s="2"/>
      <c r="Y136" s="2"/>
      <c r="Z136" s="2"/>
      <c r="AA136" s="2"/>
      <c r="AB136" s="2"/>
      <c r="AC136" s="2"/>
      <c r="AD136" s="2"/>
      <c r="AE136" s="128"/>
      <c r="AF136" s="128"/>
      <c r="AG136" s="128"/>
      <c r="AH136" s="128"/>
      <c r="AI136" s="128"/>
      <c r="AJ136" s="128"/>
      <c r="AK136" s="128"/>
      <c r="AL136" s="128"/>
      <c r="AM136" s="129"/>
      <c r="AN136" s="119"/>
    </row>
    <row r="137" s="43" customFormat="true" ht="89.25" hidden="true" customHeight="false" outlineLevel="0" collapsed="false">
      <c r="A137" s="2"/>
      <c r="B137" s="33" t="n">
        <v>97</v>
      </c>
      <c r="C137" s="33" t="n">
        <f aca="false">C136+1</f>
        <v>125</v>
      </c>
      <c r="D137" s="33" t="n">
        <f aca="false">D136+1</f>
        <v>123</v>
      </c>
      <c r="E137" s="110" t="s">
        <v>331</v>
      </c>
      <c r="F137" s="110" t="s">
        <v>56</v>
      </c>
      <c r="G137" s="111" t="n">
        <v>3</v>
      </c>
      <c r="H137" s="111"/>
      <c r="I137" s="131" t="s">
        <v>275</v>
      </c>
      <c r="J137" s="50" t="n">
        <v>4018.04</v>
      </c>
      <c r="K137" s="50" t="n">
        <f aca="false">G137*J137</f>
        <v>12054.12</v>
      </c>
      <c r="L137" s="131" t="s">
        <v>276</v>
      </c>
      <c r="M137" s="50" t="n">
        <v>3115.33</v>
      </c>
      <c r="N137" s="50" t="n">
        <f aca="false">G137*M137</f>
        <v>9345.99</v>
      </c>
      <c r="O137" s="131" t="s">
        <v>332</v>
      </c>
      <c r="P137" s="50" t="n">
        <v>4333.33</v>
      </c>
      <c r="Q137" s="50" t="n">
        <f aca="false">G137*P137</f>
        <v>12999.99</v>
      </c>
      <c r="R137" s="118" t="n">
        <f aca="false">AVERAGE(J137,M137,P137)</f>
        <v>3822.23333333333</v>
      </c>
      <c r="S137" s="52" t="n">
        <f aca="false">R137*G137</f>
        <v>11466.7</v>
      </c>
      <c r="T137" s="119"/>
      <c r="U137" s="42" t="n">
        <f aca="false">ROUND(J137*100/R137-100,0)</f>
        <v>5</v>
      </c>
      <c r="V137" s="42" t="n">
        <f aca="false">ROUND(M137*100/R137-100,0)</f>
        <v>-18</v>
      </c>
      <c r="W137" s="42" t="n">
        <f aca="false">ROUND(P137*100/R137-100,0)</f>
        <v>13</v>
      </c>
      <c r="X137" s="2"/>
      <c r="Y137" s="2"/>
      <c r="Z137" s="2"/>
      <c r="AA137" s="2"/>
      <c r="AB137" s="2"/>
      <c r="AC137" s="2"/>
      <c r="AD137" s="2"/>
      <c r="AE137" s="128"/>
      <c r="AF137" s="128"/>
      <c r="AG137" s="128"/>
      <c r="AH137" s="128"/>
      <c r="AI137" s="128"/>
      <c r="AJ137" s="128"/>
      <c r="AK137" s="128"/>
      <c r="AL137" s="128"/>
      <c r="AM137" s="129"/>
      <c r="AN137" s="119"/>
    </row>
    <row r="138" s="43" customFormat="true" ht="89.25" hidden="true" customHeight="false" outlineLevel="0" collapsed="false">
      <c r="A138" s="2"/>
      <c r="B138" s="33" t="n">
        <v>98</v>
      </c>
      <c r="C138" s="33" t="n">
        <f aca="false">C137+1</f>
        <v>126</v>
      </c>
      <c r="D138" s="33" t="n">
        <f aca="false">D137+1</f>
        <v>124</v>
      </c>
      <c r="E138" s="110" t="s">
        <v>333</v>
      </c>
      <c r="F138" s="110" t="s">
        <v>56</v>
      </c>
      <c r="G138" s="111" t="n">
        <v>592</v>
      </c>
      <c r="H138" s="111"/>
      <c r="I138" s="131" t="s">
        <v>275</v>
      </c>
      <c r="J138" s="50" t="n">
        <v>36.22</v>
      </c>
      <c r="K138" s="50" t="n">
        <f aca="false">G138*J138</f>
        <v>21442.24</v>
      </c>
      <c r="L138" s="131" t="s">
        <v>276</v>
      </c>
      <c r="M138" s="50" t="n">
        <v>39.79</v>
      </c>
      <c r="N138" s="50" t="n">
        <f aca="false">G138*M138</f>
        <v>23555.68</v>
      </c>
      <c r="O138" s="131" t="s">
        <v>277</v>
      </c>
      <c r="P138" s="50" t="n">
        <v>38.2</v>
      </c>
      <c r="Q138" s="50" t="n">
        <f aca="false">G138*P138</f>
        <v>22614.4</v>
      </c>
      <c r="R138" s="118" t="n">
        <f aca="false">AVERAGE(J138,M138,P138)</f>
        <v>38.07</v>
      </c>
      <c r="S138" s="52" t="n">
        <f aca="false">R138*G138</f>
        <v>22537.44</v>
      </c>
      <c r="T138" s="119"/>
      <c r="U138" s="42" t="n">
        <f aca="false">ROUND(J138*100/R138-100,0)</f>
        <v>-5</v>
      </c>
      <c r="V138" s="42" t="n">
        <f aca="false">ROUND(M138*100/R138-100,0)</f>
        <v>5</v>
      </c>
      <c r="W138" s="42" t="n">
        <f aca="false">ROUND(P138*100/R138-100,0)</f>
        <v>0</v>
      </c>
      <c r="X138" s="2"/>
      <c r="Y138" s="2"/>
      <c r="Z138" s="2"/>
      <c r="AA138" s="2"/>
      <c r="AB138" s="2"/>
      <c r="AC138" s="2"/>
      <c r="AD138" s="2"/>
      <c r="AE138" s="128"/>
      <c r="AF138" s="128"/>
      <c r="AG138" s="128"/>
      <c r="AH138" s="128"/>
      <c r="AI138" s="128"/>
      <c r="AJ138" s="128"/>
      <c r="AK138" s="128"/>
      <c r="AL138" s="128"/>
      <c r="AM138" s="129"/>
      <c r="AN138" s="119"/>
    </row>
    <row r="139" s="43" customFormat="true" ht="120" hidden="true" customHeight="false" outlineLevel="0" collapsed="false">
      <c r="A139" s="2"/>
      <c r="B139" s="33" t="n">
        <v>99</v>
      </c>
      <c r="C139" s="33" t="n">
        <f aca="false">C138+1</f>
        <v>127</v>
      </c>
      <c r="D139" s="33" t="n">
        <f aca="false">D138+1</f>
        <v>125</v>
      </c>
      <c r="E139" s="110" t="s">
        <v>334</v>
      </c>
      <c r="F139" s="110" t="s">
        <v>31</v>
      </c>
      <c r="G139" s="111" t="n">
        <v>5.2</v>
      </c>
      <c r="H139" s="111"/>
      <c r="I139" s="131" t="s">
        <v>275</v>
      </c>
      <c r="J139" s="50" t="n">
        <v>3920.62</v>
      </c>
      <c r="K139" s="50" t="n">
        <f aca="false">G139*J139</f>
        <v>20387.224</v>
      </c>
      <c r="L139" s="57" t="s">
        <v>335</v>
      </c>
      <c r="M139" s="50" t="n">
        <v>3791.67</v>
      </c>
      <c r="N139" s="50" t="n">
        <f aca="false">G139*M139</f>
        <v>19716.684</v>
      </c>
      <c r="O139" s="57" t="s">
        <v>336</v>
      </c>
      <c r="P139" s="50" t="n">
        <v>4550.83</v>
      </c>
      <c r="Q139" s="50" t="n">
        <f aca="false">G139*P139</f>
        <v>23664.316</v>
      </c>
      <c r="R139" s="118" t="n">
        <f aca="false">AVERAGE(J139,M139,P139)</f>
        <v>4087.70666666667</v>
      </c>
      <c r="S139" s="52" t="n">
        <f aca="false">R139*G139</f>
        <v>21256.0746666667</v>
      </c>
      <c r="T139" s="119"/>
      <c r="U139" s="42" t="n">
        <f aca="false">ROUND(J139*100/R139-100,0)</f>
        <v>-4</v>
      </c>
      <c r="V139" s="42" t="n">
        <f aca="false">ROUND(M139*100/R139-100,0)</f>
        <v>-7</v>
      </c>
      <c r="W139" s="42" t="n">
        <f aca="false">ROUND(P139*100/R139-100,0)</f>
        <v>11</v>
      </c>
      <c r="X139" s="2"/>
      <c r="Y139" s="2"/>
      <c r="Z139" s="2"/>
      <c r="AA139" s="2"/>
      <c r="AB139" s="2"/>
      <c r="AC139" s="2"/>
      <c r="AD139" s="2"/>
      <c r="AE139" s="128"/>
      <c r="AF139" s="128"/>
      <c r="AG139" s="128"/>
      <c r="AH139" s="128"/>
      <c r="AI139" s="128"/>
      <c r="AJ139" s="128"/>
      <c r="AK139" s="128"/>
      <c r="AL139" s="128"/>
      <c r="AM139" s="129"/>
      <c r="AN139" s="119"/>
    </row>
    <row r="140" s="43" customFormat="true" ht="242.25" hidden="true" customHeight="false" outlineLevel="0" collapsed="false">
      <c r="A140" s="2"/>
      <c r="B140" s="33" t="n">
        <v>100</v>
      </c>
      <c r="C140" s="33" t="n">
        <f aca="false">C139+1</f>
        <v>128</v>
      </c>
      <c r="D140" s="33" t="n">
        <f aca="false">D139+1</f>
        <v>126</v>
      </c>
      <c r="E140" s="110" t="s">
        <v>337</v>
      </c>
      <c r="F140" s="110" t="s">
        <v>56</v>
      </c>
      <c r="G140" s="111" t="n">
        <v>1</v>
      </c>
      <c r="H140" s="111"/>
      <c r="I140" s="56" t="s">
        <v>338</v>
      </c>
      <c r="J140" s="50" t="n">
        <v>82500</v>
      </c>
      <c r="K140" s="50" t="n">
        <f aca="false">G140*J140</f>
        <v>82500</v>
      </c>
      <c r="L140" s="56" t="s">
        <v>339</v>
      </c>
      <c r="M140" s="50" t="n">
        <v>79166.67</v>
      </c>
      <c r="N140" s="50" t="n">
        <f aca="false">G140*M140</f>
        <v>79166.67</v>
      </c>
      <c r="O140" s="131" t="s">
        <v>275</v>
      </c>
      <c r="P140" s="50" t="n">
        <v>101324.83</v>
      </c>
      <c r="Q140" s="50" t="n">
        <f aca="false">G140*P140</f>
        <v>101324.83</v>
      </c>
      <c r="R140" s="118" t="n">
        <f aca="false">AVERAGE(J140,M140)</f>
        <v>80833.335</v>
      </c>
      <c r="S140" s="52" t="n">
        <f aca="false">R140*G140</f>
        <v>80833.335</v>
      </c>
      <c r="T140" s="119" t="s">
        <v>340</v>
      </c>
      <c r="U140" s="42" t="n">
        <f aca="false">ROUND(J140*100/R140-100,0)</f>
        <v>2</v>
      </c>
      <c r="V140" s="42" t="n">
        <f aca="false">ROUND(M140*100/R140-100,0)</f>
        <v>-2</v>
      </c>
      <c r="W140" s="42"/>
      <c r="X140" s="2"/>
      <c r="Y140" s="2"/>
      <c r="Z140" s="2"/>
      <c r="AA140" s="2"/>
      <c r="AB140" s="2"/>
      <c r="AC140" s="2"/>
      <c r="AD140" s="2"/>
      <c r="AE140" s="128"/>
      <c r="AF140" s="128"/>
      <c r="AG140" s="128"/>
      <c r="AH140" s="128"/>
      <c r="AI140" s="128"/>
      <c r="AJ140" s="128"/>
      <c r="AK140" s="128"/>
      <c r="AL140" s="128"/>
      <c r="AM140" s="129"/>
      <c r="AN140" s="119"/>
    </row>
    <row r="141" s="15" customFormat="true" ht="89.25" hidden="true" customHeight="false" outlineLevel="0" collapsed="false">
      <c r="A141" s="2"/>
      <c r="B141" s="33" t="n">
        <v>101</v>
      </c>
      <c r="C141" s="33" t="n">
        <f aca="false">C140+1</f>
        <v>129</v>
      </c>
      <c r="D141" s="33" t="n">
        <f aca="false">D140+1</f>
        <v>127</v>
      </c>
      <c r="E141" s="110" t="s">
        <v>341</v>
      </c>
      <c r="F141" s="110" t="s">
        <v>56</v>
      </c>
      <c r="G141" s="111" t="n">
        <v>1</v>
      </c>
      <c r="H141" s="111"/>
      <c r="I141" s="131" t="s">
        <v>275</v>
      </c>
      <c r="J141" s="50" t="n">
        <v>101324.83</v>
      </c>
      <c r="K141" s="50" t="n">
        <f aca="false">G141*J141</f>
        <v>101324.83</v>
      </c>
      <c r="L141" s="131" t="s">
        <v>276</v>
      </c>
      <c r="M141" s="50" t="n">
        <v>85356</v>
      </c>
      <c r="N141" s="50" t="n">
        <f aca="false">G141*M141</f>
        <v>85356</v>
      </c>
      <c r="O141" s="131" t="s">
        <v>277</v>
      </c>
      <c r="P141" s="50" t="n">
        <v>90140</v>
      </c>
      <c r="Q141" s="50" t="n">
        <f aca="false">G141*P141</f>
        <v>90140</v>
      </c>
      <c r="R141" s="118" t="n">
        <f aca="false">AVERAGE(J141,M141,P141)</f>
        <v>92273.61</v>
      </c>
      <c r="S141" s="52" t="n">
        <f aca="false">R141*G141</f>
        <v>92273.61</v>
      </c>
      <c r="T141" s="119"/>
      <c r="U141" s="42" t="n">
        <f aca="false">ROUND(J141*100/R141-100,0)</f>
        <v>10</v>
      </c>
      <c r="V141" s="42" t="n">
        <f aca="false">ROUND(M141*100/R141-100,0)</f>
        <v>-7</v>
      </c>
      <c r="W141" s="42" t="n">
        <f aca="false">ROUND(P141*100/R141-100,0)</f>
        <v>-2</v>
      </c>
      <c r="X141" s="2"/>
      <c r="Y141" s="2"/>
      <c r="Z141" s="2"/>
      <c r="AA141" s="2"/>
      <c r="AB141" s="2"/>
      <c r="AC141" s="2"/>
      <c r="AD141" s="2"/>
      <c r="AE141" s="128"/>
      <c r="AF141" s="128"/>
      <c r="AG141" s="128"/>
      <c r="AH141" s="128"/>
      <c r="AI141" s="128"/>
      <c r="AJ141" s="128"/>
      <c r="AK141" s="128"/>
      <c r="AL141" s="128"/>
      <c r="AM141" s="129"/>
      <c r="AN141" s="134"/>
    </row>
    <row r="142" s="2" customFormat="true" ht="409.5" hidden="true" customHeight="false" outlineLevel="0" collapsed="false">
      <c r="B142" s="33" t="n">
        <v>102</v>
      </c>
      <c r="C142" s="33" t="n">
        <f aca="false">C141+1</f>
        <v>130</v>
      </c>
      <c r="D142" s="33" t="n">
        <f aca="false">D141+1</f>
        <v>128</v>
      </c>
      <c r="E142" s="110" t="s">
        <v>342</v>
      </c>
      <c r="F142" s="110" t="s">
        <v>56</v>
      </c>
      <c r="G142" s="111" t="n">
        <v>296</v>
      </c>
      <c r="H142" s="111"/>
      <c r="I142" s="56" t="s">
        <v>343</v>
      </c>
      <c r="J142" s="50" t="n">
        <v>285.33</v>
      </c>
      <c r="K142" s="50" t="n">
        <f aca="false">G142*J142</f>
        <v>84457.68</v>
      </c>
      <c r="L142" s="56" t="s">
        <v>344</v>
      </c>
      <c r="M142" s="50" t="n">
        <v>285.5</v>
      </c>
      <c r="N142" s="50" t="n">
        <f aca="false">G142*M142</f>
        <v>84508</v>
      </c>
      <c r="O142" s="56" t="s">
        <v>345</v>
      </c>
      <c r="P142" s="50" t="n">
        <v>333.33</v>
      </c>
      <c r="Q142" s="50" t="n">
        <f aca="false">G142*P142</f>
        <v>98665.68</v>
      </c>
      <c r="R142" s="118" t="n">
        <f aca="false">AVERAGE(J142,M142,P142)</f>
        <v>301.386666666667</v>
      </c>
      <c r="S142" s="52" t="n">
        <f aca="false">R142*G142</f>
        <v>89210.4533333333</v>
      </c>
      <c r="T142" s="119"/>
      <c r="U142" s="42" t="n">
        <f aca="false">ROUND(J142*100/R142-100,0)</f>
        <v>-5</v>
      </c>
      <c r="V142" s="42" t="n">
        <f aca="false">ROUND(M142*100/R142-100,0)</f>
        <v>-5</v>
      </c>
      <c r="W142" s="42" t="n">
        <f aca="false">ROUND(P142*100/R142-100,0)</f>
        <v>11</v>
      </c>
      <c r="AE142" s="128"/>
      <c r="AF142" s="128"/>
      <c r="AG142" s="128"/>
      <c r="AH142" s="128"/>
      <c r="AI142" s="128"/>
      <c r="AJ142" s="128"/>
      <c r="AK142" s="128"/>
      <c r="AL142" s="128"/>
      <c r="AM142" s="129"/>
      <c r="AN142" s="128"/>
    </row>
    <row r="143" s="2" customFormat="true" ht="216.75" hidden="true" customHeight="false" outlineLevel="0" collapsed="false">
      <c r="B143" s="33" t="n">
        <v>103</v>
      </c>
      <c r="C143" s="33" t="n">
        <f aca="false">C142+1</f>
        <v>131</v>
      </c>
      <c r="D143" s="33" t="n">
        <f aca="false">D142+1</f>
        <v>129</v>
      </c>
      <c r="E143" s="110" t="s">
        <v>346</v>
      </c>
      <c r="F143" s="110" t="s">
        <v>317</v>
      </c>
      <c r="G143" s="111" t="n">
        <v>300</v>
      </c>
      <c r="H143" s="111"/>
      <c r="I143" s="56" t="s">
        <v>347</v>
      </c>
      <c r="J143" s="50" t="n">
        <v>20.73</v>
      </c>
      <c r="K143" s="50" t="n">
        <f aca="false">G143*J143</f>
        <v>6219</v>
      </c>
      <c r="L143" s="56" t="s">
        <v>348</v>
      </c>
      <c r="M143" s="50" t="n">
        <v>20.83</v>
      </c>
      <c r="N143" s="50" t="n">
        <f aca="false">G143*M143</f>
        <v>6249</v>
      </c>
      <c r="O143" s="56" t="s">
        <v>349</v>
      </c>
      <c r="P143" s="50" t="n">
        <v>19.17</v>
      </c>
      <c r="Q143" s="50" t="n">
        <f aca="false">G143*P143</f>
        <v>5751</v>
      </c>
      <c r="R143" s="118"/>
      <c r="S143" s="52" t="n">
        <f aca="false">R143*G143</f>
        <v>0</v>
      </c>
      <c r="T143" s="119"/>
      <c r="U143" s="42" t="e">
        <f aca="false">ROUND(J143*100/R143-100,0)</f>
        <v>#DIV/0!</v>
      </c>
      <c r="V143" s="42" t="e">
        <f aca="false">ROUND(M143*100/R143-100,0)</f>
        <v>#DIV/0!</v>
      </c>
      <c r="W143" s="42" t="e">
        <f aca="false">ROUND(P143*100/R143-100,0)</f>
        <v>#DIV/0!</v>
      </c>
      <c r="AE143" s="128"/>
      <c r="AF143" s="128"/>
      <c r="AG143" s="128"/>
      <c r="AH143" s="128"/>
      <c r="AI143" s="128"/>
      <c r="AJ143" s="128"/>
      <c r="AK143" s="128"/>
      <c r="AL143" s="128"/>
      <c r="AM143" s="129"/>
      <c r="AN143" s="128"/>
    </row>
    <row r="144" s="2" customFormat="true" ht="216.75" hidden="true" customHeight="false" outlineLevel="0" collapsed="false">
      <c r="B144" s="33" t="n">
        <v>104</v>
      </c>
      <c r="C144" s="33" t="n">
        <f aca="false">C143+1</f>
        <v>132</v>
      </c>
      <c r="D144" s="33" t="n">
        <f aca="false">D143+1</f>
        <v>130</v>
      </c>
      <c r="E144" s="110" t="s">
        <v>350</v>
      </c>
      <c r="F144" s="110" t="s">
        <v>317</v>
      </c>
      <c r="G144" s="111" t="n">
        <v>200</v>
      </c>
      <c r="H144" s="111"/>
      <c r="I144" s="56" t="s">
        <v>351</v>
      </c>
      <c r="J144" s="50" t="n">
        <v>10.3</v>
      </c>
      <c r="K144" s="50" t="n">
        <f aca="false">G144*J144</f>
        <v>2060</v>
      </c>
      <c r="L144" s="56" t="s">
        <v>352</v>
      </c>
      <c r="M144" s="50" t="n">
        <v>10</v>
      </c>
      <c r="N144" s="50" t="n">
        <f aca="false">G144*M144</f>
        <v>2000</v>
      </c>
      <c r="O144" s="131" t="s">
        <v>276</v>
      </c>
      <c r="P144" s="50" t="n">
        <v>10.45</v>
      </c>
      <c r="Q144" s="50" t="n">
        <f aca="false">G144*P144</f>
        <v>2090</v>
      </c>
      <c r="R144" s="118"/>
      <c r="S144" s="52" t="n">
        <f aca="false">R144*G144</f>
        <v>0</v>
      </c>
      <c r="T144" s="119"/>
      <c r="U144" s="42" t="e">
        <f aca="false">ROUND(J144*100/R144-100,0)</f>
        <v>#DIV/0!</v>
      </c>
      <c r="V144" s="42" t="e">
        <f aca="false">ROUND(M144*100/R144-100,0)</f>
        <v>#DIV/0!</v>
      </c>
      <c r="W144" s="42" t="e">
        <f aca="false">ROUND(P144*100/R144-100,0)</f>
        <v>#DIV/0!</v>
      </c>
      <c r="AE144" s="128"/>
      <c r="AF144" s="128"/>
      <c r="AG144" s="128"/>
      <c r="AH144" s="128"/>
      <c r="AI144" s="128"/>
      <c r="AJ144" s="128"/>
      <c r="AK144" s="128"/>
      <c r="AL144" s="128"/>
      <c r="AM144" s="129"/>
      <c r="AN144" s="128"/>
    </row>
    <row r="145" s="2" customFormat="true" ht="89.25" hidden="true" customHeight="false" outlineLevel="0" collapsed="false">
      <c r="B145" s="33" t="n">
        <v>105</v>
      </c>
      <c r="C145" s="33" t="n">
        <f aca="false">C144+1</f>
        <v>133</v>
      </c>
      <c r="D145" s="33" t="n">
        <f aca="false">D144+1</f>
        <v>131</v>
      </c>
      <c r="E145" s="110" t="s">
        <v>353</v>
      </c>
      <c r="F145" s="110" t="s">
        <v>44</v>
      </c>
      <c r="G145" s="111" t="n">
        <v>3</v>
      </c>
      <c r="H145" s="111"/>
      <c r="I145" s="131" t="s">
        <v>297</v>
      </c>
      <c r="J145" s="50" t="n">
        <v>4087.5</v>
      </c>
      <c r="K145" s="50" t="n">
        <f aca="false">G145*J145</f>
        <v>12262.5</v>
      </c>
      <c r="L145" s="131" t="s">
        <v>354</v>
      </c>
      <c r="M145" s="50" t="n">
        <v>4073.33</v>
      </c>
      <c r="N145" s="50" t="n">
        <f aca="false">G145*M145</f>
        <v>12219.99</v>
      </c>
      <c r="O145" s="131" t="s">
        <v>275</v>
      </c>
      <c r="P145" s="50" t="n">
        <v>4504.76</v>
      </c>
      <c r="Q145" s="50" t="n">
        <f aca="false">G145*P145</f>
        <v>13514.28</v>
      </c>
      <c r="R145" s="118" t="n">
        <f aca="false">AVERAGE(J145,M145,P145)</f>
        <v>4221.86333333333</v>
      </c>
      <c r="S145" s="52" t="n">
        <f aca="false">R145*G145</f>
        <v>12665.59</v>
      </c>
      <c r="T145" s="119"/>
      <c r="U145" s="42" t="n">
        <f aca="false">ROUND(J145*100/R145-100,0)</f>
        <v>-3</v>
      </c>
      <c r="V145" s="42" t="n">
        <f aca="false">ROUND(M145*100/R145-100,0)</f>
        <v>-4</v>
      </c>
      <c r="W145" s="42" t="n">
        <f aca="false">ROUND(P145*100/R145-100,0)</f>
        <v>7</v>
      </c>
      <c r="AE145" s="128"/>
      <c r="AF145" s="128"/>
      <c r="AG145" s="128"/>
      <c r="AH145" s="128"/>
      <c r="AI145" s="128"/>
      <c r="AJ145" s="128"/>
      <c r="AK145" s="128"/>
      <c r="AL145" s="128"/>
      <c r="AM145" s="129"/>
      <c r="AN145" s="128"/>
    </row>
    <row r="146" s="2" customFormat="true" ht="89.25" hidden="true" customHeight="false" outlineLevel="0" collapsed="false">
      <c r="B146" s="33" t="n">
        <v>106</v>
      </c>
      <c r="C146" s="33" t="n">
        <f aca="false">C145+1</f>
        <v>134</v>
      </c>
      <c r="D146" s="33" t="n">
        <f aca="false">D145+1</f>
        <v>132</v>
      </c>
      <c r="E146" s="110" t="s">
        <v>355</v>
      </c>
      <c r="F146" s="110" t="s">
        <v>56</v>
      </c>
      <c r="G146" s="111" t="n">
        <v>2368</v>
      </c>
      <c r="H146" s="111"/>
      <c r="I146" s="131" t="s">
        <v>286</v>
      </c>
      <c r="J146" s="50" t="n">
        <v>32.058</v>
      </c>
      <c r="K146" s="50" t="n">
        <f aca="false">G146*J146</f>
        <v>75913.344</v>
      </c>
      <c r="L146" s="131" t="s">
        <v>275</v>
      </c>
      <c r="M146" s="50" t="n">
        <v>32.45</v>
      </c>
      <c r="N146" s="50" t="n">
        <f aca="false">G146*M146</f>
        <v>76841.6</v>
      </c>
      <c r="O146" s="131" t="s">
        <v>277</v>
      </c>
      <c r="P146" s="50" t="n">
        <v>43.15</v>
      </c>
      <c r="Q146" s="50" t="n">
        <f aca="false">G146*P146</f>
        <v>102179.2</v>
      </c>
      <c r="R146" s="118" t="n">
        <f aca="false">AVERAGE(J146,M146,P146)</f>
        <v>35.886</v>
      </c>
      <c r="S146" s="52" t="n">
        <f aca="false">R146*G146</f>
        <v>84978.048</v>
      </c>
      <c r="T146" s="119"/>
      <c r="U146" s="42" t="n">
        <f aca="false">ROUND(J146*100/R146-100,0)</f>
        <v>-11</v>
      </c>
      <c r="V146" s="42" t="n">
        <f aca="false">ROUND(M146*100/R146-100,0)</f>
        <v>-10</v>
      </c>
      <c r="W146" s="42" t="n">
        <f aca="false">ROUND(P146*100/R146-100,0)</f>
        <v>20</v>
      </c>
      <c r="AE146" s="128"/>
      <c r="AF146" s="128"/>
      <c r="AG146" s="128"/>
      <c r="AH146" s="128"/>
      <c r="AI146" s="128"/>
      <c r="AJ146" s="128"/>
      <c r="AK146" s="128"/>
      <c r="AL146" s="128"/>
      <c r="AM146" s="129"/>
      <c r="AN146" s="128"/>
    </row>
    <row r="147" customFormat="false" ht="89.25" hidden="true" customHeight="false" outlineLevel="0" collapsed="false">
      <c r="A147" s="2"/>
      <c r="B147" s="33" t="n">
        <v>107</v>
      </c>
      <c r="C147" s="33" t="n">
        <f aca="false">C146+1</f>
        <v>135</v>
      </c>
      <c r="D147" s="33" t="n">
        <f aca="false">D146+1</f>
        <v>133</v>
      </c>
      <c r="E147" s="110" t="s">
        <v>356</v>
      </c>
      <c r="F147" s="110" t="s">
        <v>44</v>
      </c>
      <c r="G147" s="111" t="n">
        <v>300</v>
      </c>
      <c r="H147" s="111"/>
      <c r="I147" s="131" t="s">
        <v>311</v>
      </c>
      <c r="J147" s="50" t="n">
        <v>2.641</v>
      </c>
      <c r="K147" s="50" t="n">
        <f aca="false">G147*J147</f>
        <v>792.3</v>
      </c>
      <c r="L147" s="131" t="s">
        <v>275</v>
      </c>
      <c r="M147" s="50" t="n">
        <v>2.22</v>
      </c>
      <c r="N147" s="50" t="n">
        <f aca="false">G147*M147</f>
        <v>666</v>
      </c>
      <c r="O147" s="131" t="s">
        <v>277</v>
      </c>
      <c r="P147" s="50" t="n">
        <v>2.85</v>
      </c>
      <c r="Q147" s="50" t="n">
        <f aca="false">G147*P147</f>
        <v>855</v>
      </c>
      <c r="R147" s="118" t="n">
        <f aca="false">AVERAGE(J147,M147,P147)</f>
        <v>2.57033333333333</v>
      </c>
      <c r="S147" s="52" t="n">
        <f aca="false">R147*G147</f>
        <v>771.1</v>
      </c>
      <c r="T147" s="119"/>
      <c r="U147" s="42" t="n">
        <f aca="false">ROUND(J147*100/R147-100,0)</f>
        <v>3</v>
      </c>
      <c r="V147" s="42" t="n">
        <f aca="false">ROUND(M147*100/R147-100,0)</f>
        <v>-14</v>
      </c>
      <c r="W147" s="42" t="n">
        <f aca="false">ROUND(P147*100/R147-100,0)</f>
        <v>11</v>
      </c>
      <c r="X147" s="2"/>
      <c r="Y147" s="2"/>
      <c r="Z147" s="2"/>
      <c r="AA147" s="2"/>
      <c r="AB147" s="2"/>
      <c r="AC147" s="2"/>
      <c r="AD147" s="2"/>
      <c r="AE147" s="128"/>
      <c r="AF147" s="128"/>
      <c r="AG147" s="128"/>
      <c r="AH147" s="128"/>
      <c r="AI147" s="128"/>
      <c r="AJ147" s="128"/>
      <c r="AK147" s="128"/>
      <c r="AL147" s="128"/>
      <c r="AM147" s="129"/>
      <c r="AN147" s="135"/>
    </row>
    <row r="148" s="2" customFormat="true" ht="89.25" hidden="true" customHeight="false" outlineLevel="0" collapsed="false">
      <c r="B148" s="33" t="n">
        <v>108</v>
      </c>
      <c r="C148" s="33" t="n">
        <f aca="false">C147+1</f>
        <v>136</v>
      </c>
      <c r="D148" s="33" t="n">
        <f aca="false">D147+1</f>
        <v>134</v>
      </c>
      <c r="E148" s="110" t="s">
        <v>357</v>
      </c>
      <c r="F148" s="110" t="s">
        <v>44</v>
      </c>
      <c r="G148" s="111" t="n">
        <v>600</v>
      </c>
      <c r="H148" s="111"/>
      <c r="I148" s="131" t="s">
        <v>313</v>
      </c>
      <c r="J148" s="50" t="n">
        <v>5.116</v>
      </c>
      <c r="K148" s="50" t="n">
        <f aca="false">G148*J148</f>
        <v>3069.6</v>
      </c>
      <c r="L148" s="131" t="s">
        <v>275</v>
      </c>
      <c r="M148" s="50" t="n">
        <v>4.31</v>
      </c>
      <c r="N148" s="50" t="n">
        <f aca="false">G148*M148</f>
        <v>2586</v>
      </c>
      <c r="O148" s="131" t="s">
        <v>277</v>
      </c>
      <c r="P148" s="50" t="n">
        <v>5.53</v>
      </c>
      <c r="Q148" s="50" t="n">
        <f aca="false">G148*P148</f>
        <v>3318</v>
      </c>
      <c r="R148" s="118" t="n">
        <f aca="false">AVERAGE(J148,M148,P148)</f>
        <v>4.98533333333333</v>
      </c>
      <c r="S148" s="52" t="n">
        <f aca="false">R148*G148</f>
        <v>2991.2</v>
      </c>
      <c r="T148" s="119"/>
      <c r="U148" s="42" t="n">
        <f aca="false">ROUND(J148*100/R148-100,0)</f>
        <v>3</v>
      </c>
      <c r="V148" s="42" t="n">
        <f aca="false">ROUND(M148*100/R148-100,0)</f>
        <v>-14</v>
      </c>
      <c r="W148" s="42" t="n">
        <f aca="false">ROUND(P148*100/R148-100,0)</f>
        <v>11</v>
      </c>
      <c r="AE148" s="128"/>
      <c r="AF148" s="128"/>
      <c r="AG148" s="128"/>
      <c r="AH148" s="128"/>
      <c r="AI148" s="128"/>
      <c r="AJ148" s="128"/>
      <c r="AK148" s="128"/>
      <c r="AL148" s="128"/>
      <c r="AM148" s="129"/>
      <c r="AN148" s="128"/>
    </row>
    <row r="149" s="2" customFormat="true" ht="37.5" hidden="true" customHeight="true" outlineLevel="0" collapsed="false">
      <c r="B149" s="33" t="n">
        <v>109</v>
      </c>
      <c r="C149" s="33" t="n">
        <f aca="false">C148+1</f>
        <v>137</v>
      </c>
      <c r="D149" s="33" t="n">
        <f aca="false">D148+1</f>
        <v>135</v>
      </c>
      <c r="E149" s="110" t="s">
        <v>358</v>
      </c>
      <c r="F149" s="110" t="s">
        <v>359</v>
      </c>
      <c r="G149" s="111" t="n">
        <v>6.6</v>
      </c>
      <c r="H149" s="111"/>
      <c r="I149" s="56" t="s">
        <v>360</v>
      </c>
      <c r="J149" s="50" t="n">
        <v>829.5</v>
      </c>
      <c r="K149" s="50" t="n">
        <f aca="false">G149*J149</f>
        <v>5474.7</v>
      </c>
      <c r="L149" s="56" t="s">
        <v>361</v>
      </c>
      <c r="M149" s="50" t="n">
        <v>722.78</v>
      </c>
      <c r="N149" s="50" t="n">
        <f aca="false">G149*M149</f>
        <v>4770.348</v>
      </c>
      <c r="O149" s="56" t="s">
        <v>362</v>
      </c>
      <c r="P149" s="50" t="n">
        <v>895</v>
      </c>
      <c r="Q149" s="50" t="n">
        <f aca="false">G149*P149</f>
        <v>5907</v>
      </c>
      <c r="R149" s="118" t="n">
        <f aca="false">AVERAGE(J149,M149,P149)</f>
        <v>815.76</v>
      </c>
      <c r="S149" s="52" t="n">
        <f aca="false">R149*G149</f>
        <v>5384.016</v>
      </c>
      <c r="T149" s="119"/>
      <c r="U149" s="42" t="n">
        <f aca="false">ROUND(J149*100/R149-100,0)</f>
        <v>2</v>
      </c>
      <c r="V149" s="42" t="n">
        <f aca="false">ROUND(M149*100/R149-100,0)</f>
        <v>-11</v>
      </c>
      <c r="W149" s="42" t="n">
        <f aca="false">ROUND(P149*100/R149-100,0)</f>
        <v>10</v>
      </c>
      <c r="AE149" s="128"/>
      <c r="AF149" s="128"/>
      <c r="AG149" s="128"/>
      <c r="AH149" s="128"/>
      <c r="AI149" s="128"/>
      <c r="AJ149" s="128"/>
      <c r="AK149" s="128"/>
      <c r="AL149" s="128"/>
      <c r="AM149" s="129"/>
      <c r="AN149" s="128"/>
    </row>
    <row r="150" s="2" customFormat="true" ht="18" hidden="true" customHeight="true" outlineLevel="0" collapsed="false">
      <c r="B150" s="33" t="n">
        <v>110</v>
      </c>
      <c r="C150" s="33" t="n">
        <f aca="false">C149+1</f>
        <v>138</v>
      </c>
      <c r="D150" s="33" t="n">
        <f aca="false">D149+1</f>
        <v>136</v>
      </c>
      <c r="E150" s="110" t="s">
        <v>363</v>
      </c>
      <c r="F150" s="110" t="s">
        <v>257</v>
      </c>
      <c r="G150" s="111" t="n">
        <v>50</v>
      </c>
      <c r="H150" s="111"/>
      <c r="I150" s="131" t="s">
        <v>275</v>
      </c>
      <c r="J150" s="50" t="n">
        <v>79.97</v>
      </c>
      <c r="K150" s="50" t="n">
        <f aca="false">G150*J150</f>
        <v>3998.5</v>
      </c>
      <c r="L150" s="56" t="s">
        <v>364</v>
      </c>
      <c r="M150" s="50" t="n">
        <v>84.34</v>
      </c>
      <c r="N150" s="50" t="n">
        <f aca="false">G150*M150</f>
        <v>4217</v>
      </c>
      <c r="O150" s="56" t="s">
        <v>365</v>
      </c>
      <c r="P150" s="50" t="n">
        <v>86.8</v>
      </c>
      <c r="Q150" s="50" t="n">
        <f aca="false">G150*P150</f>
        <v>4340</v>
      </c>
      <c r="R150" s="118"/>
      <c r="S150" s="52" t="n">
        <f aca="false">R150*G150</f>
        <v>0</v>
      </c>
      <c r="T150" s="119"/>
      <c r="U150" s="42" t="e">
        <f aca="false">ROUND(J150*100/R150-100,0)</f>
        <v>#DIV/0!</v>
      </c>
      <c r="V150" s="42" t="e">
        <f aca="false">ROUND(M150*100/R150-100,0)</f>
        <v>#DIV/0!</v>
      </c>
      <c r="W150" s="42" t="e">
        <f aca="false">ROUND(P150*100/R150-100,0)</f>
        <v>#DIV/0!</v>
      </c>
      <c r="AE150" s="128"/>
      <c r="AF150" s="128"/>
      <c r="AG150" s="128"/>
      <c r="AH150" s="128"/>
      <c r="AI150" s="128"/>
      <c r="AJ150" s="128"/>
      <c r="AK150" s="128"/>
      <c r="AL150" s="128"/>
      <c r="AM150" s="129"/>
      <c r="AN150" s="128"/>
    </row>
    <row r="151" s="2" customFormat="true" ht="165.75" hidden="true" customHeight="false" outlineLevel="0" collapsed="false">
      <c r="B151" s="33" t="n">
        <v>111</v>
      </c>
      <c r="C151" s="33" t="n">
        <f aca="false">C150+1</f>
        <v>139</v>
      </c>
      <c r="D151" s="33" t="n">
        <f aca="false">D150+1</f>
        <v>137</v>
      </c>
      <c r="E151" s="110" t="s">
        <v>366</v>
      </c>
      <c r="F151" s="110" t="s">
        <v>44</v>
      </c>
      <c r="G151" s="111" t="n">
        <v>75</v>
      </c>
      <c r="H151" s="111"/>
      <c r="I151" s="131" t="s">
        <v>367</v>
      </c>
      <c r="J151" s="50" t="n">
        <f aca="false">320/1.2</f>
        <v>266.666666666667</v>
      </c>
      <c r="K151" s="50" t="n">
        <f aca="false">G151*J151</f>
        <v>20000</v>
      </c>
      <c r="L151" s="57" t="s">
        <v>368</v>
      </c>
      <c r="M151" s="50" t="n">
        <f aca="false">365/1.2</f>
        <v>304.166666666667</v>
      </c>
      <c r="N151" s="50" t="n">
        <f aca="false">G151*M151</f>
        <v>22812.5</v>
      </c>
      <c r="O151" s="131" t="s">
        <v>369</v>
      </c>
      <c r="P151" s="50" t="n">
        <f aca="false">420/1.2</f>
        <v>350</v>
      </c>
      <c r="Q151" s="50" t="n">
        <f aca="false">G151*P151</f>
        <v>26250</v>
      </c>
      <c r="R151" s="118" t="n">
        <f aca="false">AVERAGE(M151,P151)</f>
        <v>327.083333333333</v>
      </c>
      <c r="S151" s="52" t="n">
        <f aca="false">R151*G151</f>
        <v>24531.25</v>
      </c>
      <c r="T151" s="119" t="s">
        <v>340</v>
      </c>
      <c r="U151" s="42" t="n">
        <f aca="false">ROUND(J151*100/R151-100,0)</f>
        <v>-18</v>
      </c>
      <c r="V151" s="42" t="n">
        <f aca="false">ROUND(M151*100/R151-100,0)</f>
        <v>-7</v>
      </c>
      <c r="W151" s="42" t="n">
        <f aca="false">ROUND(P151*100/R151-100,0)</f>
        <v>7</v>
      </c>
      <c r="AE151" s="128"/>
      <c r="AF151" s="128"/>
      <c r="AG151" s="128"/>
      <c r="AH151" s="128"/>
      <c r="AI151" s="128"/>
      <c r="AJ151" s="128"/>
      <c r="AK151" s="128"/>
      <c r="AL151" s="128"/>
      <c r="AM151" s="129"/>
      <c r="AN151" s="128"/>
    </row>
    <row r="152" s="2" customFormat="true" ht="89.25" hidden="true" customHeight="false" outlineLevel="0" collapsed="false">
      <c r="B152" s="33" t="n">
        <v>112</v>
      </c>
      <c r="C152" s="33" t="n">
        <f aca="false">C151+1</f>
        <v>140</v>
      </c>
      <c r="D152" s="33" t="n">
        <f aca="false">D151+1</f>
        <v>138</v>
      </c>
      <c r="E152" s="110" t="s">
        <v>370</v>
      </c>
      <c r="F152" s="110" t="s">
        <v>44</v>
      </c>
      <c r="G152" s="111" t="n">
        <v>3</v>
      </c>
      <c r="H152" s="111"/>
      <c r="I152" s="131" t="s">
        <v>297</v>
      </c>
      <c r="J152" s="50" t="n">
        <v>5716.67</v>
      </c>
      <c r="K152" s="50" t="n">
        <f aca="false">G152*J152</f>
        <v>17150.01</v>
      </c>
      <c r="L152" s="131" t="s">
        <v>354</v>
      </c>
      <c r="M152" s="50" t="n">
        <v>4732.5</v>
      </c>
      <c r="N152" s="50" t="n">
        <f aca="false">G152*M152</f>
        <v>14197.5</v>
      </c>
      <c r="O152" s="131" t="s">
        <v>371</v>
      </c>
      <c r="P152" s="50" t="n">
        <v>4408.33</v>
      </c>
      <c r="Q152" s="50" t="n">
        <f aca="false">G152*P152</f>
        <v>13224.99</v>
      </c>
      <c r="R152" s="118" t="n">
        <f aca="false">AVERAGE(J152,M152,P152)</f>
        <v>4952.5</v>
      </c>
      <c r="S152" s="52" t="n">
        <f aca="false">R152*G152</f>
        <v>14857.5</v>
      </c>
      <c r="T152" s="119"/>
      <c r="U152" s="42" t="n">
        <f aca="false">ROUND(J152*100/R152-100,0)</f>
        <v>15</v>
      </c>
      <c r="V152" s="42" t="n">
        <f aca="false">ROUND(M152*100/R152-100,0)</f>
        <v>-4</v>
      </c>
      <c r="W152" s="42" t="n">
        <f aca="false">ROUND(P152*100/R152-100,0)</f>
        <v>-11</v>
      </c>
      <c r="AE152" s="128"/>
      <c r="AF152" s="128"/>
      <c r="AG152" s="128"/>
      <c r="AH152" s="128"/>
      <c r="AI152" s="128"/>
      <c r="AJ152" s="128"/>
      <c r="AK152" s="128"/>
      <c r="AL152" s="128"/>
      <c r="AM152" s="129"/>
      <c r="AN152" s="128"/>
    </row>
    <row r="153" s="2" customFormat="true" ht="15.75" hidden="false" customHeight="false" outlineLevel="0" collapsed="false">
      <c r="B153" s="33"/>
      <c r="C153" s="136"/>
      <c r="D153" s="136"/>
      <c r="E153" s="137" t="s">
        <v>372</v>
      </c>
      <c r="F153" s="136"/>
      <c r="G153" s="136"/>
      <c r="H153" s="136"/>
      <c r="I153" s="138"/>
      <c r="J153" s="139"/>
      <c r="K153" s="140"/>
      <c r="L153" s="141"/>
      <c r="M153" s="142"/>
      <c r="N153" s="142"/>
      <c r="O153" s="141"/>
      <c r="P153" s="142"/>
      <c r="Q153" s="142"/>
      <c r="R153" s="143"/>
      <c r="S153" s="132"/>
      <c r="T153" s="134"/>
      <c r="U153" s="144"/>
      <c r="V153" s="144"/>
      <c r="W153" s="144"/>
      <c r="X153" s="15"/>
      <c r="AE153" s="128"/>
      <c r="AF153" s="128"/>
      <c r="AG153" s="128"/>
      <c r="AH153" s="128"/>
      <c r="AI153" s="128"/>
      <c r="AJ153" s="128"/>
      <c r="AK153" s="128"/>
      <c r="AL153" s="128"/>
      <c r="AM153" s="129"/>
      <c r="AN153" s="128"/>
    </row>
    <row r="154" s="2" customFormat="true" ht="102" hidden="false" customHeight="false" outlineLevel="0" collapsed="false">
      <c r="B154" s="33"/>
      <c r="C154" s="145" t="n">
        <v>231</v>
      </c>
      <c r="D154" s="145" t="n">
        <v>1</v>
      </c>
      <c r="E154" s="146" t="s">
        <v>373</v>
      </c>
      <c r="F154" s="145" t="s">
        <v>31</v>
      </c>
      <c r="G154" s="145" t="n">
        <f aca="false">9500+25+900+800+4+55+30+60+50+8550+4575+120+570+380+1200+1+285+950</f>
        <v>28055</v>
      </c>
      <c r="H154" s="145" t="n">
        <f aca="false">9500+50+1200+25+8550+285+950+1200+50+900+800+4655+30+60+25+1200+380+10</f>
        <v>29870</v>
      </c>
      <c r="I154" s="141" t="s">
        <v>374</v>
      </c>
      <c r="J154" s="142" t="n">
        <f aca="false">65/1.2</f>
        <v>54.1666666666667</v>
      </c>
      <c r="K154" s="142" t="n">
        <f aca="false">G154*J154</f>
        <v>1519645.83333333</v>
      </c>
      <c r="L154" s="147" t="s">
        <v>375</v>
      </c>
      <c r="M154" s="148" t="n">
        <f aca="false">61/1.2</f>
        <v>50.8333333333333</v>
      </c>
      <c r="N154" s="142" t="n">
        <f aca="false">M154*G154</f>
        <v>1426129.16666667</v>
      </c>
      <c r="O154" s="141" t="s">
        <v>376</v>
      </c>
      <c r="P154" s="142" t="n">
        <f aca="false">74/1.2</f>
        <v>61.6666666666667</v>
      </c>
      <c r="Q154" s="142" t="n">
        <f aca="false">P154*G154</f>
        <v>1730058.33333333</v>
      </c>
      <c r="R154" s="149" t="n">
        <f aca="false">M154</f>
        <v>50.8333333333333</v>
      </c>
      <c r="S154" s="132" t="n">
        <f aca="false">R154*G154</f>
        <v>1426129.16666667</v>
      </c>
      <c r="T154" s="134" t="s">
        <v>377</v>
      </c>
      <c r="U154" s="150" t="n">
        <f aca="false">ROUND(J154*100/R154-100,0)</f>
        <v>7</v>
      </c>
      <c r="V154" s="150" t="n">
        <f aca="false">ROUND(M154*100/R154-100,0)</f>
        <v>0</v>
      </c>
      <c r="W154" s="150" t="n">
        <f aca="false">ROUND(P154*100/R154-100,0)</f>
        <v>21</v>
      </c>
      <c r="X154" s="15"/>
      <c r="AE154" s="128" t="s">
        <v>378</v>
      </c>
      <c r="AF154" s="151" t="n">
        <f aca="false">M154</f>
        <v>50.8333333333333</v>
      </c>
      <c r="AG154" s="128" t="n">
        <f aca="false">AF154*G154</f>
        <v>1426129.16666667</v>
      </c>
      <c r="AH154" s="128"/>
      <c r="AI154" s="128"/>
      <c r="AJ154" s="128" t="n">
        <f aca="false">AI154*G154</f>
        <v>0</v>
      </c>
      <c r="AK154" s="128"/>
      <c r="AL154" s="128"/>
      <c r="AM154" s="129" t="n">
        <f aca="false">AL154*G154</f>
        <v>0</v>
      </c>
      <c r="AN154" s="128"/>
    </row>
    <row r="155" s="2" customFormat="true" ht="102" hidden="false" customHeight="false" outlineLevel="0" collapsed="false">
      <c r="B155" s="33"/>
      <c r="C155" s="145" t="n">
        <v>232</v>
      </c>
      <c r="D155" s="145" t="n">
        <v>2</v>
      </c>
      <c r="E155" s="146" t="s">
        <v>379</v>
      </c>
      <c r="F155" s="145" t="s">
        <v>31</v>
      </c>
      <c r="G155" s="145" t="n">
        <f aca="false">810+144+72+162</f>
        <v>1188</v>
      </c>
      <c r="H155" s="145" t="n">
        <f aca="false">810+144+72+162+134</f>
        <v>1322</v>
      </c>
      <c r="I155" s="141" t="s">
        <v>374</v>
      </c>
      <c r="J155" s="142" t="n">
        <f aca="false">70/1.2</f>
        <v>58.3333333333333</v>
      </c>
      <c r="K155" s="142" t="n">
        <f aca="false">G155*J155</f>
        <v>69300</v>
      </c>
      <c r="L155" s="147" t="s">
        <v>375</v>
      </c>
      <c r="M155" s="148" t="n">
        <f aca="false">61/1.2</f>
        <v>50.8333333333333</v>
      </c>
      <c r="N155" s="142" t="n">
        <f aca="false">M155*G155</f>
        <v>60390</v>
      </c>
      <c r="O155" s="141" t="s">
        <v>376</v>
      </c>
      <c r="P155" s="142" t="n">
        <f aca="false">78/1.2</f>
        <v>65</v>
      </c>
      <c r="Q155" s="142" t="n">
        <f aca="false">P155*G155</f>
        <v>77220</v>
      </c>
      <c r="R155" s="152" t="n">
        <f aca="false">M155</f>
        <v>50.8333333333333</v>
      </c>
      <c r="S155" s="132" t="n">
        <f aca="false">R155*G155</f>
        <v>60390</v>
      </c>
      <c r="T155" s="134" t="s">
        <v>377</v>
      </c>
      <c r="U155" s="150" t="n">
        <f aca="false">ROUND(J155*100/R155-100,0)</f>
        <v>15</v>
      </c>
      <c r="V155" s="150" t="n">
        <f aca="false">ROUND(M155*100/R155-100,0)</f>
        <v>0</v>
      </c>
      <c r="W155" s="150" t="n">
        <f aca="false">ROUND(P155*100/R155-100,0)</f>
        <v>28</v>
      </c>
      <c r="X155" s="15"/>
      <c r="AE155" s="128"/>
      <c r="AF155" s="151" t="n">
        <f aca="false">M155</f>
        <v>50.8333333333333</v>
      </c>
      <c r="AG155" s="128" t="n">
        <f aca="false">AF155*G155</f>
        <v>60390</v>
      </c>
      <c r="AH155" s="128"/>
      <c r="AI155" s="128"/>
      <c r="AJ155" s="128" t="n">
        <f aca="false">AI155*G155</f>
        <v>0</v>
      </c>
      <c r="AK155" s="128"/>
      <c r="AL155" s="128"/>
      <c r="AM155" s="129" t="n">
        <f aca="false">AL155*G155</f>
        <v>0</v>
      </c>
      <c r="AN155" s="128"/>
    </row>
    <row r="156" s="2" customFormat="true" ht="102" hidden="false" customHeight="false" outlineLevel="0" collapsed="false">
      <c r="A156" s="2" t="s">
        <v>380</v>
      </c>
      <c r="B156" s="33"/>
      <c r="C156" s="145" t="n">
        <v>233</v>
      </c>
      <c r="D156" s="145" t="n">
        <v>3</v>
      </c>
      <c r="E156" s="146" t="s">
        <v>381</v>
      </c>
      <c r="F156" s="145" t="s">
        <v>31</v>
      </c>
      <c r="G156" s="145" t="n">
        <f aca="false">50+25</f>
        <v>75</v>
      </c>
      <c r="H156" s="145" t="n">
        <f aca="false">50</f>
        <v>50</v>
      </c>
      <c r="I156" s="141" t="s">
        <v>374</v>
      </c>
      <c r="J156" s="142" t="n">
        <f aca="false">55/1.2</f>
        <v>45.8333333333333</v>
      </c>
      <c r="K156" s="142" t="n">
        <f aca="false">G156*J156</f>
        <v>3437.5</v>
      </c>
      <c r="L156" s="147" t="s">
        <v>375</v>
      </c>
      <c r="M156" s="148" t="n">
        <f aca="false">53/1.2</f>
        <v>44.1666666666667</v>
      </c>
      <c r="N156" s="142" t="n">
        <f aca="false">M156*G156</f>
        <v>3312.5</v>
      </c>
      <c r="O156" s="141" t="s">
        <v>376</v>
      </c>
      <c r="P156" s="142" t="n">
        <f aca="false">56/1.2</f>
        <v>46.6666666666667</v>
      </c>
      <c r="Q156" s="142" t="n">
        <f aca="false">P156*G156</f>
        <v>3500</v>
      </c>
      <c r="R156" s="152" t="n">
        <f aca="false">M156</f>
        <v>44.1666666666667</v>
      </c>
      <c r="S156" s="132" t="n">
        <f aca="false">R156*G156</f>
        <v>3312.5</v>
      </c>
      <c r="T156" s="134" t="s">
        <v>377</v>
      </c>
      <c r="U156" s="150" t="n">
        <f aca="false">ROUND(J156*100/R156-100,0)</f>
        <v>4</v>
      </c>
      <c r="V156" s="150" t="n">
        <f aca="false">ROUND(M156*100/R156-100,0)</f>
        <v>0</v>
      </c>
      <c r="W156" s="150" t="n">
        <f aca="false">ROUND(P156*100/R156-100,0)</f>
        <v>6</v>
      </c>
      <c r="X156" s="15"/>
      <c r="AE156" s="128"/>
      <c r="AF156" s="151" t="n">
        <f aca="false">M156</f>
        <v>44.1666666666667</v>
      </c>
      <c r="AG156" s="128" t="n">
        <f aca="false">AF156*G156</f>
        <v>3312.5</v>
      </c>
      <c r="AH156" s="128"/>
      <c r="AI156" s="128"/>
      <c r="AJ156" s="128" t="n">
        <f aca="false">AI156*G156</f>
        <v>0</v>
      </c>
      <c r="AK156" s="128"/>
      <c r="AL156" s="128"/>
      <c r="AM156" s="129" t="n">
        <f aca="false">AL156*G156</f>
        <v>0</v>
      </c>
      <c r="AN156" s="128"/>
    </row>
    <row r="157" s="2" customFormat="true" ht="102" hidden="false" customHeight="false" outlineLevel="0" collapsed="false">
      <c r="B157" s="33"/>
      <c r="C157" s="145" t="n">
        <v>234</v>
      </c>
      <c r="D157" s="145" t="n">
        <v>4</v>
      </c>
      <c r="E157" s="146" t="s">
        <v>382</v>
      </c>
      <c r="F157" s="145" t="s">
        <v>31</v>
      </c>
      <c r="G157" s="145" t="n">
        <v>439</v>
      </c>
      <c r="H157" s="145" t="n">
        <f aca="false">439</f>
        <v>439</v>
      </c>
      <c r="I157" s="141" t="s">
        <v>374</v>
      </c>
      <c r="J157" s="142" t="n">
        <f aca="false">68/1.2</f>
        <v>56.6666666666667</v>
      </c>
      <c r="K157" s="142" t="n">
        <f aca="false">G157*J157</f>
        <v>24876.6666666667</v>
      </c>
      <c r="L157" s="147" t="s">
        <v>375</v>
      </c>
      <c r="M157" s="148" t="n">
        <f aca="false">65/1.2</f>
        <v>54.1666666666667</v>
      </c>
      <c r="N157" s="142" t="n">
        <f aca="false">M157*G157</f>
        <v>23779.1666666667</v>
      </c>
      <c r="O157" s="141" t="s">
        <v>376</v>
      </c>
      <c r="P157" s="142" t="n">
        <f aca="false">72/1.2</f>
        <v>60</v>
      </c>
      <c r="Q157" s="142" t="n">
        <f aca="false">P157*G157</f>
        <v>26340</v>
      </c>
      <c r="R157" s="152" t="n">
        <f aca="false">M157</f>
        <v>54.1666666666667</v>
      </c>
      <c r="S157" s="132" t="n">
        <f aca="false">R157*G157</f>
        <v>23779.1666666667</v>
      </c>
      <c r="T157" s="134" t="s">
        <v>377</v>
      </c>
      <c r="U157" s="150" t="n">
        <f aca="false">ROUND(J157*100/R157-100,0)</f>
        <v>5</v>
      </c>
      <c r="V157" s="150" t="n">
        <f aca="false">ROUND(M157*100/R157-100,0)</f>
        <v>0</v>
      </c>
      <c r="W157" s="150" t="n">
        <f aca="false">ROUND(P157*100/R157-100,0)</f>
        <v>11</v>
      </c>
      <c r="X157" s="15"/>
      <c r="AE157" s="128"/>
      <c r="AF157" s="151" t="n">
        <f aca="false">M157</f>
        <v>54.1666666666667</v>
      </c>
      <c r="AG157" s="128" t="n">
        <f aca="false">AF157*G157</f>
        <v>23779.1666666667</v>
      </c>
      <c r="AH157" s="128"/>
      <c r="AI157" s="128"/>
      <c r="AJ157" s="128" t="n">
        <f aca="false">AI157*G157</f>
        <v>0</v>
      </c>
      <c r="AK157" s="128"/>
      <c r="AL157" s="128"/>
      <c r="AM157" s="129" t="n">
        <f aca="false">AL157*G157</f>
        <v>0</v>
      </c>
      <c r="AN157" s="128"/>
    </row>
    <row r="158" s="2" customFormat="true" ht="102" hidden="false" customHeight="false" outlineLevel="0" collapsed="false">
      <c r="B158" s="33"/>
      <c r="C158" s="145" t="n">
        <v>235</v>
      </c>
      <c r="D158" s="145" t="n">
        <v>5</v>
      </c>
      <c r="E158" s="146" t="s">
        <v>383</v>
      </c>
      <c r="F158" s="145" t="s">
        <v>31</v>
      </c>
      <c r="G158" s="145" t="n">
        <v>5850</v>
      </c>
      <c r="H158" s="145" t="n">
        <f aca="false">5850</f>
        <v>5850</v>
      </c>
      <c r="I158" s="141" t="s">
        <v>374</v>
      </c>
      <c r="J158" s="142" t="n">
        <f aca="false">68/1.2</f>
        <v>56.6666666666667</v>
      </c>
      <c r="K158" s="142" t="n">
        <f aca="false">G158*J158</f>
        <v>331500</v>
      </c>
      <c r="L158" s="147" t="s">
        <v>375</v>
      </c>
      <c r="M158" s="148" t="n">
        <f aca="false">65/1.2</f>
        <v>54.1666666666667</v>
      </c>
      <c r="N158" s="142" t="n">
        <f aca="false">M158*G158</f>
        <v>316875</v>
      </c>
      <c r="O158" s="141" t="s">
        <v>376</v>
      </c>
      <c r="P158" s="142" t="n">
        <f aca="false">72/1.2</f>
        <v>60</v>
      </c>
      <c r="Q158" s="142" t="n">
        <f aca="false">P158*G158</f>
        <v>351000</v>
      </c>
      <c r="R158" s="152" t="n">
        <f aca="false">M158</f>
        <v>54.1666666666667</v>
      </c>
      <c r="S158" s="132" t="n">
        <f aca="false">R158*G158</f>
        <v>316875</v>
      </c>
      <c r="T158" s="134" t="s">
        <v>377</v>
      </c>
      <c r="U158" s="150" t="n">
        <f aca="false">ROUND(J158*100/R158-100,0)</f>
        <v>5</v>
      </c>
      <c r="V158" s="150" t="n">
        <f aca="false">ROUND(M158*100/R158-100,0)</f>
        <v>0</v>
      </c>
      <c r="W158" s="150" t="n">
        <f aca="false">ROUND(P158*100/R158-100,0)</f>
        <v>11</v>
      </c>
      <c r="X158" s="15"/>
      <c r="AE158" s="128"/>
      <c r="AF158" s="151" t="n">
        <f aca="false">M158</f>
        <v>54.1666666666667</v>
      </c>
      <c r="AG158" s="128" t="n">
        <f aca="false">AF158*G158</f>
        <v>316875</v>
      </c>
      <c r="AH158" s="128"/>
      <c r="AI158" s="128"/>
      <c r="AJ158" s="128" t="n">
        <f aca="false">AI158*G158</f>
        <v>0</v>
      </c>
      <c r="AK158" s="128"/>
      <c r="AL158" s="128"/>
      <c r="AM158" s="129" t="n">
        <f aca="false">AL158*G158</f>
        <v>0</v>
      </c>
      <c r="AN158" s="128"/>
    </row>
    <row r="159" s="2" customFormat="true" ht="102" hidden="false" customHeight="false" outlineLevel="0" collapsed="false">
      <c r="B159" s="33"/>
      <c r="C159" s="145" t="n">
        <v>236</v>
      </c>
      <c r="D159" s="145" t="n">
        <v>6</v>
      </c>
      <c r="E159" s="146" t="s">
        <v>384</v>
      </c>
      <c r="F159" s="145" t="s">
        <v>31</v>
      </c>
      <c r="G159" s="145" t="n">
        <v>1125</v>
      </c>
      <c r="H159" s="145" t="n">
        <f aca="false">10125+1688</f>
        <v>11813</v>
      </c>
      <c r="I159" s="141" t="s">
        <v>374</v>
      </c>
      <c r="J159" s="142" t="n">
        <f aca="false">70/1.2</f>
        <v>58.3333333333333</v>
      </c>
      <c r="K159" s="142" t="n">
        <f aca="false">G159*J159</f>
        <v>65625</v>
      </c>
      <c r="L159" s="147" t="s">
        <v>375</v>
      </c>
      <c r="M159" s="148" t="n">
        <f aca="false">66/1.2</f>
        <v>55</v>
      </c>
      <c r="N159" s="142" t="n">
        <f aca="false">M159*G159</f>
        <v>61875</v>
      </c>
      <c r="O159" s="141" t="s">
        <v>376</v>
      </c>
      <c r="P159" s="142" t="n">
        <f aca="false">75/1.2</f>
        <v>62.5</v>
      </c>
      <c r="Q159" s="142" t="n">
        <f aca="false">P159*G159</f>
        <v>70312.5</v>
      </c>
      <c r="R159" s="152" t="n">
        <f aca="false">M159</f>
        <v>55</v>
      </c>
      <c r="S159" s="132" t="n">
        <f aca="false">R159*G159</f>
        <v>61875</v>
      </c>
      <c r="T159" s="134" t="s">
        <v>377</v>
      </c>
      <c r="U159" s="150" t="n">
        <f aca="false">ROUND(J159*100/R159-100,0)</f>
        <v>6</v>
      </c>
      <c r="V159" s="150" t="n">
        <f aca="false">ROUND(M159*100/R159-100,0)</f>
        <v>0</v>
      </c>
      <c r="W159" s="150" t="n">
        <f aca="false">ROUND(P159*100/R159-100,0)</f>
        <v>14</v>
      </c>
      <c r="X159" s="15"/>
      <c r="AE159" s="128"/>
      <c r="AF159" s="151" t="n">
        <f aca="false">M159</f>
        <v>55</v>
      </c>
      <c r="AG159" s="128" t="n">
        <f aca="false">AF159*G159</f>
        <v>61875</v>
      </c>
      <c r="AH159" s="128"/>
      <c r="AI159" s="128"/>
      <c r="AJ159" s="128" t="n">
        <f aca="false">AI159*G159</f>
        <v>0</v>
      </c>
      <c r="AK159" s="128"/>
      <c r="AL159" s="128"/>
      <c r="AM159" s="129" t="n">
        <f aca="false">AL159*G159</f>
        <v>0</v>
      </c>
      <c r="AN159" s="128"/>
    </row>
    <row r="160" s="2" customFormat="true" ht="102" hidden="false" customHeight="false" outlineLevel="0" collapsed="false">
      <c r="B160" s="33"/>
      <c r="C160" s="145" t="n">
        <v>237</v>
      </c>
      <c r="D160" s="145" t="n">
        <v>7</v>
      </c>
      <c r="E160" s="146" t="s">
        <v>385</v>
      </c>
      <c r="F160" s="145" t="s">
        <v>31</v>
      </c>
      <c r="G160" s="145" t="n">
        <f aca="false">10125+5400+1688+3038+8100</f>
        <v>28351</v>
      </c>
      <c r="H160" s="145" t="n">
        <f aca="false">5400+3038+8100</f>
        <v>16538</v>
      </c>
      <c r="I160" s="141" t="s">
        <v>374</v>
      </c>
      <c r="J160" s="142" t="n">
        <f aca="false">70/1.2</f>
        <v>58.3333333333333</v>
      </c>
      <c r="K160" s="142" t="n">
        <f aca="false">G160*J160</f>
        <v>1653808.33333333</v>
      </c>
      <c r="L160" s="147" t="s">
        <v>375</v>
      </c>
      <c r="M160" s="148" t="n">
        <f aca="false">66/1.2</f>
        <v>55</v>
      </c>
      <c r="N160" s="142" t="n">
        <f aca="false">M160*G160</f>
        <v>1559305</v>
      </c>
      <c r="O160" s="141" t="s">
        <v>376</v>
      </c>
      <c r="P160" s="142" t="n">
        <f aca="false">75/1.2</f>
        <v>62.5</v>
      </c>
      <c r="Q160" s="142" t="n">
        <f aca="false">P160*G160</f>
        <v>1771937.5</v>
      </c>
      <c r="R160" s="152" t="n">
        <f aca="false">M160</f>
        <v>55</v>
      </c>
      <c r="S160" s="132" t="n">
        <f aca="false">R160*G160</f>
        <v>1559305</v>
      </c>
      <c r="T160" s="134" t="s">
        <v>377</v>
      </c>
      <c r="U160" s="150" t="n">
        <f aca="false">ROUND(J160*100/R160-100,0)</f>
        <v>6</v>
      </c>
      <c r="V160" s="150" t="n">
        <f aca="false">ROUND(M160*100/R160-100,0)</f>
        <v>0</v>
      </c>
      <c r="W160" s="150" t="n">
        <f aca="false">ROUND(P160*100/R160-100,0)</f>
        <v>14</v>
      </c>
      <c r="X160" s="15"/>
      <c r="AE160" s="128"/>
      <c r="AF160" s="151" t="n">
        <f aca="false">M160</f>
        <v>55</v>
      </c>
      <c r="AG160" s="128" t="n">
        <f aca="false">AF160*G160</f>
        <v>1559305</v>
      </c>
      <c r="AH160" s="128"/>
      <c r="AI160" s="128"/>
      <c r="AJ160" s="128" t="n">
        <f aca="false">AI160*G160</f>
        <v>0</v>
      </c>
      <c r="AK160" s="128"/>
      <c r="AL160" s="128"/>
      <c r="AM160" s="129" t="n">
        <f aca="false">AL160*G160</f>
        <v>0</v>
      </c>
      <c r="AN160" s="128"/>
    </row>
    <row r="161" s="2" customFormat="true" ht="102" hidden="false" customHeight="false" outlineLevel="0" collapsed="false">
      <c r="B161" s="33"/>
      <c r="C161" s="145" t="n">
        <v>238</v>
      </c>
      <c r="D161" s="145" t="n">
        <v>8</v>
      </c>
      <c r="E161" s="146" t="s">
        <v>386</v>
      </c>
      <c r="F161" s="145" t="s">
        <v>31</v>
      </c>
      <c r="G161" s="145" t="n">
        <f aca="false">1170+90</f>
        <v>1260</v>
      </c>
      <c r="H161" s="145" t="n">
        <f aca="false">1170</f>
        <v>1170</v>
      </c>
      <c r="I161" s="141" t="s">
        <v>374</v>
      </c>
      <c r="J161" s="142" t="n">
        <f aca="false">71/1.2</f>
        <v>59.1666666666667</v>
      </c>
      <c r="K161" s="142" t="n">
        <f aca="false">G161*J161</f>
        <v>74550</v>
      </c>
      <c r="L161" s="147" t="s">
        <v>375</v>
      </c>
      <c r="M161" s="148" t="n">
        <f aca="false">67/1.2</f>
        <v>55.8333333333333</v>
      </c>
      <c r="N161" s="142" t="n">
        <f aca="false">M161*G161</f>
        <v>70350</v>
      </c>
      <c r="O161" s="141" t="s">
        <v>376</v>
      </c>
      <c r="P161" s="142" t="n">
        <f aca="false">75/1.2</f>
        <v>62.5</v>
      </c>
      <c r="Q161" s="142" t="n">
        <f aca="false">P161*G161</f>
        <v>78750</v>
      </c>
      <c r="R161" s="152" t="n">
        <f aca="false">M161</f>
        <v>55.8333333333333</v>
      </c>
      <c r="S161" s="132" t="n">
        <f aca="false">R161*G161</f>
        <v>70350</v>
      </c>
      <c r="T161" s="134" t="s">
        <v>377</v>
      </c>
      <c r="U161" s="150" t="n">
        <f aca="false">ROUND(J161*100/R161-100,0)</f>
        <v>6</v>
      </c>
      <c r="V161" s="150" t="n">
        <f aca="false">ROUND(M161*100/R161-100,0)</f>
        <v>0</v>
      </c>
      <c r="W161" s="150" t="n">
        <f aca="false">ROUND(P161*100/R161-100,0)</f>
        <v>12</v>
      </c>
      <c r="X161" s="15"/>
      <c r="AE161" s="128"/>
      <c r="AF161" s="151" t="n">
        <f aca="false">M161</f>
        <v>55.8333333333333</v>
      </c>
      <c r="AG161" s="128" t="n">
        <f aca="false">AF161*G161</f>
        <v>70350</v>
      </c>
      <c r="AH161" s="128"/>
      <c r="AI161" s="128"/>
      <c r="AJ161" s="128" t="n">
        <f aca="false">AI161*G161</f>
        <v>0</v>
      </c>
      <c r="AK161" s="128"/>
      <c r="AL161" s="128"/>
      <c r="AM161" s="129" t="n">
        <f aca="false">AL161*G161</f>
        <v>0</v>
      </c>
      <c r="AN161" s="128"/>
    </row>
    <row r="162" s="2" customFormat="true" ht="102" hidden="false" customHeight="false" outlineLevel="0" collapsed="false">
      <c r="B162" s="33"/>
      <c r="C162" s="145" t="n">
        <v>239</v>
      </c>
      <c r="D162" s="145" t="n">
        <v>9</v>
      </c>
      <c r="E162" s="146" t="s">
        <v>387</v>
      </c>
      <c r="F162" s="145" t="s">
        <v>31</v>
      </c>
      <c r="G162" s="145" t="n">
        <f aca="false">90</f>
        <v>90</v>
      </c>
      <c r="H162" s="145" t="n">
        <f aca="false">70+15+15+134</f>
        <v>234</v>
      </c>
      <c r="I162" s="141" t="s">
        <v>374</v>
      </c>
      <c r="J162" s="142" t="n">
        <f aca="false">64/1.2</f>
        <v>53.3333333333333</v>
      </c>
      <c r="K162" s="142" t="n">
        <f aca="false">G162*J162</f>
        <v>4800</v>
      </c>
      <c r="L162" s="147" t="s">
        <v>375</v>
      </c>
      <c r="M162" s="148" t="n">
        <f aca="false">59/1.2</f>
        <v>49.1666666666667</v>
      </c>
      <c r="N162" s="142" t="n">
        <f aca="false">M162*G162</f>
        <v>4425</v>
      </c>
      <c r="O162" s="141" t="s">
        <v>376</v>
      </c>
      <c r="P162" s="142" t="n">
        <f aca="false">67/1.2</f>
        <v>55.8333333333333</v>
      </c>
      <c r="Q162" s="142" t="n">
        <f aca="false">P162*G162</f>
        <v>5025</v>
      </c>
      <c r="R162" s="152" t="n">
        <f aca="false">M162</f>
        <v>49.1666666666667</v>
      </c>
      <c r="S162" s="132" t="n">
        <f aca="false">R162*G162</f>
        <v>4425</v>
      </c>
      <c r="T162" s="134" t="s">
        <v>377</v>
      </c>
      <c r="U162" s="150" t="n">
        <f aca="false">ROUND(J162*100/R162-100,0)</f>
        <v>8</v>
      </c>
      <c r="V162" s="150" t="n">
        <f aca="false">ROUND(M162*100/R162-100,0)</f>
        <v>0</v>
      </c>
      <c r="W162" s="150" t="n">
        <f aca="false">ROUND(P162*100/R162-100,0)</f>
        <v>14</v>
      </c>
      <c r="X162" s="15"/>
      <c r="AE162" s="128"/>
      <c r="AF162" s="151" t="n">
        <f aca="false">M162</f>
        <v>49.1666666666667</v>
      </c>
      <c r="AG162" s="128" t="n">
        <f aca="false">AF162*G162</f>
        <v>4425</v>
      </c>
      <c r="AH162" s="128"/>
      <c r="AI162" s="128"/>
      <c r="AJ162" s="128" t="n">
        <f aca="false">AI162*G162</f>
        <v>0</v>
      </c>
      <c r="AK162" s="128"/>
      <c r="AL162" s="128"/>
      <c r="AM162" s="129" t="n">
        <f aca="false">AL162*G162</f>
        <v>0</v>
      </c>
      <c r="AN162" s="128"/>
    </row>
    <row r="163" s="2" customFormat="true" ht="102" hidden="false" customHeight="false" outlineLevel="0" collapsed="false">
      <c r="B163" s="33"/>
      <c r="C163" s="145" t="n">
        <v>240</v>
      </c>
      <c r="D163" s="145" t="n">
        <v>10</v>
      </c>
      <c r="E163" s="146" t="s">
        <v>388</v>
      </c>
      <c r="F163" s="145" t="s">
        <v>31</v>
      </c>
      <c r="G163" s="145" t="n">
        <v>134</v>
      </c>
      <c r="H163" s="145" t="n">
        <f aca="false">134</f>
        <v>134</v>
      </c>
      <c r="I163" s="141" t="s">
        <v>374</v>
      </c>
      <c r="J163" s="142" t="n">
        <f aca="false">64/1.2</f>
        <v>53.3333333333333</v>
      </c>
      <c r="K163" s="142" t="n">
        <f aca="false">G163*J163</f>
        <v>7146.66666666667</v>
      </c>
      <c r="L163" s="147" t="s">
        <v>375</v>
      </c>
      <c r="M163" s="148" t="n">
        <f aca="false">59/1.2</f>
        <v>49.1666666666667</v>
      </c>
      <c r="N163" s="142" t="n">
        <f aca="false">M163*G163</f>
        <v>6588.33333333333</v>
      </c>
      <c r="O163" s="141" t="s">
        <v>376</v>
      </c>
      <c r="P163" s="142" t="n">
        <f aca="false">67/1.2</f>
        <v>55.8333333333333</v>
      </c>
      <c r="Q163" s="142" t="n">
        <f aca="false">P163*G163</f>
        <v>7481.66666666667</v>
      </c>
      <c r="R163" s="152" t="n">
        <f aca="false">M163</f>
        <v>49.1666666666667</v>
      </c>
      <c r="S163" s="132" t="n">
        <f aca="false">R163*G163</f>
        <v>6588.33333333333</v>
      </c>
      <c r="T163" s="134" t="s">
        <v>377</v>
      </c>
      <c r="U163" s="150" t="n">
        <f aca="false">ROUND(J163*100/R163-100,0)</f>
        <v>8</v>
      </c>
      <c r="V163" s="150" t="n">
        <f aca="false">ROUND(M163*100/R163-100,0)</f>
        <v>0</v>
      </c>
      <c r="W163" s="150" t="n">
        <f aca="false">ROUND(P163*100/R163-100,0)</f>
        <v>14</v>
      </c>
      <c r="X163" s="15"/>
      <c r="AE163" s="128"/>
      <c r="AF163" s="151" t="n">
        <f aca="false">M163</f>
        <v>49.1666666666667</v>
      </c>
      <c r="AG163" s="128" t="n">
        <f aca="false">AF163*G163</f>
        <v>6588.33333333333</v>
      </c>
      <c r="AH163" s="128"/>
      <c r="AI163" s="128"/>
      <c r="AJ163" s="128" t="n">
        <f aca="false">AI163*G163</f>
        <v>0</v>
      </c>
      <c r="AK163" s="128"/>
      <c r="AL163" s="128"/>
      <c r="AM163" s="129" t="n">
        <f aca="false">AL163*G163</f>
        <v>0</v>
      </c>
      <c r="AN163" s="128"/>
    </row>
    <row r="164" s="2" customFormat="true" ht="102" hidden="false" customHeight="false" outlineLevel="0" collapsed="false">
      <c r="B164" s="33"/>
      <c r="C164" s="145" t="n">
        <v>241</v>
      </c>
      <c r="D164" s="145" t="n">
        <v>11</v>
      </c>
      <c r="E164" s="146" t="s">
        <v>389</v>
      </c>
      <c r="F164" s="145" t="s">
        <v>31</v>
      </c>
      <c r="G164" s="145" t="n">
        <v>100</v>
      </c>
      <c r="H164" s="145" t="n">
        <f aca="false">112</f>
        <v>112</v>
      </c>
      <c r="I164" s="141" t="s">
        <v>374</v>
      </c>
      <c r="J164" s="142" t="n">
        <f aca="false">2160/1.2</f>
        <v>1800</v>
      </c>
      <c r="K164" s="142" t="n">
        <f aca="false">G164*J164</f>
        <v>180000</v>
      </c>
      <c r="L164" s="147" t="s">
        <v>375</v>
      </c>
      <c r="M164" s="148" t="n">
        <f aca="false">2120/1.2</f>
        <v>1766.66666666667</v>
      </c>
      <c r="N164" s="142" t="n">
        <f aca="false">M164*G164</f>
        <v>176666.666666667</v>
      </c>
      <c r="O164" s="141" t="s">
        <v>376</v>
      </c>
      <c r="P164" s="142" t="n">
        <f aca="false">2210/1.2</f>
        <v>1841.66666666667</v>
      </c>
      <c r="Q164" s="142" t="n">
        <f aca="false">P164*G164</f>
        <v>184166.666666667</v>
      </c>
      <c r="R164" s="152" t="n">
        <f aca="false">M164</f>
        <v>1766.66666666667</v>
      </c>
      <c r="S164" s="132" t="n">
        <f aca="false">R164*G164</f>
        <v>176666.666666667</v>
      </c>
      <c r="T164" s="134" t="s">
        <v>377</v>
      </c>
      <c r="U164" s="150" t="n">
        <f aca="false">ROUND(J164*100/R164-100,0)</f>
        <v>2</v>
      </c>
      <c r="V164" s="150" t="n">
        <f aca="false">ROUND(M164*100/R164-100,0)</f>
        <v>0</v>
      </c>
      <c r="W164" s="150" t="n">
        <f aca="false">ROUND(P164*100/R164-100,0)</f>
        <v>4</v>
      </c>
      <c r="X164" s="15"/>
      <c r="AE164" s="128"/>
      <c r="AF164" s="151" t="n">
        <f aca="false">M164</f>
        <v>1766.66666666667</v>
      </c>
      <c r="AG164" s="128" t="n">
        <f aca="false">AF164*G164</f>
        <v>176666.666666667</v>
      </c>
      <c r="AH164" s="128"/>
      <c r="AI164" s="128"/>
      <c r="AJ164" s="128" t="n">
        <f aca="false">AI164*G164</f>
        <v>0</v>
      </c>
      <c r="AK164" s="128"/>
      <c r="AL164" s="128"/>
      <c r="AM164" s="129" t="n">
        <f aca="false">AL164*G164</f>
        <v>0</v>
      </c>
      <c r="AN164" s="128"/>
    </row>
    <row r="165" s="2" customFormat="true" ht="102" hidden="false" customHeight="false" outlineLevel="0" collapsed="false">
      <c r="B165" s="33"/>
      <c r="C165" s="145" t="n">
        <v>242</v>
      </c>
      <c r="D165" s="145" t="n">
        <v>12</v>
      </c>
      <c r="E165" s="146" t="s">
        <v>390</v>
      </c>
      <c r="F165" s="145" t="s">
        <v>31</v>
      </c>
      <c r="G165" s="145" t="n">
        <v>400</v>
      </c>
      <c r="H165" s="145" t="n">
        <f aca="false">108</f>
        <v>108</v>
      </c>
      <c r="I165" s="141" t="s">
        <v>374</v>
      </c>
      <c r="J165" s="142" t="n">
        <f aca="false">302.14/1.2</f>
        <v>251.783333333333</v>
      </c>
      <c r="K165" s="142" t="n">
        <f aca="false">G165*J165</f>
        <v>100713.333333333</v>
      </c>
      <c r="L165" s="147" t="s">
        <v>375</v>
      </c>
      <c r="M165" s="148" t="n">
        <f aca="false">285.71/1.2</f>
        <v>238.091666666667</v>
      </c>
      <c r="N165" s="142" t="n">
        <f aca="false">M165*G165</f>
        <v>95236.6666666667</v>
      </c>
      <c r="O165" s="141" t="s">
        <v>376</v>
      </c>
      <c r="P165" s="142" t="n">
        <v>316.43</v>
      </c>
      <c r="Q165" s="142" t="n">
        <f aca="false">P165*G165</f>
        <v>126572</v>
      </c>
      <c r="R165" s="152" t="n">
        <f aca="false">M165</f>
        <v>238.091666666667</v>
      </c>
      <c r="S165" s="132" t="n">
        <f aca="false">R165*G165</f>
        <v>95236.6666666667</v>
      </c>
      <c r="T165" s="134" t="s">
        <v>377</v>
      </c>
      <c r="U165" s="150" t="n">
        <f aca="false">ROUND(J165*100/R165-100,0)</f>
        <v>6</v>
      </c>
      <c r="V165" s="150" t="n">
        <f aca="false">ROUND(M165*100/R165-100,0)</f>
        <v>0</v>
      </c>
      <c r="W165" s="150" t="n">
        <f aca="false">ROUND(P165*100/R165-100,0)</f>
        <v>33</v>
      </c>
      <c r="X165" s="15"/>
      <c r="AE165" s="128"/>
      <c r="AF165" s="151" t="n">
        <f aca="false">M165</f>
        <v>238.091666666667</v>
      </c>
      <c r="AG165" s="128" t="n">
        <f aca="false">AF165*G165</f>
        <v>95236.6666666667</v>
      </c>
      <c r="AH165" s="128"/>
      <c r="AI165" s="128"/>
      <c r="AJ165" s="128" t="n">
        <f aca="false">AI165*G165</f>
        <v>0</v>
      </c>
      <c r="AK165" s="128"/>
      <c r="AL165" s="128"/>
      <c r="AM165" s="129" t="n">
        <f aca="false">AL165*G165</f>
        <v>0</v>
      </c>
      <c r="AN165" s="128"/>
    </row>
    <row r="166" s="2" customFormat="true" ht="102" hidden="false" customHeight="false" outlineLevel="0" collapsed="false">
      <c r="B166" s="33"/>
      <c r="C166" s="145" t="n">
        <v>243</v>
      </c>
      <c r="D166" s="145" t="n">
        <v>13</v>
      </c>
      <c r="E166" s="146" t="s">
        <v>391</v>
      </c>
      <c r="F166" s="145" t="s">
        <v>31</v>
      </c>
      <c r="G166" s="145" t="n">
        <f aca="false">108+72+18+54+87</f>
        <v>339</v>
      </c>
      <c r="H166" s="145" t="n">
        <f aca="false">72+18+54+87</f>
        <v>231</v>
      </c>
      <c r="I166" s="141" t="s">
        <v>374</v>
      </c>
      <c r="J166" s="142" t="n">
        <f aca="false">302.14/1.2</f>
        <v>251.783333333333</v>
      </c>
      <c r="K166" s="142" t="n">
        <f aca="false">G166*J166</f>
        <v>85354.55</v>
      </c>
      <c r="L166" s="147" t="s">
        <v>375</v>
      </c>
      <c r="M166" s="148" t="n">
        <f aca="false">285.71/1.2</f>
        <v>238.091666666667</v>
      </c>
      <c r="N166" s="142" t="n">
        <f aca="false">M166*G166</f>
        <v>80713.075</v>
      </c>
      <c r="O166" s="141" t="s">
        <v>376</v>
      </c>
      <c r="P166" s="142" t="n">
        <v>316.43</v>
      </c>
      <c r="Q166" s="142" t="n">
        <f aca="false">P166*G166</f>
        <v>107269.77</v>
      </c>
      <c r="R166" s="152" t="n">
        <f aca="false">M166</f>
        <v>238.091666666667</v>
      </c>
      <c r="S166" s="132" t="n">
        <f aca="false">R166*G166</f>
        <v>80713.075</v>
      </c>
      <c r="T166" s="134" t="s">
        <v>377</v>
      </c>
      <c r="U166" s="150" t="n">
        <f aca="false">ROUND(J166*100/R166-100,0)</f>
        <v>6</v>
      </c>
      <c r="V166" s="150" t="n">
        <f aca="false">ROUND(M166*100/R166-100,0)</f>
        <v>0</v>
      </c>
      <c r="W166" s="150" t="n">
        <f aca="false">ROUND(P166*100/R166-100,0)</f>
        <v>33</v>
      </c>
      <c r="X166" s="15"/>
      <c r="AE166" s="128"/>
      <c r="AF166" s="151" t="n">
        <f aca="false">M166</f>
        <v>238.091666666667</v>
      </c>
      <c r="AG166" s="128" t="n">
        <f aca="false">AF166*G166</f>
        <v>80713.075</v>
      </c>
      <c r="AH166" s="128"/>
      <c r="AI166" s="128"/>
      <c r="AJ166" s="128" t="n">
        <f aca="false">AI166*G166</f>
        <v>0</v>
      </c>
      <c r="AK166" s="128"/>
      <c r="AL166" s="128"/>
      <c r="AM166" s="129" t="n">
        <f aca="false">AL166*G166</f>
        <v>0</v>
      </c>
      <c r="AN166" s="128"/>
    </row>
    <row r="167" s="2" customFormat="true" ht="102" hidden="false" customHeight="false" outlineLevel="0" collapsed="false">
      <c r="B167" s="33"/>
      <c r="C167" s="145" t="n">
        <v>244</v>
      </c>
      <c r="D167" s="145" t="n">
        <v>14</v>
      </c>
      <c r="E167" s="146" t="s">
        <v>392</v>
      </c>
      <c r="F167" s="145" t="s">
        <v>31</v>
      </c>
      <c r="G167" s="145" t="n">
        <f aca="false">3.5+3+52.5+540+360+0.2+5+16+27+18+4.5+13.5+21.6</f>
        <v>1064.8</v>
      </c>
      <c r="H167" s="145" t="n">
        <f aca="false">540+5+16+27+18+4.5+13.5+21.6+3.5+3+52.5+0.2</f>
        <v>704.8</v>
      </c>
      <c r="I167" s="141" t="s">
        <v>374</v>
      </c>
      <c r="J167" s="142" t="n">
        <f aca="false">300/1.2</f>
        <v>250</v>
      </c>
      <c r="K167" s="142" t="n">
        <f aca="false">G167*J167</f>
        <v>266200</v>
      </c>
      <c r="L167" s="147" t="s">
        <v>375</v>
      </c>
      <c r="M167" s="148" t="n">
        <f aca="false">300/1.2</f>
        <v>250</v>
      </c>
      <c r="N167" s="142" t="n">
        <f aca="false">M167*G167</f>
        <v>266200</v>
      </c>
      <c r="O167" s="141" t="s">
        <v>376</v>
      </c>
      <c r="P167" s="142" t="n">
        <f aca="false">320/1.2</f>
        <v>266.666666666667</v>
      </c>
      <c r="Q167" s="142" t="n">
        <f aca="false">P167*G167</f>
        <v>283946.666666667</v>
      </c>
      <c r="R167" s="152" t="n">
        <f aca="false">M167</f>
        <v>250</v>
      </c>
      <c r="S167" s="132" t="n">
        <f aca="false">R167*G167</f>
        <v>266200</v>
      </c>
      <c r="T167" s="134" t="s">
        <v>377</v>
      </c>
      <c r="U167" s="150" t="n">
        <f aca="false">ROUND(J167*100/R167-100,0)</f>
        <v>0</v>
      </c>
      <c r="V167" s="150" t="n">
        <f aca="false">ROUND(M167*100/R167-100,0)</f>
        <v>0</v>
      </c>
      <c r="W167" s="150" t="n">
        <f aca="false">ROUND(P167*100/R167-100,0)</f>
        <v>7</v>
      </c>
      <c r="X167" s="15"/>
      <c r="AE167" s="128"/>
      <c r="AF167" s="151" t="n">
        <f aca="false">M167</f>
        <v>250</v>
      </c>
      <c r="AG167" s="128" t="n">
        <f aca="false">AF167*G167</f>
        <v>266200</v>
      </c>
      <c r="AH167" s="128"/>
      <c r="AI167" s="128"/>
      <c r="AJ167" s="128" t="n">
        <f aca="false">AI167*G167</f>
        <v>0</v>
      </c>
      <c r="AK167" s="128"/>
      <c r="AL167" s="128"/>
      <c r="AM167" s="129" t="n">
        <f aca="false">AL167*G167</f>
        <v>0</v>
      </c>
      <c r="AN167" s="128"/>
    </row>
    <row r="168" s="2" customFormat="true" ht="102" hidden="false" customHeight="false" outlineLevel="0" collapsed="false">
      <c r="B168" s="33"/>
      <c r="C168" s="145" t="n">
        <v>245</v>
      </c>
      <c r="D168" s="145" t="n">
        <v>15</v>
      </c>
      <c r="E168" s="146" t="s">
        <v>393</v>
      </c>
      <c r="F168" s="145" t="s">
        <v>31</v>
      </c>
      <c r="G168" s="145" t="n">
        <v>906</v>
      </c>
      <c r="H168" s="145" t="n">
        <f aca="false">906</f>
        <v>906</v>
      </c>
      <c r="I168" s="141" t="s">
        <v>374</v>
      </c>
      <c r="J168" s="142" t="n">
        <f aca="false">200/1.2</f>
        <v>166.666666666667</v>
      </c>
      <c r="K168" s="142" t="n">
        <f aca="false">G168*J168</f>
        <v>151000</v>
      </c>
      <c r="L168" s="147" t="s">
        <v>375</v>
      </c>
      <c r="M168" s="148" t="n">
        <f aca="false">170/1.2</f>
        <v>141.666666666667</v>
      </c>
      <c r="N168" s="142" t="n">
        <f aca="false">M168*G168</f>
        <v>128350</v>
      </c>
      <c r="O168" s="141" t="s">
        <v>376</v>
      </c>
      <c r="P168" s="142" t="n">
        <f aca="false">220/1.2</f>
        <v>183.333333333333</v>
      </c>
      <c r="Q168" s="142" t="n">
        <f aca="false">P168*G168</f>
        <v>166100</v>
      </c>
      <c r="R168" s="152" t="n">
        <f aca="false">M168</f>
        <v>141.666666666667</v>
      </c>
      <c r="S168" s="132" t="n">
        <f aca="false">R168*G168</f>
        <v>128350</v>
      </c>
      <c r="T168" s="134" t="s">
        <v>377</v>
      </c>
      <c r="U168" s="150" t="n">
        <f aca="false">ROUND(J168*100/R168-100,0)</f>
        <v>18</v>
      </c>
      <c r="V168" s="150" t="n">
        <f aca="false">ROUND(M168*100/R168-100,0)</f>
        <v>0</v>
      </c>
      <c r="W168" s="150" t="n">
        <f aca="false">ROUND(P168*100/R168-100,0)</f>
        <v>29</v>
      </c>
      <c r="X168" s="15"/>
      <c r="AE168" s="128"/>
      <c r="AF168" s="151" t="n">
        <f aca="false">M168</f>
        <v>141.666666666667</v>
      </c>
      <c r="AG168" s="128" t="n">
        <f aca="false">AF168*G168</f>
        <v>128350</v>
      </c>
      <c r="AH168" s="128"/>
      <c r="AI168" s="128"/>
      <c r="AJ168" s="128" t="n">
        <f aca="false">AI168*G168</f>
        <v>0</v>
      </c>
      <c r="AK168" s="128"/>
      <c r="AL168" s="128"/>
      <c r="AM168" s="129" t="n">
        <f aca="false">AL168*G168</f>
        <v>0</v>
      </c>
      <c r="AN168" s="128"/>
    </row>
    <row r="169" s="2" customFormat="true" ht="102" hidden="false" customHeight="false" outlineLevel="0" collapsed="false">
      <c r="B169" s="33"/>
      <c r="C169" s="145" t="n">
        <v>246</v>
      </c>
      <c r="D169" s="145" t="n">
        <v>16</v>
      </c>
      <c r="E169" s="146" t="s">
        <v>394</v>
      </c>
      <c r="F169" s="145" t="s">
        <v>31</v>
      </c>
      <c r="G169" s="145" t="n">
        <f aca="false">81.4+100+20</f>
        <v>201.4</v>
      </c>
      <c r="H169" s="145" t="n">
        <f aca="false">50+20+81.4</f>
        <v>151.4</v>
      </c>
      <c r="I169" s="141" t="s">
        <v>374</v>
      </c>
      <c r="J169" s="142" t="n">
        <f aca="false">200/1.2</f>
        <v>166.666666666667</v>
      </c>
      <c r="K169" s="142" t="n">
        <f aca="false">G169*J169</f>
        <v>33566.6666666667</v>
      </c>
      <c r="L169" s="147" t="s">
        <v>375</v>
      </c>
      <c r="M169" s="148" t="n">
        <f aca="false">191/1.2</f>
        <v>159.166666666667</v>
      </c>
      <c r="N169" s="142" t="n">
        <f aca="false">M169*G169</f>
        <v>32056.1666666667</v>
      </c>
      <c r="O169" s="141" t="s">
        <v>376</v>
      </c>
      <c r="P169" s="142" t="n">
        <f aca="false">214/1.2</f>
        <v>178.333333333333</v>
      </c>
      <c r="Q169" s="142" t="n">
        <f aca="false">P169*G169</f>
        <v>35916.3333333333</v>
      </c>
      <c r="R169" s="152" t="n">
        <f aca="false">M169</f>
        <v>159.166666666667</v>
      </c>
      <c r="S169" s="132" t="n">
        <f aca="false">R169*G169</f>
        <v>32056.1666666667</v>
      </c>
      <c r="T169" s="134" t="s">
        <v>377</v>
      </c>
      <c r="U169" s="150" t="n">
        <f aca="false">ROUND(J169*100/R169-100,0)</f>
        <v>5</v>
      </c>
      <c r="V169" s="150" t="n">
        <f aca="false">ROUND(M169*100/R169-100,0)</f>
        <v>0</v>
      </c>
      <c r="W169" s="150" t="n">
        <f aca="false">ROUND(P169*100/R169-100,0)</f>
        <v>12</v>
      </c>
      <c r="X169" s="15"/>
      <c r="AE169" s="128"/>
      <c r="AF169" s="151" t="n">
        <f aca="false">M169</f>
        <v>159.166666666667</v>
      </c>
      <c r="AG169" s="128" t="n">
        <f aca="false">AF169*G169</f>
        <v>32056.1666666667</v>
      </c>
      <c r="AH169" s="128"/>
      <c r="AI169" s="128"/>
      <c r="AJ169" s="128" t="n">
        <f aca="false">AI169*G169</f>
        <v>0</v>
      </c>
      <c r="AK169" s="128"/>
      <c r="AL169" s="128"/>
      <c r="AM169" s="129" t="n">
        <f aca="false">AL169*G169</f>
        <v>0</v>
      </c>
      <c r="AN169" s="128"/>
    </row>
    <row r="170" s="2" customFormat="true" ht="102" hidden="false" customHeight="false" outlineLevel="0" collapsed="false">
      <c r="B170" s="33"/>
      <c r="C170" s="145" t="n">
        <v>247</v>
      </c>
      <c r="D170" s="145" t="n">
        <v>17</v>
      </c>
      <c r="E170" s="146" t="s">
        <v>395</v>
      </c>
      <c r="F170" s="145" t="s">
        <v>31</v>
      </c>
      <c r="G170" s="145" t="n">
        <v>130</v>
      </c>
      <c r="H170" s="145" t="n">
        <f aca="false">130</f>
        <v>130</v>
      </c>
      <c r="I170" s="141" t="s">
        <v>374</v>
      </c>
      <c r="J170" s="142" t="n">
        <f aca="false">805/1.2</f>
        <v>670.833333333333</v>
      </c>
      <c r="K170" s="142" t="n">
        <f aca="false">G170*J170</f>
        <v>87208.3333333333</v>
      </c>
      <c r="L170" s="147" t="s">
        <v>375</v>
      </c>
      <c r="M170" s="148" t="n">
        <f aca="false">790/1.2</f>
        <v>658.333333333333</v>
      </c>
      <c r="N170" s="142" t="n">
        <f aca="false">M170*G170</f>
        <v>85583.3333333333</v>
      </c>
      <c r="O170" s="141" t="s">
        <v>376</v>
      </c>
      <c r="P170" s="142" t="n">
        <f aca="false">820/1.2</f>
        <v>683.333333333333</v>
      </c>
      <c r="Q170" s="142" t="n">
        <f aca="false">P170*G170</f>
        <v>88833.3333333333</v>
      </c>
      <c r="R170" s="152" t="n">
        <f aca="false">M170</f>
        <v>658.333333333333</v>
      </c>
      <c r="S170" s="132" t="n">
        <f aca="false">R170*G170</f>
        <v>85583.3333333333</v>
      </c>
      <c r="T170" s="134" t="s">
        <v>377</v>
      </c>
      <c r="U170" s="150" t="n">
        <f aca="false">ROUND(J170*100/R170-100,0)</f>
        <v>2</v>
      </c>
      <c r="V170" s="150" t="n">
        <f aca="false">ROUND(M170*100/R170-100,0)</f>
        <v>0</v>
      </c>
      <c r="W170" s="150" t="n">
        <f aca="false">ROUND(P170*100/R170-100,0)</f>
        <v>4</v>
      </c>
      <c r="X170" s="15"/>
      <c r="AE170" s="128"/>
      <c r="AF170" s="151" t="n">
        <f aca="false">M170</f>
        <v>658.333333333333</v>
      </c>
      <c r="AG170" s="128" t="n">
        <f aca="false">AF170*G170</f>
        <v>85583.3333333333</v>
      </c>
      <c r="AH170" s="128"/>
      <c r="AI170" s="128"/>
      <c r="AJ170" s="128" t="n">
        <f aca="false">AI170*G170</f>
        <v>0</v>
      </c>
      <c r="AK170" s="128"/>
      <c r="AL170" s="128"/>
      <c r="AM170" s="129" t="n">
        <f aca="false">AL170*G170</f>
        <v>0</v>
      </c>
      <c r="AN170" s="128"/>
    </row>
    <row r="171" s="2" customFormat="true" ht="102" hidden="false" customHeight="false" outlineLevel="0" collapsed="false">
      <c r="B171" s="33"/>
      <c r="C171" s="145" t="n">
        <v>248</v>
      </c>
      <c r="D171" s="145" t="n">
        <v>18</v>
      </c>
      <c r="E171" s="146" t="s">
        <v>396</v>
      </c>
      <c r="F171" s="145" t="s">
        <v>31</v>
      </c>
      <c r="G171" s="145" t="n">
        <f aca="false">200+500+500+20</f>
        <v>1220</v>
      </c>
      <c r="H171" s="145" t="n">
        <f aca="false">500</f>
        <v>500</v>
      </c>
      <c r="I171" s="141" t="s">
        <v>374</v>
      </c>
      <c r="J171" s="142" t="n">
        <f aca="false">1850/1.2</f>
        <v>1541.66666666667</v>
      </c>
      <c r="K171" s="142" t="n">
        <f aca="false">G171*J171</f>
        <v>1880833.33333333</v>
      </c>
      <c r="L171" s="147" t="s">
        <v>375</v>
      </c>
      <c r="M171" s="148" t="n">
        <f aca="false">1740/1.2</f>
        <v>1450</v>
      </c>
      <c r="N171" s="142" t="n">
        <f aca="false">M171*G171</f>
        <v>1769000</v>
      </c>
      <c r="O171" s="141" t="s">
        <v>376</v>
      </c>
      <c r="P171" s="142" t="n">
        <f aca="false">1878/1.2</f>
        <v>1565</v>
      </c>
      <c r="Q171" s="142" t="n">
        <f aca="false">P171*G171</f>
        <v>1909300</v>
      </c>
      <c r="R171" s="152" t="n">
        <f aca="false">M171</f>
        <v>1450</v>
      </c>
      <c r="S171" s="132" t="n">
        <f aca="false">R171*G171</f>
        <v>1769000</v>
      </c>
      <c r="T171" s="134" t="s">
        <v>377</v>
      </c>
      <c r="U171" s="150" t="n">
        <f aca="false">ROUND(J171*100/R171-100,0)</f>
        <v>6</v>
      </c>
      <c r="V171" s="150" t="n">
        <f aca="false">ROUND(M171*100/R171-100,0)</f>
        <v>0</v>
      </c>
      <c r="W171" s="150" t="n">
        <f aca="false">ROUND(P171*100/R171-100,0)</f>
        <v>8</v>
      </c>
      <c r="X171" s="15"/>
      <c r="AE171" s="128"/>
      <c r="AF171" s="151" t="n">
        <f aca="false">M171</f>
        <v>1450</v>
      </c>
      <c r="AG171" s="128" t="n">
        <f aca="false">AF171*G171</f>
        <v>1769000</v>
      </c>
      <c r="AH171" s="128"/>
      <c r="AI171" s="128"/>
      <c r="AJ171" s="128" t="n">
        <f aca="false">AI171*G171</f>
        <v>0</v>
      </c>
      <c r="AK171" s="128"/>
      <c r="AL171" s="128"/>
      <c r="AM171" s="129" t="n">
        <f aca="false">AL171*G171</f>
        <v>0</v>
      </c>
      <c r="AN171" s="128"/>
    </row>
    <row r="172" s="2" customFormat="true" ht="102" hidden="false" customHeight="false" outlineLevel="0" collapsed="false">
      <c r="B172" s="33"/>
      <c r="C172" s="145" t="n">
        <v>249</v>
      </c>
      <c r="D172" s="145" t="n">
        <v>19</v>
      </c>
      <c r="E172" s="146" t="s">
        <v>397</v>
      </c>
      <c r="F172" s="145" t="s">
        <v>31</v>
      </c>
      <c r="G172" s="145" t="n">
        <f aca="false">30+40+100+50+5+8+10</f>
        <v>243</v>
      </c>
      <c r="H172" s="145" t="n">
        <f aca="false">50+8+5+30+100+40</f>
        <v>233</v>
      </c>
      <c r="I172" s="141" t="s">
        <v>374</v>
      </c>
      <c r="J172" s="142" t="n">
        <f aca="false">535/1.2</f>
        <v>445.833333333333</v>
      </c>
      <c r="K172" s="142" t="n">
        <f aca="false">G172*J172</f>
        <v>108337.5</v>
      </c>
      <c r="L172" s="147" t="s">
        <v>375</v>
      </c>
      <c r="M172" s="148" t="n">
        <f aca="false">515/1.2</f>
        <v>429.166666666667</v>
      </c>
      <c r="N172" s="142" t="n">
        <f aca="false">M172*G172</f>
        <v>104287.5</v>
      </c>
      <c r="O172" s="141" t="s">
        <v>376</v>
      </c>
      <c r="P172" s="142" t="n">
        <f aca="false">570/1.2</f>
        <v>475</v>
      </c>
      <c r="Q172" s="142" t="n">
        <f aca="false">P172*G172</f>
        <v>115425</v>
      </c>
      <c r="R172" s="152" t="n">
        <f aca="false">M172</f>
        <v>429.166666666667</v>
      </c>
      <c r="S172" s="132" t="n">
        <f aca="false">R172*G172</f>
        <v>104287.5</v>
      </c>
      <c r="T172" s="134" t="s">
        <v>377</v>
      </c>
      <c r="U172" s="150" t="n">
        <f aca="false">ROUND(J172*100/R172-100,0)</f>
        <v>4</v>
      </c>
      <c r="V172" s="150" t="n">
        <f aca="false">ROUND(M172*100/R172-100,0)</f>
        <v>0</v>
      </c>
      <c r="W172" s="150" t="n">
        <f aca="false">ROUND(P172*100/R172-100,0)</f>
        <v>11</v>
      </c>
      <c r="X172" s="15"/>
      <c r="AE172" s="128"/>
      <c r="AF172" s="151" t="n">
        <f aca="false">M172</f>
        <v>429.166666666667</v>
      </c>
      <c r="AG172" s="128" t="n">
        <f aca="false">AF172*G172</f>
        <v>104287.5</v>
      </c>
      <c r="AH172" s="128"/>
      <c r="AI172" s="128"/>
      <c r="AJ172" s="128" t="n">
        <f aca="false">AI172*G172</f>
        <v>0</v>
      </c>
      <c r="AK172" s="128"/>
      <c r="AL172" s="128"/>
      <c r="AM172" s="129" t="n">
        <f aca="false">AL172*G172</f>
        <v>0</v>
      </c>
      <c r="AN172" s="128"/>
    </row>
    <row r="173" s="2" customFormat="true" ht="102" hidden="false" customHeight="false" outlineLevel="0" collapsed="false">
      <c r="B173" s="33"/>
      <c r="C173" s="145" t="n">
        <v>250</v>
      </c>
      <c r="D173" s="145" t="n">
        <v>20</v>
      </c>
      <c r="E173" s="146" t="s">
        <v>398</v>
      </c>
      <c r="F173" s="145" t="s">
        <v>31</v>
      </c>
      <c r="G173" s="145" t="n">
        <v>70</v>
      </c>
      <c r="H173" s="145" t="n">
        <f aca="false">70</f>
        <v>70</v>
      </c>
      <c r="I173" s="141" t="s">
        <v>374</v>
      </c>
      <c r="J173" s="142" t="n">
        <f aca="false">535/1.2</f>
        <v>445.833333333333</v>
      </c>
      <c r="K173" s="142" t="n">
        <f aca="false">G173*J173</f>
        <v>31208.3333333333</v>
      </c>
      <c r="L173" s="147" t="s">
        <v>375</v>
      </c>
      <c r="M173" s="148" t="n">
        <f aca="false">515/1.2</f>
        <v>429.166666666667</v>
      </c>
      <c r="N173" s="142" t="n">
        <f aca="false">M173*G173</f>
        <v>30041.6666666667</v>
      </c>
      <c r="O173" s="141" t="s">
        <v>376</v>
      </c>
      <c r="P173" s="142" t="n">
        <f aca="false">570/1.2</f>
        <v>475</v>
      </c>
      <c r="Q173" s="142" t="n">
        <f aca="false">P173*G173</f>
        <v>33250</v>
      </c>
      <c r="R173" s="152" t="n">
        <f aca="false">M173</f>
        <v>429.166666666667</v>
      </c>
      <c r="S173" s="132" t="n">
        <f aca="false">R173*G173</f>
        <v>30041.6666666667</v>
      </c>
      <c r="T173" s="134" t="s">
        <v>377</v>
      </c>
      <c r="U173" s="150" t="n">
        <f aca="false">ROUND(J173*100/R173-100,0)</f>
        <v>4</v>
      </c>
      <c r="V173" s="150" t="n">
        <f aca="false">ROUND(M173*100/R173-100,0)</f>
        <v>0</v>
      </c>
      <c r="W173" s="150" t="n">
        <f aca="false">ROUND(P173*100/R173-100,0)</f>
        <v>11</v>
      </c>
      <c r="X173" s="15"/>
      <c r="AE173" s="128"/>
      <c r="AF173" s="151" t="n">
        <f aca="false">M173</f>
        <v>429.166666666667</v>
      </c>
      <c r="AG173" s="128" t="n">
        <f aca="false">AF173*G173</f>
        <v>30041.6666666667</v>
      </c>
      <c r="AH173" s="128"/>
      <c r="AI173" s="128"/>
      <c r="AJ173" s="128" t="n">
        <f aca="false">AI173*G173</f>
        <v>0</v>
      </c>
      <c r="AK173" s="128"/>
      <c r="AL173" s="128"/>
      <c r="AM173" s="129" t="n">
        <f aca="false">AL173*G173</f>
        <v>0</v>
      </c>
      <c r="AN173" s="128"/>
    </row>
    <row r="174" s="2" customFormat="true" ht="102" hidden="false" customHeight="false" outlineLevel="0" collapsed="false">
      <c r="B174" s="33"/>
      <c r="C174" s="145" t="n">
        <v>251</v>
      </c>
      <c r="D174" s="145" t="n">
        <v>21</v>
      </c>
      <c r="E174" s="146" t="s">
        <v>399</v>
      </c>
      <c r="F174" s="145" t="s">
        <v>31</v>
      </c>
      <c r="G174" s="145" t="n">
        <f aca="false">10+60</f>
        <v>70</v>
      </c>
      <c r="H174" s="145" t="n">
        <f aca="false">60+10</f>
        <v>70</v>
      </c>
      <c r="I174" s="141" t="s">
        <v>374</v>
      </c>
      <c r="J174" s="142" t="n">
        <f aca="false">550/1.2</f>
        <v>458.333333333333</v>
      </c>
      <c r="K174" s="142" t="n">
        <f aca="false">G174*J174</f>
        <v>32083.3333333333</v>
      </c>
      <c r="L174" s="147" t="s">
        <v>375</v>
      </c>
      <c r="M174" s="148" t="n">
        <f aca="false">515/1.2</f>
        <v>429.166666666667</v>
      </c>
      <c r="N174" s="142" t="n">
        <f aca="false">M174*G174</f>
        <v>30041.6666666667</v>
      </c>
      <c r="O174" s="141" t="s">
        <v>376</v>
      </c>
      <c r="P174" s="142" t="n">
        <f aca="false">570/1.2</f>
        <v>475</v>
      </c>
      <c r="Q174" s="142" t="n">
        <f aca="false">P174*G174</f>
        <v>33250</v>
      </c>
      <c r="R174" s="152" t="n">
        <f aca="false">M174</f>
        <v>429.166666666667</v>
      </c>
      <c r="S174" s="132" t="n">
        <f aca="false">R174*G174</f>
        <v>30041.6666666667</v>
      </c>
      <c r="T174" s="134" t="s">
        <v>377</v>
      </c>
      <c r="U174" s="150" t="n">
        <f aca="false">ROUND(J174*100/R174-100,0)</f>
        <v>7</v>
      </c>
      <c r="V174" s="150" t="n">
        <f aca="false">ROUND(M174*100/R174-100,0)</f>
        <v>0</v>
      </c>
      <c r="W174" s="150" t="n">
        <f aca="false">ROUND(P174*100/R174-100,0)</f>
        <v>11</v>
      </c>
      <c r="X174" s="15"/>
      <c r="AE174" s="128"/>
      <c r="AF174" s="151" t="n">
        <f aca="false">M174</f>
        <v>429.166666666667</v>
      </c>
      <c r="AG174" s="128" t="n">
        <f aca="false">AF174*G174</f>
        <v>30041.6666666667</v>
      </c>
      <c r="AH174" s="128"/>
      <c r="AI174" s="128"/>
      <c r="AJ174" s="128" t="n">
        <f aca="false">AI174*G174</f>
        <v>0</v>
      </c>
      <c r="AK174" s="128"/>
      <c r="AL174" s="128"/>
      <c r="AM174" s="129" t="n">
        <f aca="false">AL174*G174</f>
        <v>0</v>
      </c>
      <c r="AN174" s="128"/>
    </row>
    <row r="175" s="2" customFormat="true" ht="102" hidden="false" customHeight="false" outlineLevel="0" collapsed="false">
      <c r="B175" s="33"/>
      <c r="C175" s="145" t="n">
        <v>252</v>
      </c>
      <c r="D175" s="145" t="n">
        <v>22</v>
      </c>
      <c r="E175" s="146" t="s">
        <v>400</v>
      </c>
      <c r="F175" s="145" t="s">
        <v>31</v>
      </c>
      <c r="G175" s="145" t="n">
        <v>17</v>
      </c>
      <c r="H175" s="145" t="n">
        <f aca="false">17</f>
        <v>17</v>
      </c>
      <c r="I175" s="141" t="s">
        <v>374</v>
      </c>
      <c r="J175" s="142" t="n">
        <f aca="false">604/1.2</f>
        <v>503.333333333333</v>
      </c>
      <c r="K175" s="142" t="n">
        <f aca="false">G175*J175</f>
        <v>8556.66666666667</v>
      </c>
      <c r="L175" s="147" t="s">
        <v>375</v>
      </c>
      <c r="M175" s="148" t="n">
        <f aca="false">590/1.2</f>
        <v>491.666666666667</v>
      </c>
      <c r="N175" s="142" t="n">
        <f aca="false">M175*G175</f>
        <v>8358.33333333333</v>
      </c>
      <c r="O175" s="141" t="s">
        <v>376</v>
      </c>
      <c r="P175" s="142" t="n">
        <f aca="false">620/1.2</f>
        <v>516.666666666667</v>
      </c>
      <c r="Q175" s="142" t="n">
        <f aca="false">P175*G175</f>
        <v>8783.33333333333</v>
      </c>
      <c r="R175" s="152" t="n">
        <f aca="false">M175</f>
        <v>491.666666666667</v>
      </c>
      <c r="S175" s="132" t="n">
        <f aca="false">R175*G175</f>
        <v>8358.33333333333</v>
      </c>
      <c r="T175" s="134" t="s">
        <v>377</v>
      </c>
      <c r="U175" s="150" t="n">
        <f aca="false">ROUND(J175*100/R175-100,0)</f>
        <v>2</v>
      </c>
      <c r="V175" s="150" t="n">
        <f aca="false">ROUND(M175*100/R175-100,0)</f>
        <v>0</v>
      </c>
      <c r="W175" s="150" t="n">
        <f aca="false">ROUND(P175*100/R175-100,0)</f>
        <v>5</v>
      </c>
      <c r="X175" s="15"/>
      <c r="AE175" s="128"/>
      <c r="AF175" s="151" t="n">
        <f aca="false">M175</f>
        <v>491.666666666667</v>
      </c>
      <c r="AG175" s="128" t="n">
        <f aca="false">AF175*G175</f>
        <v>8358.33333333333</v>
      </c>
      <c r="AH175" s="128"/>
      <c r="AI175" s="128"/>
      <c r="AJ175" s="128" t="n">
        <f aca="false">AI175*G175</f>
        <v>0</v>
      </c>
      <c r="AK175" s="128"/>
      <c r="AL175" s="128"/>
      <c r="AM175" s="129" t="n">
        <f aca="false">AL175*G175</f>
        <v>0</v>
      </c>
      <c r="AN175" s="128"/>
    </row>
    <row r="176" s="2" customFormat="true" ht="102" hidden="false" customHeight="false" outlineLevel="0" collapsed="false">
      <c r="B176" s="33"/>
      <c r="C176" s="145" t="n">
        <v>253</v>
      </c>
      <c r="D176" s="145" t="n">
        <v>23</v>
      </c>
      <c r="E176" s="146" t="s">
        <v>401</v>
      </c>
      <c r="F176" s="145" t="s">
        <v>31</v>
      </c>
      <c r="G176" s="145" t="n">
        <v>700</v>
      </c>
      <c r="H176" s="145" t="n">
        <f aca="false">420.9</f>
        <v>420.9</v>
      </c>
      <c r="I176" s="141" t="s">
        <v>374</v>
      </c>
      <c r="J176" s="142" t="n">
        <f aca="false">1170/1.2</f>
        <v>975</v>
      </c>
      <c r="K176" s="142" t="n">
        <f aca="false">G176*J176</f>
        <v>682500</v>
      </c>
      <c r="L176" s="147" t="s">
        <v>375</v>
      </c>
      <c r="M176" s="148" t="n">
        <f aca="false">1145/1.2</f>
        <v>954.166666666667</v>
      </c>
      <c r="N176" s="142" t="n">
        <f aca="false">M176*G176</f>
        <v>667916.666666667</v>
      </c>
      <c r="O176" s="141" t="s">
        <v>376</v>
      </c>
      <c r="P176" s="142" t="n">
        <f aca="false">1200/1.2</f>
        <v>1000</v>
      </c>
      <c r="Q176" s="142" t="n">
        <f aca="false">P176*G176</f>
        <v>700000</v>
      </c>
      <c r="R176" s="152" t="n">
        <f aca="false">M176</f>
        <v>954.166666666667</v>
      </c>
      <c r="S176" s="132" t="n">
        <f aca="false">R176*G176</f>
        <v>667916.666666667</v>
      </c>
      <c r="T176" s="134" t="s">
        <v>377</v>
      </c>
      <c r="U176" s="150" t="n">
        <f aca="false">ROUND(J176*100/R176-100,0)</f>
        <v>2</v>
      </c>
      <c r="V176" s="150" t="n">
        <f aca="false">ROUND(M176*100/R176-100,0)</f>
        <v>0</v>
      </c>
      <c r="W176" s="150" t="n">
        <f aca="false">ROUND(P176*100/R176-100,0)</f>
        <v>5</v>
      </c>
      <c r="X176" s="15"/>
      <c r="AE176" s="128"/>
      <c r="AF176" s="151" t="n">
        <f aca="false">M176</f>
        <v>954.166666666667</v>
      </c>
      <c r="AG176" s="128" t="n">
        <f aca="false">AF176*G176</f>
        <v>667916.666666667</v>
      </c>
      <c r="AH176" s="128"/>
      <c r="AI176" s="128"/>
      <c r="AJ176" s="128" t="n">
        <f aca="false">AI176*G176</f>
        <v>0</v>
      </c>
      <c r="AK176" s="128"/>
      <c r="AL176" s="128"/>
      <c r="AM176" s="129" t="n">
        <f aca="false">AL176*G176</f>
        <v>0</v>
      </c>
      <c r="AN176" s="128"/>
    </row>
    <row r="177" s="2" customFormat="true" ht="102" hidden="false" customHeight="false" outlineLevel="0" collapsed="false">
      <c r="B177" s="33"/>
      <c r="C177" s="145" t="n">
        <v>254</v>
      </c>
      <c r="D177" s="145" t="n">
        <v>24</v>
      </c>
      <c r="E177" s="146" t="s">
        <v>402</v>
      </c>
      <c r="F177" s="145" t="s">
        <v>31</v>
      </c>
      <c r="G177" s="145" t="n">
        <v>323</v>
      </c>
      <c r="H177" s="145" t="n">
        <f aca="false">323+13+3+112+17</f>
        <v>468</v>
      </c>
      <c r="I177" s="141" t="s">
        <v>374</v>
      </c>
      <c r="J177" s="142" t="n">
        <f aca="false">1210/1.2</f>
        <v>1008.33333333333</v>
      </c>
      <c r="K177" s="142" t="n">
        <f aca="false">G177*J177</f>
        <v>325691.666666667</v>
      </c>
      <c r="L177" s="147" t="s">
        <v>375</v>
      </c>
      <c r="M177" s="148" t="n">
        <f aca="false">1190/1.2</f>
        <v>991.666666666667</v>
      </c>
      <c r="N177" s="142" t="n">
        <f aca="false">M177*G177</f>
        <v>320308.333333333</v>
      </c>
      <c r="O177" s="141" t="s">
        <v>376</v>
      </c>
      <c r="P177" s="142" t="n">
        <f aca="false">1235/1.2</f>
        <v>1029.16666666667</v>
      </c>
      <c r="Q177" s="142" t="n">
        <f aca="false">P177*G177</f>
        <v>332420.833333333</v>
      </c>
      <c r="R177" s="152" t="n">
        <f aca="false">M177</f>
        <v>991.666666666667</v>
      </c>
      <c r="S177" s="132" t="n">
        <f aca="false">R177*G177</f>
        <v>320308.333333333</v>
      </c>
      <c r="T177" s="134" t="s">
        <v>377</v>
      </c>
      <c r="U177" s="150" t="n">
        <f aca="false">ROUND(J177*100/R177-100,0)</f>
        <v>2</v>
      </c>
      <c r="V177" s="150" t="n">
        <f aca="false">ROUND(M177*100/R177-100,0)</f>
        <v>0</v>
      </c>
      <c r="W177" s="150" t="n">
        <f aca="false">ROUND(P177*100/R177-100,0)</f>
        <v>4</v>
      </c>
      <c r="X177" s="15"/>
      <c r="AE177" s="128"/>
      <c r="AF177" s="151" t="n">
        <f aca="false">M177</f>
        <v>991.666666666667</v>
      </c>
      <c r="AG177" s="128" t="n">
        <f aca="false">AF177*G177</f>
        <v>320308.333333333</v>
      </c>
      <c r="AH177" s="128"/>
      <c r="AI177" s="128"/>
      <c r="AJ177" s="128" t="n">
        <f aca="false">AI177*G177</f>
        <v>0</v>
      </c>
      <c r="AK177" s="128"/>
      <c r="AL177" s="128"/>
      <c r="AM177" s="129" t="n">
        <f aca="false">AL177*G177</f>
        <v>0</v>
      </c>
      <c r="AN177" s="128"/>
    </row>
    <row r="178" s="2" customFormat="true" ht="102" hidden="false" customHeight="false" outlineLevel="0" collapsed="false">
      <c r="B178" s="33"/>
      <c r="C178" s="145" t="n">
        <v>255</v>
      </c>
      <c r="D178" s="145" t="n">
        <v>25</v>
      </c>
      <c r="E178" s="146" t="s">
        <v>403</v>
      </c>
      <c r="F178" s="145" t="s">
        <v>31</v>
      </c>
      <c r="G178" s="145" t="n">
        <v>169</v>
      </c>
      <c r="H178" s="145" t="n">
        <f aca="false">169+27+17</f>
        <v>213</v>
      </c>
      <c r="I178" s="141" t="s">
        <v>374</v>
      </c>
      <c r="J178" s="142" t="n">
        <f aca="false">800/1.2</f>
        <v>666.666666666667</v>
      </c>
      <c r="K178" s="142" t="n">
        <f aca="false">G178*J178</f>
        <v>112666.666666667</v>
      </c>
      <c r="L178" s="147" t="s">
        <v>375</v>
      </c>
      <c r="M178" s="148" t="n">
        <f aca="false">745/1.2</f>
        <v>620.833333333333</v>
      </c>
      <c r="N178" s="142" t="n">
        <f aca="false">M178*G178</f>
        <v>104920.833333333</v>
      </c>
      <c r="O178" s="141" t="s">
        <v>376</v>
      </c>
      <c r="P178" s="142" t="n">
        <f aca="false">840/1.2</f>
        <v>700</v>
      </c>
      <c r="Q178" s="142" t="n">
        <f aca="false">P178*G178</f>
        <v>118300</v>
      </c>
      <c r="R178" s="152" t="n">
        <f aca="false">M178</f>
        <v>620.833333333333</v>
      </c>
      <c r="S178" s="132" t="n">
        <f aca="false">R178*G178</f>
        <v>104920.833333333</v>
      </c>
      <c r="T178" s="134" t="s">
        <v>377</v>
      </c>
      <c r="U178" s="150" t="n">
        <f aca="false">ROUND(J178*100/R178-100,0)</f>
        <v>7</v>
      </c>
      <c r="V178" s="150" t="n">
        <f aca="false">ROUND(M178*100/R178-100,0)</f>
        <v>0</v>
      </c>
      <c r="W178" s="150" t="n">
        <f aca="false">ROUND(P178*100/R178-100,0)</f>
        <v>13</v>
      </c>
      <c r="X178" s="15"/>
      <c r="AE178" s="128"/>
      <c r="AF178" s="151" t="n">
        <f aca="false">M178</f>
        <v>620.833333333333</v>
      </c>
      <c r="AG178" s="128" t="n">
        <f aca="false">AF178*G178</f>
        <v>104920.833333333</v>
      </c>
      <c r="AH178" s="128"/>
      <c r="AI178" s="128"/>
      <c r="AJ178" s="128" t="n">
        <f aca="false">AI178*G178</f>
        <v>0</v>
      </c>
      <c r="AK178" s="128"/>
      <c r="AL178" s="128"/>
      <c r="AM178" s="129" t="n">
        <f aca="false">AL178*G178</f>
        <v>0</v>
      </c>
      <c r="AN178" s="128"/>
    </row>
    <row r="179" s="2" customFormat="true" ht="102" hidden="false" customHeight="false" outlineLevel="0" collapsed="false">
      <c r="B179" s="33"/>
      <c r="C179" s="145" t="n">
        <v>256</v>
      </c>
      <c r="D179" s="145" t="n">
        <v>26</v>
      </c>
      <c r="E179" s="146" t="s">
        <v>404</v>
      </c>
      <c r="F179" s="145" t="s">
        <v>31</v>
      </c>
      <c r="G179" s="145" t="n">
        <v>27</v>
      </c>
      <c r="H179" s="145" t="n">
        <f aca="false">27</f>
        <v>27</v>
      </c>
      <c r="I179" s="141" t="s">
        <v>374</v>
      </c>
      <c r="J179" s="142" t="n">
        <f aca="false">604/1.2</f>
        <v>503.333333333333</v>
      </c>
      <c r="K179" s="142" t="n">
        <f aca="false">G179*J179</f>
        <v>13590</v>
      </c>
      <c r="L179" s="147" t="s">
        <v>375</v>
      </c>
      <c r="M179" s="148" t="n">
        <f aca="false">590/1.2</f>
        <v>491.666666666667</v>
      </c>
      <c r="N179" s="142" t="n">
        <f aca="false">M179*G179</f>
        <v>13275</v>
      </c>
      <c r="O179" s="141" t="s">
        <v>376</v>
      </c>
      <c r="P179" s="142" t="n">
        <f aca="false">620/1.2</f>
        <v>516.666666666667</v>
      </c>
      <c r="Q179" s="142" t="n">
        <f aca="false">P179*G179</f>
        <v>13950</v>
      </c>
      <c r="R179" s="152" t="n">
        <f aca="false">M179</f>
        <v>491.666666666667</v>
      </c>
      <c r="S179" s="132" t="n">
        <f aca="false">R179*G179</f>
        <v>13275</v>
      </c>
      <c r="T179" s="134" t="s">
        <v>377</v>
      </c>
      <c r="U179" s="150" t="n">
        <f aca="false">ROUND(J179*100/R179-100,0)</f>
        <v>2</v>
      </c>
      <c r="V179" s="150" t="n">
        <f aca="false">ROUND(M179*100/R179-100,0)</f>
        <v>0</v>
      </c>
      <c r="W179" s="150" t="n">
        <f aca="false">ROUND(P179*100/R179-100,0)</f>
        <v>5</v>
      </c>
      <c r="X179" s="15"/>
      <c r="AE179" s="128"/>
      <c r="AF179" s="151" t="n">
        <f aca="false">M179</f>
        <v>491.666666666667</v>
      </c>
      <c r="AG179" s="128" t="n">
        <f aca="false">AF179*G179</f>
        <v>13275</v>
      </c>
      <c r="AH179" s="128"/>
      <c r="AI179" s="128"/>
      <c r="AJ179" s="128" t="n">
        <f aca="false">AI179*G179</f>
        <v>0</v>
      </c>
      <c r="AK179" s="128"/>
      <c r="AL179" s="128"/>
      <c r="AM179" s="129" t="n">
        <f aca="false">AL179*G179</f>
        <v>0</v>
      </c>
      <c r="AN179" s="128"/>
    </row>
    <row r="180" s="2" customFormat="true" ht="102" hidden="false" customHeight="false" outlineLevel="0" collapsed="false">
      <c r="B180" s="33"/>
      <c r="C180" s="145" t="n">
        <v>257</v>
      </c>
      <c r="D180" s="145" t="n">
        <v>27</v>
      </c>
      <c r="E180" s="146" t="s">
        <v>405</v>
      </c>
      <c r="F180" s="145" t="s">
        <v>31</v>
      </c>
      <c r="G180" s="145" t="n">
        <v>75.5</v>
      </c>
      <c r="H180" s="145" t="n">
        <f aca="false">75.5</f>
        <v>75.5</v>
      </c>
      <c r="I180" s="141" t="s">
        <v>374</v>
      </c>
      <c r="J180" s="142" t="n">
        <f aca="false">604/1.2</f>
        <v>503.333333333333</v>
      </c>
      <c r="K180" s="142" t="n">
        <f aca="false">G180*J180</f>
        <v>38001.6666666667</v>
      </c>
      <c r="L180" s="147" t="s">
        <v>375</v>
      </c>
      <c r="M180" s="148" t="n">
        <f aca="false">590/1.2</f>
        <v>491.666666666667</v>
      </c>
      <c r="N180" s="142" t="n">
        <f aca="false">M180*G180</f>
        <v>37120.8333333333</v>
      </c>
      <c r="O180" s="141" t="s">
        <v>376</v>
      </c>
      <c r="P180" s="142" t="n">
        <f aca="false">620/1.2</f>
        <v>516.666666666667</v>
      </c>
      <c r="Q180" s="142" t="n">
        <f aca="false">P180*G180</f>
        <v>39008.3333333333</v>
      </c>
      <c r="R180" s="152" t="n">
        <f aca="false">M180</f>
        <v>491.666666666667</v>
      </c>
      <c r="S180" s="132" t="n">
        <f aca="false">R180*G180</f>
        <v>37120.8333333333</v>
      </c>
      <c r="T180" s="134" t="s">
        <v>377</v>
      </c>
      <c r="U180" s="150" t="n">
        <f aca="false">ROUND(J180*100/R180-100,0)</f>
        <v>2</v>
      </c>
      <c r="V180" s="150" t="n">
        <f aca="false">ROUND(M180*100/R180-100,0)</f>
        <v>0</v>
      </c>
      <c r="W180" s="150" t="n">
        <f aca="false">ROUND(P180*100/R180-100,0)</f>
        <v>5</v>
      </c>
      <c r="X180" s="15"/>
      <c r="AE180" s="128"/>
      <c r="AF180" s="151" t="n">
        <f aca="false">M180</f>
        <v>491.666666666667</v>
      </c>
      <c r="AG180" s="128" t="n">
        <f aca="false">AF180*G180</f>
        <v>37120.8333333333</v>
      </c>
      <c r="AH180" s="128"/>
      <c r="AI180" s="128"/>
      <c r="AJ180" s="128" t="n">
        <f aca="false">AI180*G180</f>
        <v>0</v>
      </c>
      <c r="AK180" s="128"/>
      <c r="AL180" s="128"/>
      <c r="AM180" s="129" t="n">
        <f aca="false">AL180*G180</f>
        <v>0</v>
      </c>
      <c r="AN180" s="128"/>
    </row>
    <row r="181" s="2" customFormat="true" ht="102" hidden="false" customHeight="false" outlineLevel="0" collapsed="false">
      <c r="B181" s="33"/>
      <c r="C181" s="145" t="n">
        <v>258</v>
      </c>
      <c r="D181" s="145" t="n">
        <v>28</v>
      </c>
      <c r="E181" s="146" t="s">
        <v>406</v>
      </c>
      <c r="F181" s="145" t="s">
        <v>31</v>
      </c>
      <c r="G181" s="145" t="n">
        <v>100</v>
      </c>
      <c r="H181" s="145" t="n">
        <f aca="false">10+10+100+100+250+250+50+50</f>
        <v>820</v>
      </c>
      <c r="I181" s="141" t="s">
        <v>374</v>
      </c>
      <c r="J181" s="142" t="n">
        <f aca="false">1850/1.2</f>
        <v>1541.66666666667</v>
      </c>
      <c r="K181" s="142" t="n">
        <f aca="false">G181*J181</f>
        <v>154166.666666667</v>
      </c>
      <c r="L181" s="147" t="s">
        <v>375</v>
      </c>
      <c r="M181" s="148" t="n">
        <f aca="false">1740/1.2</f>
        <v>1450</v>
      </c>
      <c r="N181" s="142" t="n">
        <f aca="false">M181*G181</f>
        <v>145000</v>
      </c>
      <c r="O181" s="141" t="s">
        <v>376</v>
      </c>
      <c r="P181" s="142" t="n">
        <f aca="false">1878/1.2</f>
        <v>1565</v>
      </c>
      <c r="Q181" s="142" t="n">
        <f aca="false">P181*G181</f>
        <v>156500</v>
      </c>
      <c r="R181" s="152" t="n">
        <f aca="false">M181</f>
        <v>1450</v>
      </c>
      <c r="S181" s="132" t="n">
        <f aca="false">R181*G181</f>
        <v>145000</v>
      </c>
      <c r="T181" s="134" t="s">
        <v>377</v>
      </c>
      <c r="U181" s="150" t="n">
        <f aca="false">ROUND(J181*100/R181-100,0)</f>
        <v>6</v>
      </c>
      <c r="V181" s="150" t="n">
        <f aca="false">ROUND(M181*100/R181-100,0)</f>
        <v>0</v>
      </c>
      <c r="W181" s="150" t="n">
        <f aca="false">ROUND(P181*100/R181-100,0)</f>
        <v>8</v>
      </c>
      <c r="X181" s="15"/>
      <c r="AE181" s="128"/>
      <c r="AF181" s="151" t="n">
        <f aca="false">M181</f>
        <v>1450</v>
      </c>
      <c r="AG181" s="128" t="n">
        <f aca="false">AF181*G181</f>
        <v>145000</v>
      </c>
      <c r="AH181" s="128"/>
      <c r="AI181" s="128"/>
      <c r="AJ181" s="128" t="n">
        <f aca="false">AI181*G181</f>
        <v>0</v>
      </c>
      <c r="AK181" s="128"/>
      <c r="AL181" s="128"/>
      <c r="AM181" s="129" t="n">
        <f aca="false">AL181*G181</f>
        <v>0</v>
      </c>
      <c r="AN181" s="128"/>
    </row>
    <row r="182" s="2" customFormat="true" ht="102" hidden="false" customHeight="false" outlineLevel="0" collapsed="false">
      <c r="B182" s="33"/>
      <c r="C182" s="145" t="n">
        <v>259</v>
      </c>
      <c r="D182" s="145" t="n">
        <v>29</v>
      </c>
      <c r="E182" s="146" t="s">
        <v>407</v>
      </c>
      <c r="F182" s="145" t="s">
        <v>31</v>
      </c>
      <c r="G182" s="145" t="n">
        <v>1506.9</v>
      </c>
      <c r="H182" s="145" t="n">
        <f aca="false">39+106+29+257+83.3+47.6+114.8+112.4+100+41.8+66.8+135.6+23</f>
        <v>1156.3</v>
      </c>
      <c r="I182" s="141" t="s">
        <v>374</v>
      </c>
      <c r="J182" s="142" t="n">
        <f aca="false">750/1.2</f>
        <v>625</v>
      </c>
      <c r="K182" s="142" t="n">
        <f aca="false">G182*J182</f>
        <v>941812.5</v>
      </c>
      <c r="L182" s="147" t="s">
        <v>375</v>
      </c>
      <c r="M182" s="148" t="n">
        <f aca="false">710/1.2</f>
        <v>591.666666666667</v>
      </c>
      <c r="N182" s="142" t="n">
        <f aca="false">M182*G182</f>
        <v>891582.5</v>
      </c>
      <c r="O182" s="141" t="s">
        <v>376</v>
      </c>
      <c r="P182" s="142" t="n">
        <f aca="false">800/1.2</f>
        <v>666.666666666667</v>
      </c>
      <c r="Q182" s="142" t="n">
        <f aca="false">P182*G182</f>
        <v>1004600</v>
      </c>
      <c r="R182" s="152" t="n">
        <f aca="false">M182</f>
        <v>591.666666666667</v>
      </c>
      <c r="S182" s="132" t="n">
        <f aca="false">R182*G182</f>
        <v>891582.5</v>
      </c>
      <c r="T182" s="134" t="s">
        <v>377</v>
      </c>
      <c r="U182" s="150" t="n">
        <f aca="false">ROUND(J182*100/R182-100,0)</f>
        <v>6</v>
      </c>
      <c r="V182" s="150" t="n">
        <f aca="false">ROUND(M182*100/R182-100,0)</f>
        <v>0</v>
      </c>
      <c r="W182" s="150" t="n">
        <f aca="false">ROUND(P182*100/R182-100,0)</f>
        <v>13</v>
      </c>
      <c r="X182" s="15"/>
      <c r="AE182" s="128"/>
      <c r="AF182" s="151" t="n">
        <f aca="false">M182</f>
        <v>591.666666666667</v>
      </c>
      <c r="AG182" s="128" t="n">
        <f aca="false">AF182*G182</f>
        <v>891582.5</v>
      </c>
      <c r="AH182" s="128"/>
      <c r="AI182" s="128"/>
      <c r="AJ182" s="128" t="n">
        <f aca="false">AI182*G182</f>
        <v>0</v>
      </c>
      <c r="AK182" s="128"/>
      <c r="AL182" s="128"/>
      <c r="AM182" s="129" t="n">
        <f aca="false">AL182*G182</f>
        <v>0</v>
      </c>
      <c r="AN182" s="128"/>
    </row>
    <row r="183" s="2" customFormat="true" ht="102" hidden="false" customHeight="false" outlineLevel="0" collapsed="false">
      <c r="B183" s="33"/>
      <c r="C183" s="145" t="n">
        <v>260</v>
      </c>
      <c r="D183" s="145" t="n">
        <v>30</v>
      </c>
      <c r="E183" s="146" t="s">
        <v>408</v>
      </c>
      <c r="F183" s="145" t="s">
        <v>31</v>
      </c>
      <c r="G183" s="145" t="n">
        <v>120</v>
      </c>
      <c r="H183" s="145" t="n">
        <f aca="false">57+54</f>
        <v>111</v>
      </c>
      <c r="I183" s="141" t="s">
        <v>409</v>
      </c>
      <c r="J183" s="142" t="n">
        <f aca="false">735/1.2</f>
        <v>612.5</v>
      </c>
      <c r="K183" s="142" t="n">
        <f aca="false">G183*J183</f>
        <v>73500</v>
      </c>
      <c r="L183" s="147" t="s">
        <v>410</v>
      </c>
      <c r="M183" s="148" t="n">
        <f aca="false">695/1.2</f>
        <v>579.166666666667</v>
      </c>
      <c r="N183" s="142" t="n">
        <f aca="false">M183*G183</f>
        <v>69500</v>
      </c>
      <c r="O183" s="141" t="s">
        <v>411</v>
      </c>
      <c r="P183" s="142" t="n">
        <f aca="false">710/1.2</f>
        <v>591.666666666667</v>
      </c>
      <c r="Q183" s="142" t="n">
        <f aca="false">P183*G183</f>
        <v>71000</v>
      </c>
      <c r="R183" s="152" t="n">
        <f aca="false">M183</f>
        <v>579.166666666667</v>
      </c>
      <c r="S183" s="132" t="n">
        <f aca="false">R183*G183</f>
        <v>69500</v>
      </c>
      <c r="T183" s="134" t="s">
        <v>377</v>
      </c>
      <c r="U183" s="150" t="n">
        <f aca="false">ROUND(J183*100/R183-100,0)</f>
        <v>6</v>
      </c>
      <c r="V183" s="150" t="n">
        <f aca="false">ROUND(M183*100/R183-100,0)</f>
        <v>0</v>
      </c>
      <c r="W183" s="150" t="n">
        <f aca="false">ROUND(P183*100/R183-100,0)</f>
        <v>2</v>
      </c>
      <c r="X183" s="15"/>
      <c r="AE183" s="128"/>
      <c r="AF183" s="151" t="n">
        <f aca="false">M183</f>
        <v>579.166666666667</v>
      </c>
      <c r="AG183" s="128" t="n">
        <f aca="false">AF183*G183</f>
        <v>69500</v>
      </c>
      <c r="AH183" s="128"/>
      <c r="AI183" s="128"/>
      <c r="AJ183" s="128" t="n">
        <f aca="false">AI183*G183</f>
        <v>0</v>
      </c>
      <c r="AK183" s="128"/>
      <c r="AL183" s="128"/>
      <c r="AM183" s="129" t="n">
        <f aca="false">AL183*G183</f>
        <v>0</v>
      </c>
      <c r="AN183" s="128"/>
    </row>
    <row r="184" s="153" customFormat="true" ht="102" hidden="false" customHeight="false" outlineLevel="0" collapsed="false">
      <c r="A184" s="2"/>
      <c r="B184" s="33"/>
      <c r="C184" s="145" t="n">
        <v>261</v>
      </c>
      <c r="D184" s="145" t="n">
        <v>32</v>
      </c>
      <c r="E184" s="146" t="s">
        <v>412</v>
      </c>
      <c r="F184" s="145" t="s">
        <v>23</v>
      </c>
      <c r="G184" s="145" t="n">
        <f aca="false">30+75+100+41.6+23.8+57.4+56.2+50+0.4+0.4+23.5+32.6+22.5+108+8+67+35+47</f>
        <v>778.4</v>
      </c>
      <c r="H184" s="145" t="n">
        <f aca="false">67+35+47+108+30+75+1.2+100+41.6+23.8+57.4+56.2+50+0.4+0.4+23.5+32.6+66.8+22.5</f>
        <v>838.4</v>
      </c>
      <c r="I184" s="141" t="s">
        <v>374</v>
      </c>
      <c r="J184" s="142" t="n">
        <f aca="false">430/1.2</f>
        <v>358.333333333333</v>
      </c>
      <c r="K184" s="142" t="n">
        <f aca="false">G184*J184</f>
        <v>278926.666666667</v>
      </c>
      <c r="L184" s="147" t="s">
        <v>375</v>
      </c>
      <c r="M184" s="148" t="n">
        <f aca="false">400/1.2</f>
        <v>333.333333333333</v>
      </c>
      <c r="N184" s="142" t="n">
        <f aca="false">M184*G184</f>
        <v>259466.666666667</v>
      </c>
      <c r="O184" s="141" t="s">
        <v>376</v>
      </c>
      <c r="P184" s="142" t="n">
        <f aca="false">443/1.2</f>
        <v>369.166666666667</v>
      </c>
      <c r="Q184" s="142" t="n">
        <f aca="false">P184*G184</f>
        <v>287359.333333333</v>
      </c>
      <c r="R184" s="152" t="n">
        <f aca="false">M184</f>
        <v>333.333333333333</v>
      </c>
      <c r="S184" s="132" t="n">
        <f aca="false">R184*G184</f>
        <v>259466.666666667</v>
      </c>
      <c r="T184" s="134" t="s">
        <v>377</v>
      </c>
      <c r="U184" s="150" t="n">
        <f aca="false">ROUND(J184*100/R184-100,0)</f>
        <v>8</v>
      </c>
      <c r="V184" s="150" t="n">
        <f aca="false">ROUND(M184*100/R184-100,0)</f>
        <v>0</v>
      </c>
      <c r="W184" s="150" t="n">
        <f aca="false">ROUND(P184*100/R184-100,0)</f>
        <v>11</v>
      </c>
      <c r="X184" s="15"/>
      <c r="Y184" s="2"/>
      <c r="Z184" s="2"/>
      <c r="AA184" s="2"/>
      <c r="AB184" s="2"/>
      <c r="AC184" s="2"/>
      <c r="AD184" s="2"/>
      <c r="AE184" s="128"/>
      <c r="AF184" s="151" t="n">
        <f aca="false">M184</f>
        <v>333.333333333333</v>
      </c>
      <c r="AG184" s="128" t="n">
        <f aca="false">AF184*G184</f>
        <v>259466.666666667</v>
      </c>
      <c r="AH184" s="128"/>
      <c r="AI184" s="128"/>
      <c r="AJ184" s="128" t="n">
        <f aca="false">AI184*G184</f>
        <v>0</v>
      </c>
      <c r="AK184" s="128"/>
      <c r="AL184" s="128"/>
      <c r="AM184" s="129" t="n">
        <f aca="false">AL184*G184</f>
        <v>0</v>
      </c>
      <c r="AN184" s="128"/>
    </row>
    <row r="185" s="2" customFormat="true" ht="102" hidden="false" customHeight="false" outlineLevel="0" collapsed="false">
      <c r="B185" s="33"/>
      <c r="C185" s="145" t="n">
        <v>262</v>
      </c>
      <c r="D185" s="145" t="n">
        <v>33</v>
      </c>
      <c r="E185" s="146" t="s">
        <v>413</v>
      </c>
      <c r="F185" s="145" t="s">
        <v>31</v>
      </c>
      <c r="G185" s="145" t="n">
        <f aca="false">112+445+57+54</f>
        <v>668</v>
      </c>
      <c r="H185" s="145" t="n">
        <f aca="false">100</f>
        <v>100</v>
      </c>
      <c r="I185" s="141" t="s">
        <v>374</v>
      </c>
      <c r="J185" s="142" t="n">
        <f aca="false">2160/1.2</f>
        <v>1800</v>
      </c>
      <c r="K185" s="142" t="n">
        <f aca="false">G185*J185</f>
        <v>1202400</v>
      </c>
      <c r="L185" s="147" t="s">
        <v>375</v>
      </c>
      <c r="M185" s="148" t="n">
        <f aca="false">2120/1.2</f>
        <v>1766.66666666667</v>
      </c>
      <c r="N185" s="142" t="n">
        <f aca="false">M185*G185</f>
        <v>1180133.33333333</v>
      </c>
      <c r="O185" s="141" t="s">
        <v>376</v>
      </c>
      <c r="P185" s="142" t="n">
        <f aca="false">2210/1.2</f>
        <v>1841.66666666667</v>
      </c>
      <c r="Q185" s="142" t="n">
        <f aca="false">P185*G185</f>
        <v>1230233.33333333</v>
      </c>
      <c r="R185" s="152" t="n">
        <f aca="false">M185</f>
        <v>1766.66666666667</v>
      </c>
      <c r="S185" s="132" t="n">
        <f aca="false">R185*G185</f>
        <v>1180133.33333333</v>
      </c>
      <c r="T185" s="134" t="s">
        <v>377</v>
      </c>
      <c r="U185" s="150" t="n">
        <f aca="false">ROUND(J185*100/R185-100,0)</f>
        <v>2</v>
      </c>
      <c r="V185" s="150" t="n">
        <f aca="false">ROUND(M185*100/R185-100,0)</f>
        <v>0</v>
      </c>
      <c r="W185" s="150" t="n">
        <f aca="false">ROUND(P185*100/R185-100,0)</f>
        <v>4</v>
      </c>
      <c r="X185" s="15"/>
      <c r="AE185" s="128"/>
      <c r="AF185" s="151" t="n">
        <f aca="false">M185</f>
        <v>1766.66666666667</v>
      </c>
      <c r="AG185" s="128" t="n">
        <f aca="false">AF185*G185</f>
        <v>1180133.33333333</v>
      </c>
      <c r="AH185" s="128"/>
      <c r="AI185" s="128"/>
      <c r="AJ185" s="128" t="n">
        <f aca="false">AI185*G185</f>
        <v>0</v>
      </c>
      <c r="AK185" s="128"/>
      <c r="AL185" s="128"/>
      <c r="AM185" s="129" t="n">
        <f aca="false">AL185*G185</f>
        <v>0</v>
      </c>
      <c r="AN185" s="128"/>
    </row>
    <row r="186" s="2" customFormat="true" ht="70.5" hidden="false" customHeight="true" outlineLevel="0" collapsed="false">
      <c r="B186" s="33"/>
      <c r="C186" s="145" t="n">
        <v>263</v>
      </c>
      <c r="D186" s="145" t="n">
        <v>36</v>
      </c>
      <c r="E186" s="146" t="s">
        <v>414</v>
      </c>
      <c r="F186" s="145" t="s">
        <v>31</v>
      </c>
      <c r="G186" s="145" t="n">
        <v>225</v>
      </c>
      <c r="H186" s="145" t="n">
        <v>225</v>
      </c>
      <c r="I186" s="154" t="s">
        <v>415</v>
      </c>
      <c r="J186" s="155" t="n">
        <f aca="false">140/1.2</f>
        <v>116.666666666667</v>
      </c>
      <c r="K186" s="156" t="n">
        <f aca="false">J186*G186</f>
        <v>26250</v>
      </c>
      <c r="L186" s="154" t="s">
        <v>416</v>
      </c>
      <c r="M186" s="155" t="n">
        <f aca="false">156/1.2</f>
        <v>130</v>
      </c>
      <c r="N186" s="156" t="n">
        <f aca="false">M186*G186</f>
        <v>29250</v>
      </c>
      <c r="O186" s="154" t="s">
        <v>417</v>
      </c>
      <c r="P186" s="155" t="n">
        <f aca="false">153/1.2</f>
        <v>127.5</v>
      </c>
      <c r="Q186" s="156" t="n">
        <f aca="false">P186*G186</f>
        <v>28687.5</v>
      </c>
      <c r="R186" s="157" t="n">
        <f aca="false">J186</f>
        <v>116.666666666667</v>
      </c>
      <c r="S186" s="132" t="n">
        <f aca="false">R186*G186</f>
        <v>26250</v>
      </c>
      <c r="T186" s="134" t="s">
        <v>377</v>
      </c>
      <c r="U186" s="150"/>
      <c r="V186" s="150"/>
      <c r="W186" s="150"/>
      <c r="X186" s="15"/>
      <c r="AE186" s="128"/>
      <c r="AF186" s="151"/>
      <c r="AG186" s="128"/>
      <c r="AH186" s="128"/>
      <c r="AI186" s="128"/>
      <c r="AJ186" s="128"/>
      <c r="AK186" s="128"/>
      <c r="AL186" s="128"/>
      <c r="AM186" s="129"/>
      <c r="AN186" s="128"/>
    </row>
    <row r="187" s="2" customFormat="true" ht="66.75" hidden="false" customHeight="true" outlineLevel="0" collapsed="false">
      <c r="B187" s="33"/>
      <c r="C187" s="145" t="n">
        <v>264</v>
      </c>
      <c r="D187" s="145" t="n">
        <v>43</v>
      </c>
      <c r="E187" s="158" t="s">
        <v>418</v>
      </c>
      <c r="F187" s="159" t="s">
        <v>257</v>
      </c>
      <c r="G187" s="159" t="n">
        <f aca="false">38+63</f>
        <v>101</v>
      </c>
      <c r="H187" s="159" t="n">
        <f aca="false">38+63</f>
        <v>101</v>
      </c>
      <c r="I187" s="160" t="s">
        <v>419</v>
      </c>
      <c r="J187" s="161" t="n">
        <f aca="false">6500/1.2</f>
        <v>5416.66666666667</v>
      </c>
      <c r="K187" s="161" t="n">
        <f aca="false">G187*J187</f>
        <v>547083.333333333</v>
      </c>
      <c r="L187" s="160"/>
      <c r="M187" s="161"/>
      <c r="N187" s="161" t="n">
        <f aca="false">M187*G187</f>
        <v>0</v>
      </c>
      <c r="O187" s="160"/>
      <c r="P187" s="161"/>
      <c r="Q187" s="161" t="n">
        <f aca="false">P187*G187</f>
        <v>0</v>
      </c>
      <c r="R187" s="162" t="n">
        <f aca="false">(J187+M187+P187)/1</f>
        <v>5416.66666666667</v>
      </c>
      <c r="S187" s="132" t="n">
        <f aca="false">R187*G187</f>
        <v>547083.333333333</v>
      </c>
      <c r="T187" s="163"/>
      <c r="U187" s="150" t="n">
        <f aca="false">ROUND(J187*100/R187-100,0)</f>
        <v>0</v>
      </c>
      <c r="V187" s="150" t="n">
        <f aca="false">ROUND(M187*100/R187-100,0)</f>
        <v>-100</v>
      </c>
      <c r="W187" s="150" t="n">
        <f aca="false">ROUND(P187*100/R187-100,0)</f>
        <v>-100</v>
      </c>
      <c r="X187" s="15"/>
      <c r="AE187" s="128"/>
      <c r="AF187" s="128"/>
      <c r="AG187" s="128" t="n">
        <f aca="false">AF187*G187</f>
        <v>0</v>
      </c>
      <c r="AH187" s="128"/>
      <c r="AI187" s="128"/>
      <c r="AJ187" s="128" t="n">
        <f aca="false">AI187*G187</f>
        <v>0</v>
      </c>
      <c r="AK187" s="128"/>
      <c r="AL187" s="128"/>
      <c r="AM187" s="129" t="n">
        <f aca="false">AL187*G187</f>
        <v>0</v>
      </c>
      <c r="AN187" s="128"/>
    </row>
    <row r="188" s="153" customFormat="true" ht="76.5" hidden="false" customHeight="false" outlineLevel="0" collapsed="false">
      <c r="A188" s="164"/>
      <c r="B188" s="165"/>
      <c r="C188" s="145" t="n">
        <v>265</v>
      </c>
      <c r="D188" s="159" t="n">
        <v>44</v>
      </c>
      <c r="E188" s="158" t="s">
        <v>420</v>
      </c>
      <c r="F188" s="159" t="s">
        <v>56</v>
      </c>
      <c r="G188" s="159" t="n">
        <v>42</v>
      </c>
      <c r="H188" s="159" t="n">
        <f aca="false">42</f>
        <v>42</v>
      </c>
      <c r="I188" s="160" t="s">
        <v>421</v>
      </c>
      <c r="J188" s="161" t="n">
        <v>14500</v>
      </c>
      <c r="K188" s="161" t="n">
        <f aca="false">G188*J188</f>
        <v>609000</v>
      </c>
      <c r="L188" s="160" t="s">
        <v>422</v>
      </c>
      <c r="M188" s="161" t="n">
        <v>14450</v>
      </c>
      <c r="N188" s="161" t="n">
        <f aca="false">M188*G188</f>
        <v>606900</v>
      </c>
      <c r="O188" s="160" t="s">
        <v>423</v>
      </c>
      <c r="P188" s="161" t="n">
        <v>14300</v>
      </c>
      <c r="Q188" s="161" t="n">
        <f aca="false">P188*G188</f>
        <v>600600</v>
      </c>
      <c r="R188" s="166" t="n">
        <f aca="false">(J188+M188+P188)/3</f>
        <v>14416.6666666667</v>
      </c>
      <c r="S188" s="167" t="n">
        <f aca="false">R188*G188</f>
        <v>605500</v>
      </c>
      <c r="T188" s="158"/>
      <c r="U188" s="150" t="n">
        <f aca="false">ROUND(J188*100/R188-100,0)</f>
        <v>1</v>
      </c>
      <c r="V188" s="150" t="n">
        <f aca="false">ROUND(M188*100/R188-100,0)</f>
        <v>0</v>
      </c>
      <c r="W188" s="150" t="n">
        <f aca="false">ROUND(P188*100/R188-100,0)</f>
        <v>-1</v>
      </c>
      <c r="X188" s="168"/>
      <c r="Y188" s="164"/>
      <c r="Z188" s="164"/>
      <c r="AA188" s="164"/>
      <c r="AB188" s="164"/>
      <c r="AC188" s="164"/>
      <c r="AD188" s="164"/>
      <c r="AE188" s="169"/>
      <c r="AF188" s="169"/>
      <c r="AG188" s="169" t="n">
        <f aca="false">AF188*G188</f>
        <v>0</v>
      </c>
      <c r="AH188" s="169"/>
      <c r="AI188" s="169"/>
      <c r="AJ188" s="169" t="n">
        <f aca="false">AI188*G188</f>
        <v>0</v>
      </c>
      <c r="AK188" s="169"/>
      <c r="AL188" s="169"/>
      <c r="AM188" s="170" t="n">
        <f aca="false">AL188*G188</f>
        <v>0</v>
      </c>
      <c r="AN188" s="169"/>
    </row>
    <row r="189" s="153" customFormat="true" ht="76.5" hidden="false" customHeight="false" outlineLevel="0" collapsed="false">
      <c r="A189" s="164"/>
      <c r="B189" s="165"/>
      <c r="C189" s="145" t="n">
        <v>266</v>
      </c>
      <c r="D189" s="159" t="n">
        <v>45</v>
      </c>
      <c r="E189" s="171" t="s">
        <v>424</v>
      </c>
      <c r="F189" s="172" t="s">
        <v>56</v>
      </c>
      <c r="G189" s="172" t="n">
        <f aca="false">3+3</f>
        <v>6</v>
      </c>
      <c r="H189" s="172" t="n">
        <f aca="false">9+19</f>
        <v>28</v>
      </c>
      <c r="I189" s="173" t="s">
        <v>421</v>
      </c>
      <c r="J189" s="174" t="n">
        <v>6250</v>
      </c>
      <c r="K189" s="174" t="n">
        <f aca="false">G189*J189</f>
        <v>37500</v>
      </c>
      <c r="L189" s="173" t="s">
        <v>422</v>
      </c>
      <c r="M189" s="174" t="n">
        <v>5240</v>
      </c>
      <c r="N189" s="174" t="n">
        <f aca="false">M189*G189</f>
        <v>31440</v>
      </c>
      <c r="O189" s="160" t="s">
        <v>423</v>
      </c>
      <c r="P189" s="174" t="n">
        <v>5850</v>
      </c>
      <c r="Q189" s="174" t="n">
        <f aca="false">P189*G189</f>
        <v>35100</v>
      </c>
      <c r="R189" s="166" t="n">
        <f aca="false">(J189+M189+P189)/3</f>
        <v>5780</v>
      </c>
      <c r="S189" s="167" t="n">
        <f aca="false">R189*G189</f>
        <v>34680</v>
      </c>
      <c r="T189" s="158" t="s">
        <v>425</v>
      </c>
      <c r="U189" s="150" t="n">
        <f aca="false">ROUND(J189*100/R189-100,0)</f>
        <v>8</v>
      </c>
      <c r="V189" s="150" t="n">
        <f aca="false">ROUND(M189*100/R189-100,0)</f>
        <v>-9</v>
      </c>
      <c r="W189" s="150" t="n">
        <f aca="false">ROUND(P189*100/R189-100,0)</f>
        <v>1</v>
      </c>
      <c r="X189" s="168"/>
      <c r="Y189" s="164"/>
      <c r="Z189" s="164"/>
      <c r="AA189" s="164"/>
      <c r="AB189" s="164"/>
      <c r="AC189" s="164"/>
      <c r="AD189" s="164"/>
      <c r="AE189" s="169"/>
      <c r="AF189" s="169"/>
      <c r="AG189" s="169" t="n">
        <f aca="false">AF189*G189</f>
        <v>0</v>
      </c>
      <c r="AH189" s="169"/>
      <c r="AI189" s="169"/>
      <c r="AJ189" s="169" t="n">
        <f aca="false">AI189*G189</f>
        <v>0</v>
      </c>
      <c r="AK189" s="169"/>
      <c r="AL189" s="169"/>
      <c r="AM189" s="170" t="n">
        <f aca="false">AL189*G189</f>
        <v>0</v>
      </c>
      <c r="AN189" s="169"/>
    </row>
    <row r="190" s="153" customFormat="true" ht="76.5" hidden="false" customHeight="false" outlineLevel="0" collapsed="false">
      <c r="A190" s="164"/>
      <c r="B190" s="165"/>
      <c r="C190" s="145" t="n">
        <v>267</v>
      </c>
      <c r="D190" s="159" t="n">
        <v>46</v>
      </c>
      <c r="E190" s="171" t="s">
        <v>426</v>
      </c>
      <c r="F190" s="172" t="s">
        <v>56</v>
      </c>
      <c r="G190" s="172" t="n">
        <f aca="false">15+17</f>
        <v>32</v>
      </c>
      <c r="H190" s="172" t="n">
        <f aca="false">5+24</f>
        <v>29</v>
      </c>
      <c r="I190" s="173" t="s">
        <v>421</v>
      </c>
      <c r="J190" s="174" t="n">
        <v>5150</v>
      </c>
      <c r="K190" s="174" t="n">
        <f aca="false">G190*J190</f>
        <v>164800</v>
      </c>
      <c r="L190" s="173" t="s">
        <v>422</v>
      </c>
      <c r="M190" s="174" t="n">
        <v>5130</v>
      </c>
      <c r="N190" s="174" t="n">
        <f aca="false">M190*G190</f>
        <v>164160</v>
      </c>
      <c r="O190" s="160" t="s">
        <v>423</v>
      </c>
      <c r="P190" s="174" t="n">
        <v>5000</v>
      </c>
      <c r="Q190" s="174" t="n">
        <f aca="false">P190*G190</f>
        <v>160000</v>
      </c>
      <c r="R190" s="166" t="n">
        <f aca="false">(J190+M190+P190)/3</f>
        <v>5093.33333333333</v>
      </c>
      <c r="S190" s="167" t="n">
        <f aca="false">R190*G190</f>
        <v>162986.666666667</v>
      </c>
      <c r="T190" s="158" t="s">
        <v>425</v>
      </c>
      <c r="U190" s="150" t="n">
        <f aca="false">ROUND(J190*100/R190-100,0)</f>
        <v>1</v>
      </c>
      <c r="V190" s="150" t="n">
        <f aca="false">ROUND(M190*100/R190-100,0)</f>
        <v>1</v>
      </c>
      <c r="W190" s="150" t="n">
        <f aca="false">ROUND(P190*100/R190-100,0)</f>
        <v>-2</v>
      </c>
      <c r="X190" s="168"/>
      <c r="Y190" s="164"/>
      <c r="Z190" s="164"/>
      <c r="AA190" s="164"/>
      <c r="AB190" s="164"/>
      <c r="AC190" s="164"/>
      <c r="AD190" s="164"/>
      <c r="AE190" s="169"/>
      <c r="AF190" s="169"/>
      <c r="AG190" s="169" t="n">
        <f aca="false">AF190*G190</f>
        <v>0</v>
      </c>
      <c r="AH190" s="169"/>
      <c r="AI190" s="169"/>
      <c r="AJ190" s="169" t="n">
        <f aca="false">AI190*G190</f>
        <v>0</v>
      </c>
      <c r="AK190" s="169"/>
      <c r="AL190" s="169"/>
      <c r="AM190" s="170" t="n">
        <f aca="false">AL190*G190</f>
        <v>0</v>
      </c>
      <c r="AN190" s="169"/>
    </row>
    <row r="191" s="153" customFormat="true" ht="76.5" hidden="false" customHeight="false" outlineLevel="0" collapsed="false">
      <c r="A191" s="2"/>
      <c r="B191" s="33"/>
      <c r="C191" s="145" t="n">
        <v>268</v>
      </c>
      <c r="D191" s="145" t="n">
        <v>48</v>
      </c>
      <c r="E191" s="134" t="s">
        <v>427</v>
      </c>
      <c r="F191" s="144" t="s">
        <v>56</v>
      </c>
      <c r="G191" s="144" t="n">
        <v>5</v>
      </c>
      <c r="H191" s="144" t="n">
        <f aca="false">1</f>
        <v>1</v>
      </c>
      <c r="I191" s="131" t="s">
        <v>421</v>
      </c>
      <c r="J191" s="50" t="n">
        <v>7300</v>
      </c>
      <c r="K191" s="50" t="n">
        <f aca="false">G191*J191</f>
        <v>36500</v>
      </c>
      <c r="L191" s="131" t="s">
        <v>422</v>
      </c>
      <c r="M191" s="50" t="n">
        <v>7280</v>
      </c>
      <c r="N191" s="50" t="n">
        <f aca="false">M191*G191</f>
        <v>36400</v>
      </c>
      <c r="O191" s="141" t="s">
        <v>423</v>
      </c>
      <c r="P191" s="50" t="n">
        <v>7315</v>
      </c>
      <c r="Q191" s="50" t="n">
        <f aca="false">P191*G191</f>
        <v>36575</v>
      </c>
      <c r="R191" s="166" t="n">
        <f aca="false">(J191+M191+P191)/3</f>
        <v>7298.33333333333</v>
      </c>
      <c r="S191" s="132" t="n">
        <f aca="false">R191*G191</f>
        <v>36491.6666666667</v>
      </c>
      <c r="T191" s="134" t="s">
        <v>428</v>
      </c>
      <c r="U191" s="150" t="n">
        <f aca="false">ROUND(J191*100/R191-100,0)</f>
        <v>0</v>
      </c>
      <c r="V191" s="150" t="n">
        <f aca="false">ROUND(M191*100/R191-100,0)</f>
        <v>-0</v>
      </c>
      <c r="W191" s="150" t="n">
        <f aca="false">ROUND(P191*100/R191-100,0)</f>
        <v>0</v>
      </c>
      <c r="X191" s="15"/>
      <c r="Y191" s="2"/>
      <c r="Z191" s="2"/>
      <c r="AA191" s="2"/>
      <c r="AB191" s="2"/>
      <c r="AC191" s="2"/>
      <c r="AD191" s="2"/>
      <c r="AE191" s="128"/>
      <c r="AF191" s="128"/>
      <c r="AG191" s="128" t="n">
        <f aca="false">AF191*G191</f>
        <v>0</v>
      </c>
      <c r="AH191" s="128"/>
      <c r="AI191" s="128"/>
      <c r="AJ191" s="128" t="n">
        <f aca="false">AI191*G191</f>
        <v>0</v>
      </c>
      <c r="AK191" s="128"/>
      <c r="AL191" s="128"/>
      <c r="AM191" s="129" t="n">
        <f aca="false">AL191*G191</f>
        <v>0</v>
      </c>
      <c r="AN191" s="128"/>
    </row>
    <row r="192" s="175" customFormat="true" ht="63.75" hidden="false" customHeight="false" outlineLevel="0" collapsed="false">
      <c r="A192" s="2"/>
      <c r="B192" s="33"/>
      <c r="C192" s="145" t="n">
        <v>269</v>
      </c>
      <c r="D192" s="145" t="n">
        <v>49</v>
      </c>
      <c r="E192" s="134" t="s">
        <v>429</v>
      </c>
      <c r="F192" s="144" t="s">
        <v>56</v>
      </c>
      <c r="G192" s="144" t="n">
        <f aca="false">1+1+2</f>
        <v>4</v>
      </c>
      <c r="H192" s="144" t="n">
        <f aca="false">1+1+1+1</f>
        <v>4</v>
      </c>
      <c r="I192" s="131" t="s">
        <v>430</v>
      </c>
      <c r="J192" s="50" t="n">
        <v>3900</v>
      </c>
      <c r="K192" s="50" t="n">
        <f aca="false">G192*J192</f>
        <v>15600</v>
      </c>
      <c r="L192" s="131"/>
      <c r="M192" s="50"/>
      <c r="N192" s="50" t="n">
        <f aca="false">M192*G192</f>
        <v>0</v>
      </c>
      <c r="O192" s="131"/>
      <c r="P192" s="50"/>
      <c r="Q192" s="50" t="n">
        <f aca="false">P192*G192</f>
        <v>0</v>
      </c>
      <c r="R192" s="118" t="n">
        <f aca="false">(J192+M192+P192)/1</f>
        <v>3900</v>
      </c>
      <c r="S192" s="132" t="n">
        <f aca="false">R192*G192</f>
        <v>15600</v>
      </c>
      <c r="T192" s="134" t="s">
        <v>431</v>
      </c>
      <c r="U192" s="150" t="n">
        <f aca="false">ROUND(J192*100/R192-100,0)</f>
        <v>0</v>
      </c>
      <c r="V192" s="150" t="n">
        <f aca="false">ROUND(M192*100/R192-100,0)</f>
        <v>-100</v>
      </c>
      <c r="W192" s="150" t="n">
        <f aca="false">ROUND(P192*100/R192-100,0)</f>
        <v>-100</v>
      </c>
      <c r="X192" s="15"/>
      <c r="Y192" s="2"/>
      <c r="Z192" s="2"/>
      <c r="AA192" s="2"/>
      <c r="AB192" s="2"/>
      <c r="AC192" s="2"/>
      <c r="AD192" s="2"/>
      <c r="AE192" s="128"/>
      <c r="AF192" s="128"/>
      <c r="AG192" s="128" t="n">
        <f aca="false">AF192*G192</f>
        <v>0</v>
      </c>
      <c r="AH192" s="128"/>
      <c r="AI192" s="128"/>
      <c r="AJ192" s="128" t="n">
        <f aca="false">AI192*G192</f>
        <v>0</v>
      </c>
      <c r="AK192" s="128"/>
      <c r="AL192" s="128"/>
      <c r="AM192" s="129" t="n">
        <f aca="false">AL192*G192</f>
        <v>0</v>
      </c>
      <c r="AN192" s="128"/>
    </row>
    <row r="193" s="153" customFormat="true" ht="114.75" hidden="false" customHeight="false" outlineLevel="0" collapsed="false">
      <c r="A193" s="2"/>
      <c r="B193" s="33"/>
      <c r="C193" s="145" t="n">
        <v>270</v>
      </c>
      <c r="D193" s="145" t="n">
        <v>51</v>
      </c>
      <c r="E193" s="146" t="s">
        <v>432</v>
      </c>
      <c r="F193" s="145" t="s">
        <v>31</v>
      </c>
      <c r="G193" s="145" t="n">
        <f aca="false">1.8+4.5+25+19.5+60</f>
        <v>110.8</v>
      </c>
      <c r="H193" s="145" t="n">
        <f aca="false">25+20+30</f>
        <v>75</v>
      </c>
      <c r="I193" s="176" t="s">
        <v>433</v>
      </c>
      <c r="J193" s="142" t="n">
        <f aca="false">685/5/1.2</f>
        <v>114.166666666667</v>
      </c>
      <c r="K193" s="142" t="n">
        <f aca="false">G193*J193</f>
        <v>12649.6666666667</v>
      </c>
      <c r="L193" s="176" t="s">
        <v>434</v>
      </c>
      <c r="M193" s="142" t="n">
        <f aca="false">633/5/1.2</f>
        <v>105.5</v>
      </c>
      <c r="N193" s="142" t="n">
        <f aca="false">M193*G193</f>
        <v>11689.4</v>
      </c>
      <c r="O193" s="176" t="s">
        <v>435</v>
      </c>
      <c r="P193" s="142" t="n">
        <f aca="false">1232/10/1.2</f>
        <v>102.666666666667</v>
      </c>
      <c r="Q193" s="142" t="n">
        <f aca="false">P193*G193</f>
        <v>11375.4666666667</v>
      </c>
      <c r="R193" s="143" t="n">
        <f aca="false">(J193+M193+P193)/3</f>
        <v>107.444444444444</v>
      </c>
      <c r="S193" s="132" t="n">
        <f aca="false">R193*G193</f>
        <v>11904.8444444444</v>
      </c>
      <c r="T193" s="134" t="s">
        <v>436</v>
      </c>
      <c r="U193" s="150" t="n">
        <f aca="false">ROUND(J193*100/R193-100,0)</f>
        <v>6</v>
      </c>
      <c r="V193" s="150" t="n">
        <f aca="false">ROUND(M193*100/R193-100,0)</f>
        <v>-2</v>
      </c>
      <c r="W193" s="150" t="n">
        <f aca="false">ROUND(P193*100/R193-100,0)</f>
        <v>-4</v>
      </c>
      <c r="X193" s="15"/>
      <c r="Y193" s="2"/>
      <c r="Z193" s="2"/>
      <c r="AA193" s="2"/>
      <c r="AB193" s="2"/>
      <c r="AC193" s="2"/>
      <c r="AD193" s="2"/>
      <c r="AE193" s="56" t="s">
        <v>433</v>
      </c>
      <c r="AF193" s="50" t="n">
        <f aca="false">685/5/1.2</f>
        <v>114.166666666667</v>
      </c>
      <c r="AG193" s="128" t="n">
        <f aca="false">AF193*G193</f>
        <v>12649.6666666667</v>
      </c>
      <c r="AH193" s="56" t="s">
        <v>434</v>
      </c>
      <c r="AI193" s="50" t="n">
        <f aca="false">633/5/1.2</f>
        <v>105.5</v>
      </c>
      <c r="AJ193" s="128" t="n">
        <f aca="false">AI193*G193</f>
        <v>11689.4</v>
      </c>
      <c r="AK193" s="56" t="s">
        <v>435</v>
      </c>
      <c r="AL193" s="50" t="n">
        <f aca="false">1232/10/1.2</f>
        <v>102.666666666667</v>
      </c>
      <c r="AM193" s="129" t="n">
        <f aca="false">AL193*G193</f>
        <v>11375.4666666667</v>
      </c>
      <c r="AN193" s="128"/>
    </row>
    <row r="194" s="153" customFormat="true" ht="102" hidden="false" customHeight="false" outlineLevel="0" collapsed="false">
      <c r="A194" s="2"/>
      <c r="B194" s="33"/>
      <c r="C194" s="145" t="n">
        <v>271</v>
      </c>
      <c r="D194" s="145" t="n">
        <v>52</v>
      </c>
      <c r="E194" s="177" t="s">
        <v>437</v>
      </c>
      <c r="F194" s="178" t="s">
        <v>31</v>
      </c>
      <c r="G194" s="178" t="n">
        <f aca="false">0.1+12+3.7+0.3</f>
        <v>16.1</v>
      </c>
      <c r="H194" s="178" t="n">
        <f aca="false">4.5+12+0.3</f>
        <v>16.8</v>
      </c>
      <c r="I194" s="179" t="s">
        <v>438</v>
      </c>
      <c r="J194" s="180" t="n">
        <f aca="false">575/1.2</f>
        <v>479.166666666667</v>
      </c>
      <c r="K194" s="180" t="n">
        <f aca="false">G194*J194</f>
        <v>7714.58333333333</v>
      </c>
      <c r="L194" s="179" t="s">
        <v>439</v>
      </c>
      <c r="M194" s="180" t="n">
        <f aca="false">640/1.2</f>
        <v>533.333333333333</v>
      </c>
      <c r="N194" s="180" t="n">
        <f aca="false">M194*G194</f>
        <v>8586.66666666667</v>
      </c>
      <c r="O194" s="181" t="s">
        <v>440</v>
      </c>
      <c r="P194" s="180" t="n">
        <f aca="false">750/1.2</f>
        <v>625</v>
      </c>
      <c r="Q194" s="180" t="n">
        <f aca="false">P194*G194</f>
        <v>10062.5</v>
      </c>
      <c r="R194" s="166" t="n">
        <f aca="false">(J194+M194+P194)/3</f>
        <v>545.833333333333</v>
      </c>
      <c r="S194" s="182" t="n">
        <f aca="false">R194*G194</f>
        <v>8787.91666666667</v>
      </c>
      <c r="T194" s="134" t="s">
        <v>441</v>
      </c>
      <c r="U194" s="150" t="n">
        <f aca="false">ROUND(J194*100/R194-100,0)</f>
        <v>-12</v>
      </c>
      <c r="V194" s="150" t="n">
        <f aca="false">ROUND(M194*100/R194-100,0)</f>
        <v>-2</v>
      </c>
      <c r="W194" s="150" t="n">
        <f aca="false">ROUND(P194*100/R194-100,0)</f>
        <v>15</v>
      </c>
      <c r="X194" s="15"/>
      <c r="Y194" s="2"/>
      <c r="Z194" s="2"/>
      <c r="AA194" s="2"/>
      <c r="AB194" s="2"/>
      <c r="AC194" s="2"/>
      <c r="AD194" s="2"/>
      <c r="AE194" s="128"/>
      <c r="AF194" s="128"/>
      <c r="AG194" s="128" t="n">
        <f aca="false">AF194*G194</f>
        <v>0</v>
      </c>
      <c r="AH194" s="128"/>
      <c r="AI194" s="128"/>
      <c r="AJ194" s="128" t="n">
        <f aca="false">AI194*G194</f>
        <v>0</v>
      </c>
      <c r="AK194" s="128"/>
      <c r="AL194" s="128"/>
      <c r="AM194" s="129" t="n">
        <f aca="false">AL194*G194</f>
        <v>0</v>
      </c>
      <c r="AN194" s="128"/>
    </row>
    <row r="195" s="153" customFormat="true" ht="409.5" hidden="false" customHeight="false" outlineLevel="0" collapsed="false">
      <c r="A195" s="2"/>
      <c r="B195" s="33"/>
      <c r="C195" s="145" t="n">
        <v>272</v>
      </c>
      <c r="D195" s="145" t="n">
        <v>56</v>
      </c>
      <c r="E195" s="183" t="s">
        <v>442</v>
      </c>
      <c r="F195" s="184" t="s">
        <v>359</v>
      </c>
      <c r="G195" s="184" t="n">
        <f aca="false">14+35</f>
        <v>49</v>
      </c>
      <c r="H195" s="184" t="n">
        <f aca="false">14+35</f>
        <v>49</v>
      </c>
      <c r="I195" s="185" t="s">
        <v>443</v>
      </c>
      <c r="J195" s="186" t="n">
        <f aca="false">1851/1.2</f>
        <v>1542.5</v>
      </c>
      <c r="K195" s="186" t="n">
        <f aca="false">G195*J195</f>
        <v>75582.5</v>
      </c>
      <c r="L195" s="185" t="s">
        <v>444</v>
      </c>
      <c r="M195" s="186" t="n">
        <f aca="false">2184/1.2</f>
        <v>1820</v>
      </c>
      <c r="N195" s="186" t="n">
        <f aca="false">M195*G195</f>
        <v>89180</v>
      </c>
      <c r="O195" s="185" t="s">
        <v>445</v>
      </c>
      <c r="P195" s="186" t="n">
        <f aca="false">5680.71/3.0692/1.2</f>
        <v>1542.39704157435</v>
      </c>
      <c r="Q195" s="186" t="n">
        <f aca="false">P195*G195</f>
        <v>75577.4550371432</v>
      </c>
      <c r="R195" s="187" t="n">
        <f aca="false">(J195+M195+P195)/3</f>
        <v>1634.96568052478</v>
      </c>
      <c r="S195" s="188" t="n">
        <f aca="false">R195*G195</f>
        <v>80113.3183457144</v>
      </c>
      <c r="T195" s="134" t="s">
        <v>441</v>
      </c>
      <c r="U195" s="150" t="n">
        <f aca="false">ROUND(J195*100/R195-100,0)</f>
        <v>-6</v>
      </c>
      <c r="V195" s="150" t="n">
        <f aca="false">ROUND(M195*100/R195-100,0)</f>
        <v>11</v>
      </c>
      <c r="W195" s="150" t="n">
        <f aca="false">ROUND(P195*100/R195-100,0)</f>
        <v>-6</v>
      </c>
      <c r="X195" s="15"/>
      <c r="Y195" s="2"/>
      <c r="Z195" s="2"/>
      <c r="AA195" s="2"/>
      <c r="AB195" s="2"/>
      <c r="AC195" s="2"/>
      <c r="AD195" s="2"/>
      <c r="AE195" s="56" t="s">
        <v>443</v>
      </c>
      <c r="AF195" s="50" t="n">
        <f aca="false">1851/1.2</f>
        <v>1542.5</v>
      </c>
      <c r="AG195" s="128" t="n">
        <f aca="false">AF195*G195</f>
        <v>75582.5</v>
      </c>
      <c r="AH195" s="56" t="s">
        <v>444</v>
      </c>
      <c r="AI195" s="50" t="n">
        <f aca="false">2184/1.2</f>
        <v>1820</v>
      </c>
      <c r="AJ195" s="128" t="n">
        <f aca="false">AI195*G195</f>
        <v>89180</v>
      </c>
      <c r="AK195" s="56" t="s">
        <v>445</v>
      </c>
      <c r="AL195" s="50" t="n">
        <f aca="false">5680.71/3.0692/1.2</f>
        <v>1542.39704157435</v>
      </c>
      <c r="AM195" s="129" t="n">
        <f aca="false">AL195*G195</f>
        <v>75577.4550371432</v>
      </c>
      <c r="AN195" s="128"/>
    </row>
    <row r="196" s="2" customFormat="true" ht="140.25" hidden="false" customHeight="false" outlineLevel="0" collapsed="false">
      <c r="B196" s="33"/>
      <c r="C196" s="145" t="n">
        <v>273</v>
      </c>
      <c r="D196" s="145" t="n">
        <v>57</v>
      </c>
      <c r="E196" s="183" t="s">
        <v>446</v>
      </c>
      <c r="F196" s="184" t="s">
        <v>23</v>
      </c>
      <c r="G196" s="184" t="n">
        <f aca="false">0.4+0.8+1.2+0.4</f>
        <v>2.8</v>
      </c>
      <c r="H196" s="184" t="n">
        <f aca="false">0.4</f>
        <v>0.4</v>
      </c>
      <c r="I196" s="185" t="s">
        <v>447</v>
      </c>
      <c r="J196" s="186" t="n">
        <f aca="false">990/1.2</f>
        <v>825</v>
      </c>
      <c r="K196" s="186" t="n">
        <f aca="false">G196*J196</f>
        <v>2310</v>
      </c>
      <c r="L196" s="185" t="s">
        <v>448</v>
      </c>
      <c r="M196" s="186" t="n">
        <f aca="false">973/1.2</f>
        <v>810.833333333333</v>
      </c>
      <c r="N196" s="186" t="n">
        <f aca="false">M196*G196</f>
        <v>2270.33333333333</v>
      </c>
      <c r="O196" s="185" t="s">
        <v>449</v>
      </c>
      <c r="P196" s="186" t="n">
        <f aca="false">973/1.2</f>
        <v>810.833333333333</v>
      </c>
      <c r="Q196" s="186" t="n">
        <f aca="false">P196*G196</f>
        <v>2270.33333333333</v>
      </c>
      <c r="R196" s="187" t="n">
        <f aca="false">(J196+M196+P196)/3</f>
        <v>815.555555555556</v>
      </c>
      <c r="S196" s="188" t="n">
        <f aca="false">R196*G196</f>
        <v>2283.55555555556</v>
      </c>
      <c r="T196" s="134" t="s">
        <v>441</v>
      </c>
      <c r="U196" s="150" t="n">
        <f aca="false">ROUND(J196*100/R196-100,0)</f>
        <v>1</v>
      </c>
      <c r="V196" s="150" t="n">
        <f aca="false">ROUND(M196*100/R196-100,0)</f>
        <v>-1</v>
      </c>
      <c r="W196" s="150" t="n">
        <f aca="false">ROUND(P196*100/R196-100,0)</f>
        <v>-1</v>
      </c>
      <c r="X196" s="15"/>
      <c r="AE196" s="56" t="s">
        <v>447</v>
      </c>
      <c r="AF196" s="50" t="n">
        <f aca="false">990/1.2</f>
        <v>825</v>
      </c>
      <c r="AG196" s="128" t="n">
        <f aca="false">AF196*G196</f>
        <v>2310</v>
      </c>
      <c r="AH196" s="56" t="s">
        <v>448</v>
      </c>
      <c r="AI196" s="50" t="n">
        <f aca="false">973/1.2</f>
        <v>810.833333333333</v>
      </c>
      <c r="AJ196" s="128" t="n">
        <f aca="false">AI196*G196</f>
        <v>2270.33333333333</v>
      </c>
      <c r="AK196" s="56" t="s">
        <v>449</v>
      </c>
      <c r="AL196" s="50" t="n">
        <f aca="false">973/1.2</f>
        <v>810.833333333333</v>
      </c>
      <c r="AM196" s="129" t="n">
        <f aca="false">AL196*G196</f>
        <v>2270.33333333333</v>
      </c>
      <c r="AN196" s="128"/>
    </row>
    <row r="197" s="2" customFormat="true" ht="229.5" hidden="false" customHeight="false" outlineLevel="0" collapsed="false">
      <c r="B197" s="33"/>
      <c r="C197" s="145" t="n">
        <v>274</v>
      </c>
      <c r="D197" s="145" t="n">
        <v>58</v>
      </c>
      <c r="E197" s="183" t="s">
        <v>450</v>
      </c>
      <c r="F197" s="184" t="s">
        <v>23</v>
      </c>
      <c r="G197" s="184" t="n">
        <f aca="false">1.2+2.4+1.2</f>
        <v>4.8</v>
      </c>
      <c r="H197" s="184" t="n">
        <f aca="false">1.2+2.4</f>
        <v>3.6</v>
      </c>
      <c r="I197" s="185" t="s">
        <v>451</v>
      </c>
      <c r="J197" s="186" t="n">
        <f aca="false">1050/2.5/1.2</f>
        <v>350</v>
      </c>
      <c r="K197" s="186" t="n">
        <f aca="false">G197*J197</f>
        <v>1680</v>
      </c>
      <c r="L197" s="185" t="s">
        <v>452</v>
      </c>
      <c r="M197" s="186" t="n">
        <f aca="false">1160/2.5/1.2</f>
        <v>386.666666666667</v>
      </c>
      <c r="N197" s="186" t="n">
        <f aca="false">M197*G197</f>
        <v>1856</v>
      </c>
      <c r="O197" s="185" t="s">
        <v>453</v>
      </c>
      <c r="P197" s="186" t="n">
        <f aca="false">3840/9/1.2</f>
        <v>355.555555555556</v>
      </c>
      <c r="Q197" s="186" t="n">
        <f aca="false">P197*G197</f>
        <v>1706.66666666667</v>
      </c>
      <c r="R197" s="187" t="n">
        <f aca="false">(J197+M197+P197)/3</f>
        <v>364.074074074074</v>
      </c>
      <c r="S197" s="188" t="n">
        <f aca="false">R197*G197</f>
        <v>1747.55555555556</v>
      </c>
      <c r="T197" s="134" t="s">
        <v>441</v>
      </c>
      <c r="U197" s="150" t="n">
        <f aca="false">ROUND(J197*100/R197-100,0)</f>
        <v>-4</v>
      </c>
      <c r="V197" s="150" t="n">
        <f aca="false">ROUND(M197*100/R197-100,0)</f>
        <v>6</v>
      </c>
      <c r="W197" s="150" t="n">
        <f aca="false">ROUND(P197*100/R197-100,0)</f>
        <v>-2</v>
      </c>
      <c r="X197" s="15"/>
      <c r="AE197" s="56" t="s">
        <v>451</v>
      </c>
      <c r="AF197" s="50" t="n">
        <f aca="false">1050/2.5/1.2</f>
        <v>350</v>
      </c>
      <c r="AG197" s="128" t="n">
        <f aca="false">AF197*G197</f>
        <v>1680</v>
      </c>
      <c r="AH197" s="56" t="s">
        <v>452</v>
      </c>
      <c r="AI197" s="50" t="n">
        <f aca="false">1160/2.5/1.2</f>
        <v>386.666666666667</v>
      </c>
      <c r="AJ197" s="128" t="n">
        <f aca="false">AI197*G197</f>
        <v>1856</v>
      </c>
      <c r="AK197" s="56" t="s">
        <v>453</v>
      </c>
      <c r="AL197" s="50" t="n">
        <f aca="false">3840/9/1.2</f>
        <v>355.555555555556</v>
      </c>
      <c r="AM197" s="129" t="n">
        <f aca="false">AL197*G197</f>
        <v>1706.66666666667</v>
      </c>
      <c r="AN197" s="128"/>
    </row>
    <row r="198" s="2" customFormat="true" ht="178.5" hidden="false" customHeight="false" outlineLevel="0" collapsed="false">
      <c r="B198" s="33"/>
      <c r="C198" s="145" t="n">
        <v>275</v>
      </c>
      <c r="D198" s="145" t="n">
        <v>59</v>
      </c>
      <c r="E198" s="183" t="s">
        <v>454</v>
      </c>
      <c r="F198" s="184" t="s">
        <v>31</v>
      </c>
      <c r="G198" s="184" t="n">
        <f aca="false">373.5+58.4+80</f>
        <v>511.9</v>
      </c>
      <c r="H198" s="184" t="n">
        <f aca="false">373.5+58.4</f>
        <v>431.9</v>
      </c>
      <c r="I198" s="185" t="s">
        <v>455</v>
      </c>
      <c r="J198" s="186" t="n">
        <f aca="false">531.03/20/1.2</f>
        <v>22.12625</v>
      </c>
      <c r="K198" s="186" t="n">
        <f aca="false">G198*J198</f>
        <v>11326.427375</v>
      </c>
      <c r="L198" s="185" t="s">
        <v>456</v>
      </c>
      <c r="M198" s="186" t="n">
        <f aca="false">563/20/1.2</f>
        <v>23.4583333333333</v>
      </c>
      <c r="N198" s="186" t="n">
        <f aca="false">M198*G198</f>
        <v>12008.3208333333</v>
      </c>
      <c r="O198" s="185" t="s">
        <v>457</v>
      </c>
      <c r="P198" s="186" t="n">
        <f aca="false">545/20/1.2</f>
        <v>22.7083333333333</v>
      </c>
      <c r="Q198" s="186" t="n">
        <f aca="false">P198*G198</f>
        <v>11624.3958333333</v>
      </c>
      <c r="R198" s="187" t="n">
        <f aca="false">(J198+M198+P198)/3</f>
        <v>22.7643055555556</v>
      </c>
      <c r="S198" s="188" t="n">
        <f aca="false">R198*G198</f>
        <v>11653.0480138889</v>
      </c>
      <c r="T198" s="134" t="s">
        <v>458</v>
      </c>
      <c r="U198" s="150" t="n">
        <f aca="false">ROUND(J198*100/R198-100,0)</f>
        <v>-3</v>
      </c>
      <c r="V198" s="150" t="n">
        <f aca="false">ROUND(M198*100/R198-100,0)</f>
        <v>3</v>
      </c>
      <c r="W198" s="150" t="n">
        <f aca="false">ROUND(P198*100/R198-100,0)</f>
        <v>-0</v>
      </c>
      <c r="X198" s="15"/>
      <c r="AE198" s="128"/>
      <c r="AF198" s="128"/>
      <c r="AG198" s="128" t="n">
        <f aca="false">AF198*G198</f>
        <v>0</v>
      </c>
      <c r="AH198" s="128"/>
      <c r="AI198" s="128"/>
      <c r="AJ198" s="128" t="n">
        <f aca="false">AI198*G198</f>
        <v>0</v>
      </c>
      <c r="AK198" s="128"/>
      <c r="AL198" s="128"/>
      <c r="AM198" s="129" t="n">
        <f aca="false">AL198*G198</f>
        <v>0</v>
      </c>
      <c r="AN198" s="128"/>
    </row>
    <row r="199" s="164" customFormat="true" ht="153" hidden="false" customHeight="false" outlineLevel="0" collapsed="false">
      <c r="A199" s="2"/>
      <c r="B199" s="33"/>
      <c r="C199" s="145" t="n">
        <v>276</v>
      </c>
      <c r="D199" s="145" t="n">
        <v>60</v>
      </c>
      <c r="E199" s="183" t="s">
        <v>459</v>
      </c>
      <c r="F199" s="184" t="s">
        <v>31</v>
      </c>
      <c r="G199" s="184" t="n">
        <f aca="false">216+140+367+45+125+22</f>
        <v>915</v>
      </c>
      <c r="H199" s="184" t="n">
        <f aca="false">216+140+367+146+514+167+95+230+225+199+4+4+83.5+168+339</f>
        <v>2897.5</v>
      </c>
      <c r="I199" s="189" t="s">
        <v>460</v>
      </c>
      <c r="J199" s="186" t="n">
        <f aca="false">624/20/1.2</f>
        <v>26</v>
      </c>
      <c r="K199" s="186" t="n">
        <f aca="false">G199*J199</f>
        <v>23790</v>
      </c>
      <c r="L199" s="185" t="s">
        <v>461</v>
      </c>
      <c r="M199" s="186" t="n">
        <f aca="false">669/20/1.2</f>
        <v>27.875</v>
      </c>
      <c r="N199" s="186" t="n">
        <f aca="false">M199*G199</f>
        <v>25505.625</v>
      </c>
      <c r="O199" s="185" t="s">
        <v>462</v>
      </c>
      <c r="P199" s="186" t="n">
        <f aca="false">709/20/1.2</f>
        <v>29.5416666666667</v>
      </c>
      <c r="Q199" s="186" t="n">
        <f aca="false">P199*G199</f>
        <v>27030.625</v>
      </c>
      <c r="R199" s="187" t="n">
        <f aca="false">(J199+M199+P199)/3</f>
        <v>27.8055555555556</v>
      </c>
      <c r="S199" s="188" t="n">
        <f aca="false">R199*G199</f>
        <v>25442.0833333333</v>
      </c>
      <c r="T199" s="134" t="s">
        <v>463</v>
      </c>
      <c r="U199" s="150" t="n">
        <f aca="false">ROUND(J199*100/R199-100,0)</f>
        <v>-6</v>
      </c>
      <c r="V199" s="150" t="n">
        <f aca="false">ROUND(M199*100/R199-100,0)</f>
        <v>0</v>
      </c>
      <c r="W199" s="150" t="n">
        <f aca="false">ROUND(P199*100/R199-100,0)</f>
        <v>6</v>
      </c>
      <c r="X199" s="15"/>
      <c r="Y199" s="2"/>
      <c r="Z199" s="2"/>
      <c r="AA199" s="2"/>
      <c r="AB199" s="2"/>
      <c r="AC199" s="2"/>
      <c r="AD199" s="2"/>
      <c r="AE199" s="128"/>
      <c r="AF199" s="128"/>
      <c r="AG199" s="128" t="n">
        <f aca="false">AF199*G199</f>
        <v>0</v>
      </c>
      <c r="AH199" s="128"/>
      <c r="AI199" s="128"/>
      <c r="AJ199" s="128" t="n">
        <f aca="false">AI199*G199</f>
        <v>0</v>
      </c>
      <c r="AK199" s="128"/>
      <c r="AL199" s="128"/>
      <c r="AM199" s="129" t="n">
        <f aca="false">AL199*G199</f>
        <v>0</v>
      </c>
      <c r="AN199" s="128"/>
    </row>
    <row r="200" s="190" customFormat="true" ht="409.5" hidden="false" customHeight="false" outlineLevel="0" collapsed="false">
      <c r="A200" s="2"/>
      <c r="B200" s="33"/>
      <c r="C200" s="145" t="n">
        <v>277</v>
      </c>
      <c r="D200" s="145" t="n">
        <v>62</v>
      </c>
      <c r="E200" s="183" t="s">
        <v>464</v>
      </c>
      <c r="F200" s="184" t="s">
        <v>31</v>
      </c>
      <c r="G200" s="184" t="n">
        <v>12</v>
      </c>
      <c r="H200" s="184" t="n">
        <f aca="false">4+3</f>
        <v>7</v>
      </c>
      <c r="I200" s="185" t="s">
        <v>465</v>
      </c>
      <c r="J200" s="186" t="n">
        <f aca="false">664/3/1.2</f>
        <v>184.444444444444</v>
      </c>
      <c r="K200" s="186" t="n">
        <f aca="false">G200*J200</f>
        <v>2213.33333333333</v>
      </c>
      <c r="L200" s="185" t="s">
        <v>466</v>
      </c>
      <c r="M200" s="186" t="n">
        <f aca="false">692/3/1.2</f>
        <v>192.222222222222</v>
      </c>
      <c r="N200" s="186" t="n">
        <f aca="false">M200*G200</f>
        <v>2306.66666666667</v>
      </c>
      <c r="O200" s="185" t="s">
        <v>467</v>
      </c>
      <c r="P200" s="186" t="n">
        <f aca="false">626/3/1.2</f>
        <v>173.888888888889</v>
      </c>
      <c r="Q200" s="186" t="n">
        <f aca="false">P200*G200</f>
        <v>2086.66666666667</v>
      </c>
      <c r="R200" s="187" t="n">
        <f aca="false">(J200+M200+P200)/3</f>
        <v>183.518518518519</v>
      </c>
      <c r="S200" s="188" t="n">
        <f aca="false">R200*G200</f>
        <v>2202.22222222222</v>
      </c>
      <c r="T200" s="134" t="s">
        <v>463</v>
      </c>
      <c r="U200" s="150" t="n">
        <f aca="false">ROUND(J200*100/R200-100,0)</f>
        <v>1</v>
      </c>
      <c r="V200" s="150" t="n">
        <f aca="false">ROUND(M200*100/R200-100,0)</f>
        <v>5</v>
      </c>
      <c r="W200" s="150" t="n">
        <f aca="false">ROUND(P200*100/R200-100,0)</f>
        <v>-5</v>
      </c>
      <c r="X200" s="15"/>
      <c r="Y200" s="2"/>
      <c r="Z200" s="2"/>
      <c r="AA200" s="2"/>
      <c r="AB200" s="2"/>
      <c r="AC200" s="2"/>
      <c r="AD200" s="2"/>
      <c r="AE200" s="128"/>
      <c r="AF200" s="128"/>
      <c r="AG200" s="128" t="n">
        <f aca="false">AF200*G200</f>
        <v>0</v>
      </c>
      <c r="AH200" s="128"/>
      <c r="AI200" s="128"/>
      <c r="AJ200" s="128" t="n">
        <f aca="false">AI200*G200</f>
        <v>0</v>
      </c>
      <c r="AK200" s="128"/>
      <c r="AL200" s="128"/>
      <c r="AM200" s="129" t="n">
        <f aca="false">AL200*G200</f>
        <v>0</v>
      </c>
      <c r="AN200" s="128"/>
    </row>
    <row r="201" s="190" customFormat="true" ht="178.5" hidden="false" customHeight="false" outlineLevel="0" collapsed="false">
      <c r="A201" s="2"/>
      <c r="B201" s="33"/>
      <c r="C201" s="145" t="n">
        <v>278</v>
      </c>
      <c r="D201" s="145" t="n">
        <v>63</v>
      </c>
      <c r="E201" s="183" t="s">
        <v>468</v>
      </c>
      <c r="F201" s="184" t="s">
        <v>31</v>
      </c>
      <c r="G201" s="184" t="n">
        <f aca="false">50+100+50+50+370+50+50+50+25+25+175+50+50+225</f>
        <v>1320</v>
      </c>
      <c r="H201" s="184" t="n">
        <f aca="false">175+50+50+50+100+50+370+50+50+50+50+25+25</f>
        <v>1095</v>
      </c>
      <c r="I201" s="185" t="s">
        <v>469</v>
      </c>
      <c r="J201" s="186" t="n">
        <f aca="false">370/25/1.2</f>
        <v>12.3333333333333</v>
      </c>
      <c r="K201" s="186" t="n">
        <f aca="false">G201*J201</f>
        <v>16280</v>
      </c>
      <c r="L201" s="185" t="s">
        <v>470</v>
      </c>
      <c r="M201" s="186" t="n">
        <f aca="false">395/25/1.2</f>
        <v>13.1666666666667</v>
      </c>
      <c r="N201" s="186" t="n">
        <f aca="false">M201*G201</f>
        <v>17380</v>
      </c>
      <c r="O201" s="185" t="s">
        <v>471</v>
      </c>
      <c r="P201" s="186" t="n">
        <f aca="false">320/25/1.2</f>
        <v>10.6666666666667</v>
      </c>
      <c r="Q201" s="186" t="n">
        <f aca="false">P201*G201</f>
        <v>14080</v>
      </c>
      <c r="R201" s="187" t="n">
        <f aca="false">(J201+M201+P201)/3</f>
        <v>12.0555555555556</v>
      </c>
      <c r="S201" s="188" t="n">
        <f aca="false">R201*G201</f>
        <v>15913.3333333333</v>
      </c>
      <c r="T201" s="134" t="s">
        <v>463</v>
      </c>
      <c r="U201" s="150" t="n">
        <f aca="false">ROUND(J201*100/R201-100,0)</f>
        <v>2</v>
      </c>
      <c r="V201" s="150" t="n">
        <f aca="false">ROUND(M201*100/R201-100,0)</f>
        <v>9</v>
      </c>
      <c r="W201" s="150" t="n">
        <f aca="false">ROUND(P201*100/R201-100,0)</f>
        <v>-12</v>
      </c>
      <c r="X201" s="15"/>
      <c r="Y201" s="2"/>
      <c r="Z201" s="2"/>
      <c r="AA201" s="2"/>
      <c r="AB201" s="2"/>
      <c r="AC201" s="2"/>
      <c r="AD201" s="2"/>
      <c r="AE201" s="128"/>
      <c r="AF201" s="128"/>
      <c r="AG201" s="128" t="n">
        <f aca="false">AF201*G201</f>
        <v>0</v>
      </c>
      <c r="AH201" s="128"/>
      <c r="AI201" s="128"/>
      <c r="AJ201" s="128" t="n">
        <f aca="false">AI201*G201</f>
        <v>0</v>
      </c>
      <c r="AK201" s="128"/>
      <c r="AL201" s="128"/>
      <c r="AM201" s="129" t="n">
        <f aca="false">AL201*G201</f>
        <v>0</v>
      </c>
      <c r="AN201" s="128"/>
    </row>
    <row r="202" customFormat="false" ht="191.25" hidden="false" customHeight="false" outlineLevel="0" collapsed="false">
      <c r="A202" s="2"/>
      <c r="B202" s="33"/>
      <c r="C202" s="145" t="n">
        <v>279</v>
      </c>
      <c r="D202" s="145" t="n">
        <v>64</v>
      </c>
      <c r="E202" s="183" t="s">
        <v>472</v>
      </c>
      <c r="F202" s="184" t="s">
        <v>31</v>
      </c>
      <c r="G202" s="184" t="n">
        <f aca="false">25+25</f>
        <v>50</v>
      </c>
      <c r="H202" s="184" t="n">
        <f aca="false">25+25</f>
        <v>50</v>
      </c>
      <c r="I202" s="185" t="s">
        <v>473</v>
      </c>
      <c r="J202" s="186" t="n">
        <f aca="false">290/20/1.2</f>
        <v>12.0833333333333</v>
      </c>
      <c r="K202" s="186" t="n">
        <f aca="false">G202*J202</f>
        <v>604.166666666667</v>
      </c>
      <c r="L202" s="191" t="s">
        <v>474</v>
      </c>
      <c r="M202" s="192" t="n">
        <f aca="false">285/20/1.2</f>
        <v>11.875</v>
      </c>
      <c r="N202" s="186" t="n">
        <f aca="false">M202*G202</f>
        <v>593.75</v>
      </c>
      <c r="O202" s="185" t="s">
        <v>475</v>
      </c>
      <c r="P202" s="186" t="n">
        <f aca="false">280/20/1.2</f>
        <v>11.6666666666667</v>
      </c>
      <c r="Q202" s="186" t="n">
        <f aca="false">P202*G202</f>
        <v>583.333333333333</v>
      </c>
      <c r="R202" s="193" t="n">
        <f aca="false">(J202+M202+P202)/3</f>
        <v>11.875</v>
      </c>
      <c r="S202" s="188" t="n">
        <f aca="false">R202*G202</f>
        <v>593.75</v>
      </c>
      <c r="T202" s="134"/>
      <c r="U202" s="150" t="n">
        <f aca="false">ROUND(J202*100/R202-100,0)</f>
        <v>2</v>
      </c>
      <c r="V202" s="150" t="n">
        <f aca="false">ROUND(M202*100/R202-100,0)</f>
        <v>0</v>
      </c>
      <c r="W202" s="150" t="n">
        <f aca="false">ROUND(P202*100/R202-100,0)</f>
        <v>-2</v>
      </c>
      <c r="X202" s="15"/>
      <c r="Y202" s="2"/>
      <c r="Z202" s="2"/>
      <c r="AA202" s="2"/>
      <c r="AB202" s="2"/>
      <c r="AC202" s="2"/>
      <c r="AD202" s="2"/>
      <c r="AE202" s="128"/>
      <c r="AF202" s="128"/>
      <c r="AG202" s="128" t="n">
        <f aca="false">AF202*G202</f>
        <v>0</v>
      </c>
      <c r="AH202" s="128"/>
      <c r="AI202" s="128"/>
      <c r="AJ202" s="128" t="n">
        <f aca="false">AI202*G202</f>
        <v>0</v>
      </c>
      <c r="AK202" s="128"/>
      <c r="AL202" s="128"/>
      <c r="AM202" s="129" t="n">
        <f aca="false">AL202*G202</f>
        <v>0</v>
      </c>
      <c r="AN202" s="128"/>
    </row>
    <row r="203" customFormat="false" ht="165.75" hidden="false" customHeight="false" outlineLevel="0" collapsed="false">
      <c r="A203" s="2"/>
      <c r="B203" s="33"/>
      <c r="C203" s="145" t="n">
        <v>280</v>
      </c>
      <c r="D203" s="145" t="n">
        <v>66</v>
      </c>
      <c r="E203" s="183" t="s">
        <v>476</v>
      </c>
      <c r="F203" s="184" t="s">
        <v>31</v>
      </c>
      <c r="G203" s="184" t="n">
        <f aca="false">48+64+9</f>
        <v>121</v>
      </c>
      <c r="H203" s="184" t="n">
        <f aca="false">4.5+2.7+4</f>
        <v>11.2</v>
      </c>
      <c r="I203" s="185" t="s">
        <v>477</v>
      </c>
      <c r="J203" s="186" t="n">
        <f aca="false">12550/8.1/1.2</f>
        <v>1291.15226337449</v>
      </c>
      <c r="K203" s="186" t="n">
        <f aca="false">G203*J203</f>
        <v>156229.423868313</v>
      </c>
      <c r="L203" s="185" t="s">
        <v>478</v>
      </c>
      <c r="M203" s="186" t="n">
        <f aca="false">12449/8.1/1.2</f>
        <v>1280.76131687243</v>
      </c>
      <c r="N203" s="186" t="n">
        <f aca="false">M203*G203</f>
        <v>154972.119341564</v>
      </c>
      <c r="O203" s="185" t="s">
        <v>479</v>
      </c>
      <c r="P203" s="186" t="n">
        <f aca="false">12999/8.1/1.2</f>
        <v>1337.34567901235</v>
      </c>
      <c r="Q203" s="186" t="n">
        <f aca="false">P203*G203</f>
        <v>161818.827160494</v>
      </c>
      <c r="R203" s="187" t="n">
        <f aca="false">(J203+M203+P203)/3</f>
        <v>1303.08641975309</v>
      </c>
      <c r="S203" s="188" t="n">
        <f aca="false">R203*G203</f>
        <v>157673.456790123</v>
      </c>
      <c r="T203" s="134" t="s">
        <v>480</v>
      </c>
      <c r="U203" s="150" t="n">
        <f aca="false">ROUND(J203*100/R203-100,0)</f>
        <v>-1</v>
      </c>
      <c r="V203" s="150" t="n">
        <f aca="false">ROUND(M203*100/R203-100,0)</f>
        <v>-2</v>
      </c>
      <c r="W203" s="150" t="n">
        <f aca="false">ROUND(P203*100/R203-100,0)</f>
        <v>3</v>
      </c>
      <c r="X203" s="15"/>
      <c r="Y203" s="2"/>
      <c r="Z203" s="2"/>
      <c r="AA203" s="2"/>
      <c r="AB203" s="2"/>
      <c r="AC203" s="2"/>
      <c r="AD203" s="2"/>
      <c r="AE203" s="128"/>
      <c r="AF203" s="128"/>
      <c r="AG203" s="128" t="n">
        <f aca="false">AF203*G203</f>
        <v>0</v>
      </c>
      <c r="AH203" s="128"/>
      <c r="AI203" s="128"/>
      <c r="AJ203" s="128" t="n">
        <f aca="false">AI203*G203</f>
        <v>0</v>
      </c>
      <c r="AK203" s="128"/>
      <c r="AL203" s="128"/>
      <c r="AM203" s="129" t="n">
        <f aca="false">AL203*G203</f>
        <v>0</v>
      </c>
      <c r="AN203" s="128"/>
    </row>
    <row r="204" customFormat="false" ht="15.75" hidden="true" customHeight="false" outlineLevel="0" collapsed="false">
      <c r="A204" s="2"/>
      <c r="B204" s="33"/>
      <c r="C204" s="145"/>
      <c r="D204" s="145"/>
      <c r="E204" s="146"/>
      <c r="F204" s="145"/>
      <c r="G204" s="145"/>
      <c r="H204" s="145"/>
      <c r="I204" s="141"/>
      <c r="J204" s="142"/>
      <c r="K204" s="140"/>
      <c r="L204" s="141"/>
      <c r="M204" s="142"/>
      <c r="N204" s="142"/>
      <c r="O204" s="141"/>
      <c r="P204" s="142"/>
      <c r="Q204" s="142"/>
      <c r="R204" s="143"/>
      <c r="S204" s="132" t="n">
        <f aca="false">R204*G204</f>
        <v>0</v>
      </c>
      <c r="T204" s="134"/>
      <c r="U204" s="150" t="e">
        <f aca="false">ROUND(J204*100/R204-100,0)</f>
        <v>#DIV/0!</v>
      </c>
      <c r="V204" s="150" t="e">
        <f aca="false">ROUND(M204*100/R204-100,0)</f>
        <v>#DIV/0!</v>
      </c>
      <c r="W204" s="150" t="e">
        <f aca="false">ROUND(P204*100/R204-100,0)</f>
        <v>#DIV/0!</v>
      </c>
      <c r="X204" s="15"/>
      <c r="Y204" s="2"/>
      <c r="Z204" s="2"/>
      <c r="AA204" s="2"/>
      <c r="AB204" s="2"/>
      <c r="AC204" s="2"/>
      <c r="AD204" s="2"/>
      <c r="AE204" s="128"/>
      <c r="AF204" s="128"/>
      <c r="AG204" s="128" t="n">
        <f aca="false">AF204*G204</f>
        <v>0</v>
      </c>
      <c r="AH204" s="128"/>
      <c r="AI204" s="128"/>
      <c r="AJ204" s="128" t="n">
        <f aca="false">AI204*G204</f>
        <v>0</v>
      </c>
      <c r="AK204" s="128"/>
      <c r="AL204" s="128"/>
      <c r="AM204" s="129" t="n">
        <f aca="false">AL204*G204</f>
        <v>0</v>
      </c>
      <c r="AN204" s="128"/>
    </row>
    <row r="205" customFormat="false" ht="15.75" hidden="true" customHeight="false" outlineLevel="0" collapsed="false">
      <c r="A205" s="2"/>
      <c r="B205" s="33"/>
      <c r="C205" s="145"/>
      <c r="D205" s="145"/>
      <c r="E205" s="146"/>
      <c r="F205" s="145"/>
      <c r="G205" s="145"/>
      <c r="H205" s="145"/>
      <c r="I205" s="141"/>
      <c r="J205" s="142"/>
      <c r="K205" s="140"/>
      <c r="L205" s="141"/>
      <c r="M205" s="142"/>
      <c r="N205" s="142"/>
      <c r="O205" s="141"/>
      <c r="P205" s="142"/>
      <c r="Q205" s="142"/>
      <c r="R205" s="143"/>
      <c r="S205" s="132" t="n">
        <f aca="false">R205*G205</f>
        <v>0</v>
      </c>
      <c r="T205" s="134"/>
      <c r="U205" s="150" t="e">
        <f aca="false">ROUND(J205*100/R205-100,0)</f>
        <v>#DIV/0!</v>
      </c>
      <c r="V205" s="150" t="e">
        <f aca="false">ROUND(M205*100/R205-100,0)</f>
        <v>#DIV/0!</v>
      </c>
      <c r="W205" s="150" t="e">
        <f aca="false">ROUND(P205*100/R205-100,0)</f>
        <v>#DIV/0!</v>
      </c>
      <c r="X205" s="15"/>
      <c r="Y205" s="2"/>
      <c r="Z205" s="2"/>
      <c r="AA205" s="2"/>
      <c r="AB205" s="2"/>
      <c r="AC205" s="2"/>
      <c r="AD205" s="2"/>
      <c r="AE205" s="128"/>
      <c r="AF205" s="128"/>
      <c r="AG205" s="128" t="n">
        <f aca="false">AF205*G205</f>
        <v>0</v>
      </c>
      <c r="AH205" s="128"/>
      <c r="AI205" s="128"/>
      <c r="AJ205" s="128" t="n">
        <f aca="false">AI205*G205</f>
        <v>0</v>
      </c>
      <c r="AK205" s="128"/>
      <c r="AL205" s="128"/>
      <c r="AM205" s="129" t="n">
        <f aca="false">AL205*G205</f>
        <v>0</v>
      </c>
      <c r="AN205" s="128"/>
    </row>
    <row r="206" s="196" customFormat="true" ht="102" hidden="false" customHeight="false" outlineLevel="0" collapsed="false">
      <c r="A206" s="2"/>
      <c r="B206" s="33"/>
      <c r="C206" s="145" t="n">
        <v>281</v>
      </c>
      <c r="D206" s="145" t="n">
        <v>67</v>
      </c>
      <c r="E206" s="146" t="s">
        <v>481</v>
      </c>
      <c r="F206" s="145" t="s">
        <v>359</v>
      </c>
      <c r="G206" s="145" t="n">
        <v>3</v>
      </c>
      <c r="H206" s="145" t="n">
        <f aca="false">3</f>
        <v>3</v>
      </c>
      <c r="I206" s="194" t="s">
        <v>482</v>
      </c>
      <c r="J206" s="142" t="n">
        <f aca="false">1059/10/1.2</f>
        <v>88.25</v>
      </c>
      <c r="K206" s="142" t="n">
        <f aca="false">G206*J206</f>
        <v>264.75</v>
      </c>
      <c r="L206" s="141" t="s">
        <v>483</v>
      </c>
      <c r="M206" s="142" t="n">
        <v>96.89</v>
      </c>
      <c r="N206" s="142" t="n">
        <f aca="false">M206*G206</f>
        <v>290.67</v>
      </c>
      <c r="O206" s="141" t="s">
        <v>484</v>
      </c>
      <c r="P206" s="142" t="n">
        <v>92.66</v>
      </c>
      <c r="Q206" s="142" t="n">
        <f aca="false">P206*G206</f>
        <v>277.98</v>
      </c>
      <c r="R206" s="143" t="n">
        <f aca="false">(J206+M206+P206)/3</f>
        <v>92.6</v>
      </c>
      <c r="S206" s="132" t="n">
        <f aca="false">R206*G206</f>
        <v>277.8</v>
      </c>
      <c r="T206" s="195" t="s">
        <v>485</v>
      </c>
      <c r="U206" s="150" t="n">
        <f aca="false">ROUND(J206*100/R206-100,0)</f>
        <v>-5</v>
      </c>
      <c r="V206" s="150" t="n">
        <f aca="false">ROUND(M206*100/R206-100,0)</f>
        <v>5</v>
      </c>
      <c r="W206" s="150" t="n">
        <f aca="false">ROUND(P206*100/R206-100,0)</f>
        <v>0</v>
      </c>
      <c r="X206" s="15"/>
      <c r="Y206" s="2"/>
      <c r="Z206" s="2"/>
      <c r="AA206" s="2"/>
      <c r="AB206" s="2"/>
      <c r="AC206" s="2"/>
      <c r="AD206" s="2"/>
      <c r="AE206" s="128"/>
      <c r="AF206" s="128"/>
      <c r="AG206" s="128" t="n">
        <f aca="false">AF206*G206</f>
        <v>0</v>
      </c>
      <c r="AH206" s="128"/>
      <c r="AI206" s="128"/>
      <c r="AJ206" s="128" t="n">
        <f aca="false">AI206*G206</f>
        <v>0</v>
      </c>
      <c r="AK206" s="128"/>
      <c r="AL206" s="128"/>
      <c r="AM206" s="129" t="n">
        <f aca="false">AL206*G206</f>
        <v>0</v>
      </c>
      <c r="AN206" s="128"/>
    </row>
    <row r="207" s="2" customFormat="true" ht="18" hidden="false" customHeight="true" outlineLevel="0" collapsed="false">
      <c r="B207" s="33"/>
      <c r="C207" s="145" t="n">
        <v>282</v>
      </c>
      <c r="D207" s="145" t="n">
        <v>68</v>
      </c>
      <c r="E207" s="177" t="s">
        <v>486</v>
      </c>
      <c r="F207" s="178" t="s">
        <v>56</v>
      </c>
      <c r="G207" s="178" t="n">
        <f aca="false">15+20</f>
        <v>35</v>
      </c>
      <c r="H207" s="178"/>
      <c r="I207" s="179" t="s">
        <v>487</v>
      </c>
      <c r="J207" s="180" t="n">
        <f aca="false">31.12/1.2</f>
        <v>25.9333333333333</v>
      </c>
      <c r="K207" s="180" t="n">
        <f aca="false">G207*J207</f>
        <v>907.666666666667</v>
      </c>
      <c r="L207" s="179" t="s">
        <v>488</v>
      </c>
      <c r="M207" s="180" t="n">
        <f aca="false">1560/50/1.2</f>
        <v>26</v>
      </c>
      <c r="N207" s="180" t="n">
        <f aca="false">M207*G207</f>
        <v>910</v>
      </c>
      <c r="O207" s="179" t="s">
        <v>489</v>
      </c>
      <c r="P207" s="180" t="n">
        <f aca="false">34.44/1.2</f>
        <v>28.7</v>
      </c>
      <c r="Q207" s="180" t="n">
        <f aca="false">P207*G207</f>
        <v>1004.5</v>
      </c>
      <c r="R207" s="166" t="n">
        <f aca="false">(J207+M207+P207)/3</f>
        <v>26.8777777777778</v>
      </c>
      <c r="S207" s="182" t="n">
        <f aca="false">R207*G207</f>
        <v>940.722222222222</v>
      </c>
      <c r="T207" s="134" t="s">
        <v>441</v>
      </c>
      <c r="U207" s="150" t="n">
        <f aca="false">ROUND(J207*100/R207-100,0)</f>
        <v>-4</v>
      </c>
      <c r="V207" s="150" t="n">
        <f aca="false">ROUND(M207*100/R207-100,0)</f>
        <v>-3</v>
      </c>
      <c r="W207" s="150" t="n">
        <f aca="false">ROUND(P207*100/R207-100,0)</f>
        <v>7</v>
      </c>
      <c r="X207" s="15"/>
      <c r="AE207" s="128"/>
      <c r="AF207" s="128"/>
      <c r="AG207" s="128" t="n">
        <f aca="false">AF207*G207</f>
        <v>0</v>
      </c>
      <c r="AH207" s="128"/>
      <c r="AI207" s="128"/>
      <c r="AJ207" s="128" t="n">
        <f aca="false">AI207*G207</f>
        <v>0</v>
      </c>
      <c r="AK207" s="128"/>
      <c r="AL207" s="128"/>
      <c r="AM207" s="129" t="n">
        <f aca="false">AL207*G207</f>
        <v>0</v>
      </c>
      <c r="AN207" s="128"/>
    </row>
    <row r="208" s="197" customFormat="true" ht="18" hidden="false" customHeight="true" outlineLevel="0" collapsed="false">
      <c r="A208" s="2"/>
      <c r="B208" s="33"/>
      <c r="C208" s="145" t="n">
        <v>283</v>
      </c>
      <c r="D208" s="145" t="n">
        <v>69</v>
      </c>
      <c r="E208" s="177" t="s">
        <v>490</v>
      </c>
      <c r="F208" s="178" t="s">
        <v>56</v>
      </c>
      <c r="G208" s="178" t="n">
        <f aca="false">122+24+40+32+104</f>
        <v>322</v>
      </c>
      <c r="H208" s="178" t="n">
        <f aca="false">122+40+13+32+35</f>
        <v>242</v>
      </c>
      <c r="I208" s="179" t="s">
        <v>491</v>
      </c>
      <c r="J208" s="180" t="n">
        <f aca="false">125.62/1.2</f>
        <v>104.683333333333</v>
      </c>
      <c r="K208" s="180" t="n">
        <f aca="false">G208*J208</f>
        <v>33708.0333333333</v>
      </c>
      <c r="L208" s="179" t="s">
        <v>492</v>
      </c>
      <c r="M208" s="180" t="n">
        <f aca="false">126/1.2</f>
        <v>105</v>
      </c>
      <c r="N208" s="180" t="n">
        <f aca="false">M208*G208</f>
        <v>33810</v>
      </c>
      <c r="O208" s="179" t="s">
        <v>493</v>
      </c>
      <c r="P208" s="180" t="n">
        <f aca="false">130/1.2</f>
        <v>108.333333333333</v>
      </c>
      <c r="Q208" s="180" t="n">
        <f aca="false">P208*G208</f>
        <v>34883.3333333333</v>
      </c>
      <c r="R208" s="166" t="n">
        <f aca="false">(J208+M208+P208)/3</f>
        <v>106.005555555556</v>
      </c>
      <c r="S208" s="182" t="n">
        <f aca="false">R208*G208</f>
        <v>34133.7888888889</v>
      </c>
      <c r="T208" s="134" t="s">
        <v>441</v>
      </c>
      <c r="U208" s="150" t="n">
        <f aca="false">ROUND(J208*100/R208-100,0)</f>
        <v>-1</v>
      </c>
      <c r="V208" s="150" t="n">
        <f aca="false">ROUND(M208*100/R208-100,0)</f>
        <v>-1</v>
      </c>
      <c r="W208" s="150" t="n">
        <f aca="false">ROUND(P208*100/R208-100,0)</f>
        <v>2</v>
      </c>
      <c r="X208" s="15"/>
      <c r="Y208" s="2"/>
      <c r="Z208" s="2"/>
      <c r="AA208" s="2"/>
      <c r="AB208" s="2"/>
      <c r="AC208" s="2"/>
      <c r="AD208" s="2"/>
      <c r="AE208" s="128"/>
      <c r="AF208" s="128"/>
      <c r="AG208" s="128" t="n">
        <f aca="false">AF208*G208</f>
        <v>0</v>
      </c>
      <c r="AH208" s="128"/>
      <c r="AI208" s="128"/>
      <c r="AJ208" s="128" t="n">
        <f aca="false">AI208*G208</f>
        <v>0</v>
      </c>
      <c r="AK208" s="128"/>
      <c r="AL208" s="128"/>
      <c r="AM208" s="129" t="n">
        <f aca="false">AL208*G208</f>
        <v>0</v>
      </c>
      <c r="AN208" s="128"/>
    </row>
    <row r="209" s="198" customFormat="true" ht="18" hidden="false" customHeight="true" outlineLevel="0" collapsed="false">
      <c r="A209" s="2"/>
      <c r="B209" s="33"/>
      <c r="C209" s="145" t="n">
        <v>284</v>
      </c>
      <c r="D209" s="145" t="n">
        <v>70</v>
      </c>
      <c r="E209" s="177" t="s">
        <v>494</v>
      </c>
      <c r="F209" s="178" t="s">
        <v>56</v>
      </c>
      <c r="G209" s="178" t="n">
        <f aca="false">108+75+24+64+90</f>
        <v>361</v>
      </c>
      <c r="H209" s="178" t="n">
        <f aca="false">108+75+24+64+75</f>
        <v>346</v>
      </c>
      <c r="I209" s="179" t="s">
        <v>495</v>
      </c>
      <c r="J209" s="180" t="n">
        <f aca="false">688/10/1.2</f>
        <v>57.3333333333333</v>
      </c>
      <c r="K209" s="180" t="n">
        <f aca="false">G209*J209</f>
        <v>20697.3333333333</v>
      </c>
      <c r="L209" s="179" t="s">
        <v>496</v>
      </c>
      <c r="M209" s="180" t="n">
        <f aca="false">66/1.2</f>
        <v>55</v>
      </c>
      <c r="N209" s="180" t="n">
        <f aca="false">M209*G209</f>
        <v>19855</v>
      </c>
      <c r="O209" s="179" t="s">
        <v>497</v>
      </c>
      <c r="P209" s="180" t="n">
        <f aca="false">2600/40/1.2</f>
        <v>54.1666666666667</v>
      </c>
      <c r="Q209" s="180" t="n">
        <f aca="false">P209*G209</f>
        <v>19554.1666666667</v>
      </c>
      <c r="R209" s="166" t="n">
        <f aca="false">(J209+M209+P209)/3</f>
        <v>55.5</v>
      </c>
      <c r="S209" s="182" t="n">
        <f aca="false">R209*G209</f>
        <v>20035.5</v>
      </c>
      <c r="T209" s="134" t="s">
        <v>441</v>
      </c>
      <c r="U209" s="150" t="n">
        <f aca="false">ROUND(J209*100/R209-100,0)</f>
        <v>3</v>
      </c>
      <c r="V209" s="150" t="n">
        <f aca="false">ROUND(M209*100/R209-100,0)</f>
        <v>-1</v>
      </c>
      <c r="W209" s="150" t="n">
        <f aca="false">ROUND(P209*100/R209-100,0)</f>
        <v>-2</v>
      </c>
      <c r="X209" s="15"/>
      <c r="Y209" s="2"/>
      <c r="Z209" s="2"/>
      <c r="AA209" s="2"/>
      <c r="AB209" s="2"/>
      <c r="AC209" s="2"/>
      <c r="AD209" s="2"/>
      <c r="AE209" s="128"/>
      <c r="AF209" s="128"/>
      <c r="AG209" s="128" t="n">
        <f aca="false">AF209*G209</f>
        <v>0</v>
      </c>
      <c r="AH209" s="128"/>
      <c r="AI209" s="128"/>
      <c r="AJ209" s="128" t="n">
        <f aca="false">AI209*G209</f>
        <v>0</v>
      </c>
      <c r="AK209" s="128"/>
      <c r="AL209" s="128"/>
      <c r="AM209" s="129" t="n">
        <f aca="false">AL209*G209</f>
        <v>0</v>
      </c>
      <c r="AN209" s="128"/>
    </row>
    <row r="210" s="2" customFormat="true" ht="127.5" hidden="false" customHeight="false" outlineLevel="0" collapsed="false">
      <c r="A210" s="199"/>
      <c r="B210" s="200"/>
      <c r="C210" s="145" t="n">
        <v>285</v>
      </c>
      <c r="D210" s="145" t="n">
        <v>72</v>
      </c>
      <c r="E210" s="158" t="s">
        <v>498</v>
      </c>
      <c r="F210" s="159" t="s">
        <v>56</v>
      </c>
      <c r="G210" s="159" t="n">
        <f aca="false">200+200+40</f>
        <v>440</v>
      </c>
      <c r="H210" s="159" t="n">
        <f aca="false">200+200</f>
        <v>400</v>
      </c>
      <c r="I210" s="160" t="s">
        <v>499</v>
      </c>
      <c r="J210" s="161" t="n">
        <v>195</v>
      </c>
      <c r="K210" s="161" t="n">
        <f aca="false">G210*J210</f>
        <v>85800</v>
      </c>
      <c r="L210" s="160" t="s">
        <v>500</v>
      </c>
      <c r="M210" s="161" t="n">
        <f aca="false">255/1.2</f>
        <v>212.5</v>
      </c>
      <c r="N210" s="161" t="n">
        <f aca="false">M210*G210</f>
        <v>93500</v>
      </c>
      <c r="O210" s="160" t="s">
        <v>501</v>
      </c>
      <c r="P210" s="161" t="n">
        <v>200</v>
      </c>
      <c r="Q210" s="161" t="n">
        <f aca="false">P210*G210</f>
        <v>88000</v>
      </c>
      <c r="R210" s="162" t="n">
        <f aca="false">(J210+M210+P210)/3</f>
        <v>202.5</v>
      </c>
      <c r="S210" s="167" t="n">
        <f aca="false">R210*G210</f>
        <v>89100</v>
      </c>
      <c r="T210" s="134" t="s">
        <v>502</v>
      </c>
      <c r="U210" s="150" t="n">
        <f aca="false">ROUND(J210*100/R210-100,0)</f>
        <v>-4</v>
      </c>
      <c r="V210" s="150" t="n">
        <f aca="false">ROUND(M210*100/R210-100,0)</f>
        <v>5</v>
      </c>
      <c r="W210" s="150" t="n">
        <f aca="false">ROUND(P210*100/R210-100,0)</f>
        <v>-1</v>
      </c>
      <c r="X210" s="144"/>
      <c r="Y210" s="199"/>
      <c r="Z210" s="199"/>
      <c r="AA210" s="199"/>
      <c r="AB210" s="199"/>
      <c r="AC210" s="199"/>
      <c r="AD210" s="199"/>
      <c r="AE210" s="128"/>
      <c r="AF210" s="128"/>
      <c r="AG210" s="128" t="n">
        <f aca="false">AF210*G210</f>
        <v>0</v>
      </c>
      <c r="AH210" s="128"/>
      <c r="AI210" s="128"/>
      <c r="AJ210" s="128" t="n">
        <f aca="false">AI210*G210</f>
        <v>0</v>
      </c>
      <c r="AK210" s="128"/>
      <c r="AL210" s="128"/>
      <c r="AM210" s="129" t="n">
        <f aca="false">AL210*G210</f>
        <v>0</v>
      </c>
      <c r="AN210" s="128"/>
    </row>
    <row r="211" customFormat="false" ht="127.5" hidden="false" customHeight="false" outlineLevel="0" collapsed="false">
      <c r="A211" s="199"/>
      <c r="B211" s="200"/>
      <c r="C211" s="145" t="n">
        <v>286</v>
      </c>
      <c r="D211" s="145" t="n">
        <v>73</v>
      </c>
      <c r="E211" s="158" t="s">
        <v>503</v>
      </c>
      <c r="F211" s="159" t="s">
        <v>56</v>
      </c>
      <c r="G211" s="159" t="n">
        <v>100</v>
      </c>
      <c r="H211" s="159" t="n">
        <f aca="false">100</f>
        <v>100</v>
      </c>
      <c r="I211" s="160" t="s">
        <v>499</v>
      </c>
      <c r="J211" s="161" t="n">
        <v>210</v>
      </c>
      <c r="K211" s="161" t="n">
        <f aca="false">G211*J211</f>
        <v>21000</v>
      </c>
      <c r="L211" s="160" t="s">
        <v>500</v>
      </c>
      <c r="M211" s="161" t="n">
        <f aca="false">312/1.2</f>
        <v>260</v>
      </c>
      <c r="N211" s="161" t="n">
        <f aca="false">M211*G211</f>
        <v>26000</v>
      </c>
      <c r="O211" s="160" t="s">
        <v>501</v>
      </c>
      <c r="P211" s="161" t="n">
        <v>255</v>
      </c>
      <c r="Q211" s="161" t="n">
        <f aca="false">P211*G211</f>
        <v>25500</v>
      </c>
      <c r="R211" s="162" t="n">
        <f aca="false">(J211+M211+P211)/3</f>
        <v>241.666666666667</v>
      </c>
      <c r="S211" s="167" t="n">
        <f aca="false">R211*G211</f>
        <v>24166.6666666667</v>
      </c>
      <c r="T211" s="134" t="s">
        <v>502</v>
      </c>
      <c r="U211" s="150" t="n">
        <f aca="false">ROUND(J211*100/R211-100,0)</f>
        <v>-13</v>
      </c>
      <c r="V211" s="150" t="n">
        <f aca="false">ROUND(M211*100/R211-100,0)</f>
        <v>8</v>
      </c>
      <c r="W211" s="150" t="n">
        <f aca="false">ROUND(P211*100/R211-100,0)</f>
        <v>6</v>
      </c>
      <c r="X211" s="144"/>
      <c r="Y211" s="199"/>
      <c r="Z211" s="199"/>
      <c r="AA211" s="199"/>
      <c r="AB211" s="199"/>
      <c r="AC211" s="199"/>
      <c r="AD211" s="199"/>
      <c r="AE211" s="128"/>
      <c r="AF211" s="128"/>
      <c r="AG211" s="128" t="n">
        <f aca="false">AF211*G211</f>
        <v>0</v>
      </c>
      <c r="AH211" s="128"/>
      <c r="AI211" s="128"/>
      <c r="AJ211" s="128" t="n">
        <f aca="false">AI211*G211</f>
        <v>0</v>
      </c>
      <c r="AK211" s="128"/>
      <c r="AL211" s="128"/>
      <c r="AM211" s="129" t="n">
        <f aca="false">AL211*G211</f>
        <v>0</v>
      </c>
      <c r="AN211" s="128"/>
    </row>
    <row r="212" customFormat="false" ht="127.5" hidden="false" customHeight="false" outlineLevel="0" collapsed="false">
      <c r="A212" s="199"/>
      <c r="B212" s="200"/>
      <c r="C212" s="145" t="n">
        <v>287</v>
      </c>
      <c r="D212" s="145" t="n">
        <v>74</v>
      </c>
      <c r="E212" s="158" t="s">
        <v>504</v>
      </c>
      <c r="F212" s="159" t="s">
        <v>56</v>
      </c>
      <c r="G212" s="159" t="n">
        <v>200</v>
      </c>
      <c r="H212" s="159" t="n">
        <f aca="false">200+250</f>
        <v>450</v>
      </c>
      <c r="I212" s="160" t="s">
        <v>499</v>
      </c>
      <c r="J212" s="161" t="n">
        <v>195</v>
      </c>
      <c r="K212" s="161" t="n">
        <f aca="false">G212*J212</f>
        <v>39000</v>
      </c>
      <c r="L212" s="160" t="s">
        <v>500</v>
      </c>
      <c r="M212" s="161" t="n">
        <f aca="false">255/1.2</f>
        <v>212.5</v>
      </c>
      <c r="N212" s="161" t="n">
        <f aca="false">M212*G212</f>
        <v>42500</v>
      </c>
      <c r="O212" s="160" t="s">
        <v>501</v>
      </c>
      <c r="P212" s="161" t="n">
        <v>200</v>
      </c>
      <c r="Q212" s="161" t="n">
        <f aca="false">P212*G212</f>
        <v>40000</v>
      </c>
      <c r="R212" s="162" t="n">
        <f aca="false">(J212+M212+P212)/3</f>
        <v>202.5</v>
      </c>
      <c r="S212" s="167" t="n">
        <f aca="false">R212*G212</f>
        <v>40500</v>
      </c>
      <c r="T212" s="134" t="s">
        <v>502</v>
      </c>
      <c r="U212" s="150" t="n">
        <f aca="false">ROUND(J212*100/R212-100,0)</f>
        <v>-4</v>
      </c>
      <c r="V212" s="150" t="n">
        <f aca="false">ROUND(M212*100/R212-100,0)</f>
        <v>5</v>
      </c>
      <c r="W212" s="150" t="n">
        <f aca="false">ROUND(P212*100/R212-100,0)</f>
        <v>-1</v>
      </c>
      <c r="X212" s="144"/>
      <c r="Y212" s="199"/>
      <c r="Z212" s="199"/>
      <c r="AA212" s="199"/>
      <c r="AB212" s="199"/>
      <c r="AC212" s="199"/>
      <c r="AD212" s="199"/>
      <c r="AE212" s="128"/>
      <c r="AF212" s="128"/>
      <c r="AG212" s="128" t="n">
        <f aca="false">AF212*G212</f>
        <v>0</v>
      </c>
      <c r="AH212" s="128"/>
      <c r="AI212" s="128"/>
      <c r="AJ212" s="128" t="n">
        <f aca="false">AI212*G212</f>
        <v>0</v>
      </c>
      <c r="AK212" s="128"/>
      <c r="AL212" s="128"/>
      <c r="AM212" s="129" t="n">
        <f aca="false">AL212*G212</f>
        <v>0</v>
      </c>
      <c r="AN212" s="128"/>
    </row>
    <row r="213" s="2" customFormat="true" ht="178.5" hidden="false" customHeight="false" outlineLevel="0" collapsed="false">
      <c r="B213" s="33"/>
      <c r="C213" s="145" t="n">
        <v>288</v>
      </c>
      <c r="D213" s="145" t="n">
        <v>76</v>
      </c>
      <c r="E213" s="183" t="s">
        <v>505</v>
      </c>
      <c r="F213" s="184" t="s">
        <v>56</v>
      </c>
      <c r="G213" s="184" t="n">
        <f aca="false">6+6+6+6+9</f>
        <v>33</v>
      </c>
      <c r="H213" s="184" t="n">
        <f aca="false">1+1+6+6+6+6+9+4</f>
        <v>39</v>
      </c>
      <c r="I213" s="185" t="s">
        <v>506</v>
      </c>
      <c r="J213" s="186" t="n">
        <f aca="false">3150/1.2</f>
        <v>2625</v>
      </c>
      <c r="K213" s="186" t="n">
        <f aca="false">G213*J213</f>
        <v>86625</v>
      </c>
      <c r="L213" s="185" t="s">
        <v>507</v>
      </c>
      <c r="M213" s="186" t="n">
        <f aca="false">3150/1.2</f>
        <v>2625</v>
      </c>
      <c r="N213" s="186" t="n">
        <f aca="false">M213*G213</f>
        <v>86625</v>
      </c>
      <c r="O213" s="185" t="s">
        <v>508</v>
      </c>
      <c r="P213" s="186" t="n">
        <f aca="false">3150/1.2</f>
        <v>2625</v>
      </c>
      <c r="Q213" s="186" t="n">
        <f aca="false">P213*G213</f>
        <v>86625</v>
      </c>
      <c r="R213" s="187" t="n">
        <f aca="false">(J213+M213+P213)/3</f>
        <v>2625</v>
      </c>
      <c r="S213" s="188" t="n">
        <f aca="false">R213*G213</f>
        <v>86625</v>
      </c>
      <c r="T213" s="134" t="s">
        <v>441</v>
      </c>
      <c r="U213" s="150" t="n">
        <f aca="false">ROUND(J213*100/R213-100,0)</f>
        <v>0</v>
      </c>
      <c r="V213" s="150" t="n">
        <f aca="false">ROUND(M213*100/R213-100,0)</f>
        <v>0</v>
      </c>
      <c r="W213" s="150" t="n">
        <f aca="false">ROUND(P213*100/R213-100,0)</f>
        <v>0</v>
      </c>
      <c r="X213" s="15"/>
      <c r="AE213" s="128"/>
      <c r="AF213" s="128"/>
      <c r="AG213" s="128" t="n">
        <f aca="false">AF213*G213</f>
        <v>0</v>
      </c>
      <c r="AH213" s="128"/>
      <c r="AI213" s="128"/>
      <c r="AJ213" s="128" t="n">
        <f aca="false">AI213*G213</f>
        <v>0</v>
      </c>
      <c r="AK213" s="128"/>
      <c r="AL213" s="128"/>
      <c r="AM213" s="129" t="n">
        <f aca="false">AL213*G213</f>
        <v>0</v>
      </c>
      <c r="AN213" s="128"/>
    </row>
    <row r="214" customFormat="false" ht="52.5" hidden="false" customHeight="true" outlineLevel="0" collapsed="false">
      <c r="A214" s="2"/>
      <c r="B214" s="33"/>
      <c r="C214" s="145" t="n">
        <v>289</v>
      </c>
      <c r="D214" s="145" t="n">
        <v>77</v>
      </c>
      <c r="E214" s="146" t="s">
        <v>509</v>
      </c>
      <c r="F214" s="145" t="s">
        <v>56</v>
      </c>
      <c r="G214" s="145" t="n">
        <v>3</v>
      </c>
      <c r="H214" s="145" t="n">
        <f aca="false">3</f>
        <v>3</v>
      </c>
      <c r="I214" s="141" t="s">
        <v>483</v>
      </c>
      <c r="J214" s="142" t="n">
        <v>13593.76</v>
      </c>
      <c r="K214" s="142" t="n">
        <f aca="false">G214*J214</f>
        <v>40781.28</v>
      </c>
      <c r="L214" s="141" t="s">
        <v>510</v>
      </c>
      <c r="M214" s="142" t="n">
        <v>14126.76</v>
      </c>
      <c r="N214" s="142" t="n">
        <f aca="false">M214*G214</f>
        <v>42380.28</v>
      </c>
      <c r="O214" s="141" t="s">
        <v>484</v>
      </c>
      <c r="P214" s="142" t="n">
        <v>13000</v>
      </c>
      <c r="Q214" s="142" t="n">
        <f aca="false">P214*G214</f>
        <v>39000</v>
      </c>
      <c r="R214" s="143" t="n">
        <f aca="false">(J214+M214+P214)/3</f>
        <v>13573.5066666667</v>
      </c>
      <c r="S214" s="132" t="n">
        <f aca="false">R214*G214</f>
        <v>40720.52</v>
      </c>
      <c r="T214" s="134" t="s">
        <v>511</v>
      </c>
      <c r="U214" s="150" t="n">
        <f aca="false">ROUND(J214*100/R214-100,0)</f>
        <v>0</v>
      </c>
      <c r="V214" s="150" t="n">
        <f aca="false">ROUND(M214*100/R214-100,0)</f>
        <v>4</v>
      </c>
      <c r="W214" s="150" t="n">
        <f aca="false">ROUND(P214*100/R214-100,0)</f>
        <v>-4</v>
      </c>
      <c r="X214" s="15"/>
      <c r="Y214" s="2"/>
      <c r="Z214" s="2"/>
      <c r="AA214" s="2"/>
      <c r="AB214" s="2"/>
      <c r="AC214" s="2"/>
      <c r="AD214" s="2"/>
      <c r="AE214" s="128"/>
      <c r="AF214" s="128"/>
      <c r="AG214" s="128" t="n">
        <f aca="false">AF214*G214</f>
        <v>0</v>
      </c>
      <c r="AH214" s="128"/>
      <c r="AI214" s="128"/>
      <c r="AJ214" s="128" t="n">
        <f aca="false">AI214*G214</f>
        <v>0</v>
      </c>
      <c r="AK214" s="128"/>
      <c r="AL214" s="128"/>
      <c r="AM214" s="129" t="n">
        <f aca="false">AL214*G214</f>
        <v>0</v>
      </c>
      <c r="AN214" s="128"/>
    </row>
    <row r="215" s="175" customFormat="true" ht="409.5" hidden="false" customHeight="false" outlineLevel="0" collapsed="false">
      <c r="A215" s="2"/>
      <c r="B215" s="33"/>
      <c r="C215" s="145" t="n">
        <v>290</v>
      </c>
      <c r="D215" s="184" t="n">
        <v>78</v>
      </c>
      <c r="E215" s="183" t="s">
        <v>512</v>
      </c>
      <c r="F215" s="184" t="s">
        <v>359</v>
      </c>
      <c r="G215" s="184" t="n">
        <f aca="false">5+5</f>
        <v>10</v>
      </c>
      <c r="H215" s="184" t="n">
        <f aca="false">5</f>
        <v>5</v>
      </c>
      <c r="I215" s="185" t="s">
        <v>513</v>
      </c>
      <c r="J215" s="186" t="n">
        <f aca="false">1084/1.2</f>
        <v>903.333333333333</v>
      </c>
      <c r="K215" s="186" t="n">
        <f aca="false">G215*J215</f>
        <v>9033.33333333333</v>
      </c>
      <c r="L215" s="185" t="s">
        <v>514</v>
      </c>
      <c r="M215" s="186" t="n">
        <f aca="false">1043.9/1.2</f>
        <v>869.916666666667</v>
      </c>
      <c r="N215" s="186" t="n">
        <f aca="false">M215*G215</f>
        <v>8699.16666666667</v>
      </c>
      <c r="O215" s="185" t="s">
        <v>515</v>
      </c>
      <c r="P215" s="186" t="n">
        <f aca="false">1079.55/1.2</f>
        <v>899.625</v>
      </c>
      <c r="Q215" s="186" t="n">
        <f aca="false">P215*G215</f>
        <v>8996.25</v>
      </c>
      <c r="R215" s="187" t="n">
        <f aca="false">(J215+M215+P215)/3</f>
        <v>890.958333333333</v>
      </c>
      <c r="S215" s="188" t="n">
        <f aca="false">R215*G215</f>
        <v>8909.58333333333</v>
      </c>
      <c r="T215" s="134" t="s">
        <v>441</v>
      </c>
      <c r="U215" s="150" t="n">
        <f aca="false">ROUND(J215*100/R215-100,0)</f>
        <v>1</v>
      </c>
      <c r="V215" s="150" t="n">
        <f aca="false">ROUND(M215*100/R215-100,0)</f>
        <v>-2</v>
      </c>
      <c r="W215" s="150" t="n">
        <f aca="false">ROUND(P215*100/R215-100,0)</f>
        <v>1</v>
      </c>
      <c r="X215" s="15"/>
      <c r="Y215" s="2"/>
      <c r="Z215" s="2"/>
      <c r="AA215" s="2"/>
      <c r="AB215" s="2"/>
      <c r="AC215" s="2"/>
      <c r="AD215" s="2"/>
      <c r="AE215" s="128"/>
      <c r="AF215" s="128"/>
      <c r="AG215" s="128" t="n">
        <f aca="false">AF215*G215</f>
        <v>0</v>
      </c>
      <c r="AH215" s="128"/>
      <c r="AI215" s="128"/>
      <c r="AJ215" s="128" t="n">
        <f aca="false">AI215*G215</f>
        <v>0</v>
      </c>
      <c r="AK215" s="128"/>
      <c r="AL215" s="128"/>
      <c r="AM215" s="129" t="n">
        <f aca="false">AL215*G215</f>
        <v>0</v>
      </c>
      <c r="AN215" s="128"/>
    </row>
    <row r="216" s="2" customFormat="true" ht="409.5" hidden="false" customHeight="false" outlineLevel="0" collapsed="false">
      <c r="B216" s="33"/>
      <c r="C216" s="145" t="n">
        <v>291</v>
      </c>
      <c r="D216" s="145" t="n">
        <v>92</v>
      </c>
      <c r="E216" s="158" t="s">
        <v>516</v>
      </c>
      <c r="F216" s="159" t="s">
        <v>56</v>
      </c>
      <c r="G216" s="159" t="n">
        <v>126</v>
      </c>
      <c r="H216" s="159" t="n">
        <f aca="false">189</f>
        <v>189</v>
      </c>
      <c r="I216" s="201" t="s">
        <v>517</v>
      </c>
      <c r="J216" s="161" t="n">
        <f aca="false">6/1.2</f>
        <v>5</v>
      </c>
      <c r="K216" s="161" t="n">
        <f aca="false">G216*J216</f>
        <v>630</v>
      </c>
      <c r="L216" s="202" t="s">
        <v>518</v>
      </c>
      <c r="M216" s="161" t="n">
        <f aca="false">7/1.2</f>
        <v>5.83333333333333</v>
      </c>
      <c r="N216" s="161" t="n">
        <f aca="false">M216*G216</f>
        <v>735</v>
      </c>
      <c r="O216" s="202" t="s">
        <v>519</v>
      </c>
      <c r="P216" s="161" t="n">
        <f aca="false">6/1.2</f>
        <v>5</v>
      </c>
      <c r="Q216" s="161" t="n">
        <f aca="false">P216*G216</f>
        <v>630</v>
      </c>
      <c r="R216" s="162" t="n">
        <f aca="false">(J216+M216+P216)/3</f>
        <v>5.27777777777778</v>
      </c>
      <c r="S216" s="167" t="n">
        <f aca="false">R216*G216</f>
        <v>665</v>
      </c>
      <c r="T216" s="134" t="s">
        <v>520</v>
      </c>
      <c r="U216" s="150" t="n">
        <f aca="false">ROUND(J216*100/R216-100,0)</f>
        <v>-5</v>
      </c>
      <c r="V216" s="150" t="n">
        <f aca="false">ROUND(M216*100/R216-100,0)</f>
        <v>11</v>
      </c>
      <c r="W216" s="150" t="n">
        <f aca="false">ROUND(P216*100/R216-100,0)</f>
        <v>-5</v>
      </c>
      <c r="X216" s="15"/>
      <c r="AE216" s="128" t="s">
        <v>517</v>
      </c>
      <c r="AF216" s="128" t="n">
        <f aca="false">6/1.2</f>
        <v>5</v>
      </c>
      <c r="AG216" s="128" t="n">
        <f aca="false">AF216*G216</f>
        <v>630</v>
      </c>
      <c r="AH216" s="128"/>
      <c r="AI216" s="128"/>
      <c r="AJ216" s="128" t="n">
        <f aca="false">AI216*G216</f>
        <v>0</v>
      </c>
      <c r="AK216" s="128"/>
      <c r="AL216" s="128"/>
      <c r="AM216" s="129" t="n">
        <f aca="false">AL216*G216</f>
        <v>0</v>
      </c>
      <c r="AN216" s="128"/>
    </row>
    <row r="217" s="2" customFormat="true" ht="165.75" hidden="false" customHeight="false" outlineLevel="0" collapsed="false">
      <c r="B217" s="33"/>
      <c r="C217" s="145" t="n">
        <v>292</v>
      </c>
      <c r="D217" s="145" t="n">
        <v>93</v>
      </c>
      <c r="E217" s="158" t="s">
        <v>521</v>
      </c>
      <c r="F217" s="159" t="s">
        <v>56</v>
      </c>
      <c r="G217" s="159" t="n">
        <v>10</v>
      </c>
      <c r="H217" s="159" t="s">
        <v>522</v>
      </c>
      <c r="I217" s="201" t="s">
        <v>482</v>
      </c>
      <c r="J217" s="161" t="n">
        <f aca="false">642/0.29/1.2</f>
        <v>1844.8275862069</v>
      </c>
      <c r="K217" s="161" t="n">
        <f aca="false">G217*J217</f>
        <v>18448.275862069</v>
      </c>
      <c r="L217" s="202" t="s">
        <v>523</v>
      </c>
      <c r="M217" s="161" t="n">
        <f aca="false">761/0.29/1.2</f>
        <v>2186.7816091954</v>
      </c>
      <c r="N217" s="161" t="n">
        <f aca="false">M217*G217</f>
        <v>21867.816091954</v>
      </c>
      <c r="O217" s="202" t="s">
        <v>524</v>
      </c>
      <c r="P217" s="161" t="n">
        <f aca="false">681.31/0.29/1.2</f>
        <v>1957.78735632184</v>
      </c>
      <c r="Q217" s="161" t="n">
        <f aca="false">P217*G217</f>
        <v>19577.8735632184</v>
      </c>
      <c r="R217" s="162" t="n">
        <f aca="false">(J217+M217+P217)/3</f>
        <v>1996.46551724138</v>
      </c>
      <c r="S217" s="167" t="n">
        <f aca="false">R217*G217</f>
        <v>19964.6551724138</v>
      </c>
      <c r="T217" s="134" t="s">
        <v>525</v>
      </c>
      <c r="U217" s="150" t="n">
        <f aca="false">ROUND(J217*100/R217-100,0)</f>
        <v>-8</v>
      </c>
      <c r="V217" s="150" t="n">
        <f aca="false">ROUND(M217*100/R217-100,0)</f>
        <v>10</v>
      </c>
      <c r="W217" s="150" t="n">
        <f aca="false">ROUND(P217*100/R217-100,0)</f>
        <v>-2</v>
      </c>
      <c r="X217" s="15"/>
      <c r="AE217" s="128"/>
      <c r="AF217" s="128"/>
      <c r="AG217" s="128" t="n">
        <f aca="false">AF217*G217</f>
        <v>0</v>
      </c>
      <c r="AH217" s="128"/>
      <c r="AI217" s="128"/>
      <c r="AJ217" s="128" t="n">
        <f aca="false">AI217*G217</f>
        <v>0</v>
      </c>
      <c r="AK217" s="128"/>
      <c r="AL217" s="128"/>
      <c r="AM217" s="129" t="n">
        <f aca="false">AL217*G217</f>
        <v>0</v>
      </c>
      <c r="AN217" s="128"/>
    </row>
    <row r="218" customFormat="false" ht="102" hidden="false" customHeight="false" outlineLevel="0" collapsed="false">
      <c r="A218" s="2"/>
      <c r="B218" s="33"/>
      <c r="C218" s="145" t="n">
        <v>293</v>
      </c>
      <c r="D218" s="145" t="n">
        <v>94</v>
      </c>
      <c r="E218" s="183" t="s">
        <v>526</v>
      </c>
      <c r="F218" s="184" t="s">
        <v>56</v>
      </c>
      <c r="G218" s="184" t="n">
        <v>1</v>
      </c>
      <c r="H218" s="184" t="n">
        <f aca="false">1</f>
        <v>1</v>
      </c>
      <c r="I218" s="203" t="s">
        <v>482</v>
      </c>
      <c r="J218" s="186" t="n">
        <f aca="false">5052/1.2</f>
        <v>4210</v>
      </c>
      <c r="K218" s="186" t="n">
        <f aca="false">G218*J218</f>
        <v>4210</v>
      </c>
      <c r="L218" s="189" t="s">
        <v>483</v>
      </c>
      <c r="M218" s="186" t="n">
        <v>4622.4</v>
      </c>
      <c r="N218" s="186" t="n">
        <f aca="false">M218*G218</f>
        <v>4622.4</v>
      </c>
      <c r="O218" s="189" t="s">
        <v>484</v>
      </c>
      <c r="P218" s="186" t="n">
        <v>4420.5</v>
      </c>
      <c r="Q218" s="186" t="n">
        <f aca="false">P218*G218</f>
        <v>4420.5</v>
      </c>
      <c r="R218" s="187" t="n">
        <f aca="false">(J218+M218+P218)/3</f>
        <v>4417.63333333333</v>
      </c>
      <c r="S218" s="188" t="n">
        <f aca="false">R218*G218</f>
        <v>4417.63333333333</v>
      </c>
      <c r="T218" s="134" t="s">
        <v>441</v>
      </c>
      <c r="U218" s="150" t="n">
        <f aca="false">ROUND(J218*100/R218-100,0)</f>
        <v>-5</v>
      </c>
      <c r="V218" s="150" t="n">
        <f aca="false">ROUND(M218*100/R218-100,0)</f>
        <v>5</v>
      </c>
      <c r="W218" s="150" t="n">
        <f aca="false">ROUND(P218*100/R218-100,0)</f>
        <v>0</v>
      </c>
      <c r="X218" s="15"/>
      <c r="Y218" s="2"/>
      <c r="Z218" s="2"/>
      <c r="AA218" s="2"/>
      <c r="AB218" s="2"/>
      <c r="AC218" s="2"/>
      <c r="AD218" s="2"/>
      <c r="AE218" s="128" t="s">
        <v>527</v>
      </c>
      <c r="AF218" s="128" t="n">
        <f aca="false">5495/1.2</f>
        <v>4579.16666666667</v>
      </c>
      <c r="AG218" s="128" t="n">
        <f aca="false">AF218*G218</f>
        <v>4579.16666666667</v>
      </c>
      <c r="AH218" s="128"/>
      <c r="AI218" s="128"/>
      <c r="AJ218" s="128" t="n">
        <f aca="false">AI218*G218</f>
        <v>0</v>
      </c>
      <c r="AK218" s="128"/>
      <c r="AL218" s="128"/>
      <c r="AM218" s="129" t="n">
        <f aca="false">AL218*G218</f>
        <v>0</v>
      </c>
      <c r="AN218" s="128"/>
    </row>
    <row r="219" customFormat="false" ht="127.5" hidden="false" customHeight="false" outlineLevel="0" collapsed="false">
      <c r="A219" s="2"/>
      <c r="B219" s="33"/>
      <c r="C219" s="145" t="n">
        <v>294</v>
      </c>
      <c r="D219" s="145" t="n">
        <v>95</v>
      </c>
      <c r="E219" s="183" t="s">
        <v>528</v>
      </c>
      <c r="F219" s="184" t="s">
        <v>56</v>
      </c>
      <c r="G219" s="184" t="n">
        <v>1</v>
      </c>
      <c r="H219" s="184" t="n">
        <f aca="false">1</f>
        <v>1</v>
      </c>
      <c r="I219" s="203" t="s">
        <v>482</v>
      </c>
      <c r="J219" s="186" t="n">
        <f aca="false">486/1.2</f>
        <v>405</v>
      </c>
      <c r="K219" s="186" t="n">
        <f aca="false">G219*J219</f>
        <v>405</v>
      </c>
      <c r="L219" s="189" t="s">
        <v>483</v>
      </c>
      <c r="M219" s="186" t="n">
        <v>444.67</v>
      </c>
      <c r="N219" s="186" t="n">
        <f aca="false">M219*G219</f>
        <v>444.67</v>
      </c>
      <c r="O219" s="189" t="s">
        <v>484</v>
      </c>
      <c r="P219" s="186" t="n">
        <v>425.25</v>
      </c>
      <c r="Q219" s="186" t="n">
        <f aca="false">P219*G219</f>
        <v>425.25</v>
      </c>
      <c r="R219" s="187" t="n">
        <f aca="false">(J219+M219+P219)/3</f>
        <v>424.973333333333</v>
      </c>
      <c r="S219" s="188" t="n">
        <f aca="false">R219*G219</f>
        <v>424.973333333333</v>
      </c>
      <c r="T219" s="195" t="s">
        <v>529</v>
      </c>
      <c r="U219" s="150" t="n">
        <f aca="false">ROUND(J219*100/R219-100,0)</f>
        <v>-5</v>
      </c>
      <c r="V219" s="150" t="n">
        <f aca="false">ROUND(M219*100/R219-100,0)</f>
        <v>5</v>
      </c>
      <c r="W219" s="150" t="n">
        <f aca="false">ROUND(P219*100/R219-100,0)</f>
        <v>0</v>
      </c>
      <c r="X219" s="15"/>
      <c r="Y219" s="2"/>
      <c r="Z219" s="2"/>
      <c r="AA219" s="2"/>
      <c r="AB219" s="2"/>
      <c r="AC219" s="2"/>
      <c r="AD219" s="2"/>
      <c r="AE219" s="128" t="s">
        <v>530</v>
      </c>
      <c r="AF219" s="128" t="n">
        <f aca="false">633/1.2</f>
        <v>527.5</v>
      </c>
      <c r="AG219" s="128" t="n">
        <f aca="false">AF219*G219</f>
        <v>527.5</v>
      </c>
      <c r="AH219" s="128" t="s">
        <v>531</v>
      </c>
      <c r="AI219" s="128" t="n">
        <f aca="false">517/1.2</f>
        <v>430.833333333333</v>
      </c>
      <c r="AJ219" s="128" t="n">
        <f aca="false">AI219*G219</f>
        <v>430.833333333333</v>
      </c>
      <c r="AK219" s="128"/>
      <c r="AL219" s="128"/>
      <c r="AM219" s="129" t="n">
        <f aca="false">AL219*G219</f>
        <v>0</v>
      </c>
      <c r="AN219" s="128"/>
    </row>
    <row r="220" customFormat="false" ht="127.5" hidden="false" customHeight="false" outlineLevel="0" collapsed="false">
      <c r="A220" s="2"/>
      <c r="B220" s="33"/>
      <c r="C220" s="145" t="n">
        <v>295</v>
      </c>
      <c r="D220" s="145" t="n">
        <v>96</v>
      </c>
      <c r="E220" s="146" t="s">
        <v>532</v>
      </c>
      <c r="F220" s="145" t="s">
        <v>56</v>
      </c>
      <c r="G220" s="145" t="n">
        <v>2</v>
      </c>
      <c r="H220" s="145" t="n">
        <f aca="false">2</f>
        <v>2</v>
      </c>
      <c r="I220" s="194" t="s">
        <v>482</v>
      </c>
      <c r="J220" s="142" t="n">
        <f aca="false">567/1.2</f>
        <v>472.5</v>
      </c>
      <c r="K220" s="142" t="n">
        <f aca="false">G220*J220</f>
        <v>945</v>
      </c>
      <c r="L220" s="176" t="s">
        <v>533</v>
      </c>
      <c r="M220" s="142" t="n">
        <f aca="false">499/1.2</f>
        <v>415.833333333333</v>
      </c>
      <c r="N220" s="142" t="n">
        <f aca="false">M220*G220</f>
        <v>831.666666666667</v>
      </c>
      <c r="O220" s="141" t="s">
        <v>484</v>
      </c>
      <c r="P220" s="142" t="n">
        <v>496</v>
      </c>
      <c r="Q220" s="142" t="n">
        <f aca="false">P220*G220</f>
        <v>992</v>
      </c>
      <c r="R220" s="162" t="n">
        <f aca="false">(J220+M220+P220)/3</f>
        <v>461.444444444445</v>
      </c>
      <c r="S220" s="132" t="n">
        <f aca="false">R220*G220</f>
        <v>922.888888888889</v>
      </c>
      <c r="T220" s="195" t="s">
        <v>534</v>
      </c>
      <c r="U220" s="150" t="n">
        <f aca="false">ROUND(J220*100/R220-100,0)</f>
        <v>2</v>
      </c>
      <c r="V220" s="150" t="n">
        <f aca="false">ROUND(M220*100/R220-100,0)</f>
        <v>-10</v>
      </c>
      <c r="W220" s="150" t="n">
        <f aca="false">ROUND(P220*100/R220-100,0)</f>
        <v>7</v>
      </c>
      <c r="X220" s="15"/>
      <c r="Y220" s="2"/>
      <c r="Z220" s="2"/>
      <c r="AA220" s="2"/>
      <c r="AB220" s="2"/>
      <c r="AC220" s="2"/>
      <c r="AD220" s="2"/>
      <c r="AE220" s="128" t="s">
        <v>535</v>
      </c>
      <c r="AF220" s="128" t="n">
        <f aca="false">460/1.2</f>
        <v>383.333333333333</v>
      </c>
      <c r="AG220" s="128" t="n">
        <f aca="false">AF220*G220</f>
        <v>766.666666666667</v>
      </c>
      <c r="AH220" s="128" t="s">
        <v>536</v>
      </c>
      <c r="AI220" s="128" t="n">
        <f aca="false">499/1.2</f>
        <v>415.833333333333</v>
      </c>
      <c r="AJ220" s="128" t="n">
        <f aca="false">AI220*G220</f>
        <v>831.666666666667</v>
      </c>
      <c r="AK220" s="128"/>
      <c r="AL220" s="128"/>
      <c r="AM220" s="129" t="n">
        <f aca="false">AL220*G220</f>
        <v>0</v>
      </c>
      <c r="AN220" s="128"/>
    </row>
    <row r="221" s="2" customFormat="true" ht="127.5" hidden="false" customHeight="false" outlineLevel="0" collapsed="false">
      <c r="B221" s="33"/>
      <c r="C221" s="145" t="n">
        <v>296</v>
      </c>
      <c r="D221" s="145" t="n">
        <v>97</v>
      </c>
      <c r="E221" s="146" t="s">
        <v>537</v>
      </c>
      <c r="F221" s="145" t="s">
        <v>56</v>
      </c>
      <c r="G221" s="145" t="n">
        <v>1</v>
      </c>
      <c r="H221" s="145" t="n">
        <f aca="false">1</f>
        <v>1</v>
      </c>
      <c r="I221" s="194" t="s">
        <v>482</v>
      </c>
      <c r="J221" s="142" t="n">
        <f aca="false">360/1.2</f>
        <v>300</v>
      </c>
      <c r="K221" s="142" t="n">
        <f aca="false">G221*J221</f>
        <v>300</v>
      </c>
      <c r="L221" s="176" t="s">
        <v>538</v>
      </c>
      <c r="M221" s="142" t="n">
        <f aca="false">311/1.2</f>
        <v>259.166666666667</v>
      </c>
      <c r="N221" s="142" t="n">
        <f aca="false">M221*G221</f>
        <v>259.166666666667</v>
      </c>
      <c r="O221" s="141" t="s">
        <v>484</v>
      </c>
      <c r="P221" s="142" t="n">
        <v>315</v>
      </c>
      <c r="Q221" s="142" t="n">
        <f aca="false">P221*G221</f>
        <v>315</v>
      </c>
      <c r="R221" s="162" t="n">
        <f aca="false">(J221+M221+P221)/3</f>
        <v>291.388888888889</v>
      </c>
      <c r="S221" s="132" t="n">
        <f aca="false">R221*G221</f>
        <v>291.388888888889</v>
      </c>
      <c r="T221" s="195" t="s">
        <v>534</v>
      </c>
      <c r="U221" s="150" t="n">
        <f aca="false">ROUND(J221*100/R221-100,0)</f>
        <v>3</v>
      </c>
      <c r="V221" s="150" t="n">
        <f aca="false">ROUND(M221*100/R221-100,0)</f>
        <v>-11</v>
      </c>
      <c r="W221" s="150" t="n">
        <f aca="false">ROUND(P221*100/R221-100,0)</f>
        <v>8</v>
      </c>
      <c r="X221" s="15"/>
      <c r="AE221" s="128" t="s">
        <v>539</v>
      </c>
      <c r="AF221" s="128" t="n">
        <f aca="false">311/1.2</f>
        <v>259.166666666667</v>
      </c>
      <c r="AG221" s="128" t="n">
        <f aca="false">AF221*G221</f>
        <v>259.166666666667</v>
      </c>
      <c r="AH221" s="128"/>
      <c r="AI221" s="128"/>
      <c r="AJ221" s="128" t="n">
        <f aca="false">AI221*G221</f>
        <v>0</v>
      </c>
      <c r="AK221" s="128"/>
      <c r="AL221" s="128"/>
      <c r="AM221" s="129" t="n">
        <f aca="false">AL221*G221</f>
        <v>0</v>
      </c>
      <c r="AN221" s="128"/>
    </row>
    <row r="222" customFormat="false" ht="93.75" hidden="false" customHeight="true" outlineLevel="0" collapsed="false">
      <c r="A222" s="2"/>
      <c r="B222" s="33"/>
      <c r="C222" s="145" t="n">
        <v>297</v>
      </c>
      <c r="D222" s="145" t="n">
        <v>98</v>
      </c>
      <c r="E222" s="146" t="s">
        <v>540</v>
      </c>
      <c r="F222" s="145" t="s">
        <v>257</v>
      </c>
      <c r="G222" s="145" t="n">
        <v>15</v>
      </c>
      <c r="H222" s="145" t="n">
        <f aca="false">15</f>
        <v>15</v>
      </c>
      <c r="I222" s="194" t="s">
        <v>482</v>
      </c>
      <c r="J222" s="142" t="n">
        <f aca="false">1650/3/1.2</f>
        <v>458.333333333333</v>
      </c>
      <c r="K222" s="142" t="n">
        <f aca="false">G222*J222</f>
        <v>6875</v>
      </c>
      <c r="L222" s="176" t="s">
        <v>541</v>
      </c>
      <c r="M222" s="142" t="n">
        <f aca="false">1580/3/1.2</f>
        <v>438.888888888889</v>
      </c>
      <c r="N222" s="142" t="n">
        <f aca="false">M222*G222</f>
        <v>6583.33333333333</v>
      </c>
      <c r="O222" s="141" t="s">
        <v>484</v>
      </c>
      <c r="P222" s="142" t="n">
        <v>481</v>
      </c>
      <c r="Q222" s="142" t="n">
        <f aca="false">P222*G222</f>
        <v>7215</v>
      </c>
      <c r="R222" s="162" t="n">
        <f aca="false">(J222+M222+P222)/3</f>
        <v>459.407407407407</v>
      </c>
      <c r="S222" s="132" t="n">
        <f aca="false">R222*G222</f>
        <v>6891.11111111111</v>
      </c>
      <c r="T222" s="204" t="s">
        <v>542</v>
      </c>
      <c r="U222" s="150" t="n">
        <f aca="false">ROUND(J222*100/R222-100,0)</f>
        <v>-0</v>
      </c>
      <c r="V222" s="150" t="n">
        <f aca="false">ROUND(M222*100/R222-100,0)</f>
        <v>-4</v>
      </c>
      <c r="W222" s="150" t="n">
        <f aca="false">ROUND(P222*100/R222-100,0)</f>
        <v>5</v>
      </c>
      <c r="X222" s="15"/>
      <c r="Y222" s="2"/>
      <c r="Z222" s="2"/>
      <c r="AA222" s="2"/>
      <c r="AB222" s="2"/>
      <c r="AC222" s="2"/>
      <c r="AD222" s="2"/>
      <c r="AE222" s="128" t="s">
        <v>541</v>
      </c>
      <c r="AF222" s="128" t="n">
        <f aca="false">1580/1.2/3</f>
        <v>438.888888888889</v>
      </c>
      <c r="AG222" s="128" t="n">
        <f aca="false">AF222*G222</f>
        <v>6583.33333333333</v>
      </c>
      <c r="AH222" s="128"/>
      <c r="AI222" s="128"/>
      <c r="AJ222" s="128" t="n">
        <f aca="false">AI222*G222</f>
        <v>0</v>
      </c>
      <c r="AK222" s="128"/>
      <c r="AL222" s="128"/>
      <c r="AM222" s="129" t="n">
        <f aca="false">AL222*G222</f>
        <v>0</v>
      </c>
      <c r="AN222" s="128"/>
    </row>
    <row r="223" s="2" customFormat="true" ht="102" hidden="false" customHeight="false" outlineLevel="0" collapsed="false">
      <c r="B223" s="33"/>
      <c r="C223" s="145" t="n">
        <v>298</v>
      </c>
      <c r="D223" s="145" t="n">
        <v>99</v>
      </c>
      <c r="E223" s="146" t="s">
        <v>543</v>
      </c>
      <c r="F223" s="145" t="s">
        <v>257</v>
      </c>
      <c r="G223" s="145" t="n">
        <v>7.5</v>
      </c>
      <c r="H223" s="145"/>
      <c r="I223" s="194" t="s">
        <v>482</v>
      </c>
      <c r="J223" s="142" t="n">
        <f aca="false">720/2/1.2</f>
        <v>300</v>
      </c>
      <c r="K223" s="142" t="n">
        <f aca="false">G223*J223</f>
        <v>2250</v>
      </c>
      <c r="L223" s="176" t="s">
        <v>544</v>
      </c>
      <c r="M223" s="142" t="n">
        <f aca="false">340/1.2</f>
        <v>283.333333333333</v>
      </c>
      <c r="N223" s="142" t="n">
        <f aca="false">M223*G223</f>
        <v>2125</v>
      </c>
      <c r="O223" s="141" t="s">
        <v>484</v>
      </c>
      <c r="P223" s="142" t="n">
        <v>315</v>
      </c>
      <c r="Q223" s="142" t="n">
        <f aca="false">P223*G223</f>
        <v>2362.5</v>
      </c>
      <c r="R223" s="162" t="n">
        <f aca="false">(J223+M223+P223)/3</f>
        <v>299.444444444444</v>
      </c>
      <c r="S223" s="132" t="n">
        <f aca="false">R223*G223</f>
        <v>2245.83333333333</v>
      </c>
      <c r="T223" s="204" t="s">
        <v>545</v>
      </c>
      <c r="U223" s="150" t="n">
        <f aca="false">ROUND(J223*100/R223-100,0)</f>
        <v>0</v>
      </c>
      <c r="V223" s="150" t="n">
        <f aca="false">ROUND(M223*100/R223-100,0)</f>
        <v>-5</v>
      </c>
      <c r="W223" s="150" t="n">
        <f aca="false">ROUND(P223*100/R223-100,0)</f>
        <v>5</v>
      </c>
      <c r="X223" s="15"/>
      <c r="AE223" s="128" t="s">
        <v>546</v>
      </c>
      <c r="AF223" s="128" t="n">
        <f aca="false">800/1.2/3</f>
        <v>222.222222222222</v>
      </c>
      <c r="AG223" s="128" t="n">
        <f aca="false">AF223*G223</f>
        <v>1666.66666666667</v>
      </c>
      <c r="AH223" s="128"/>
      <c r="AI223" s="128"/>
      <c r="AJ223" s="128" t="n">
        <f aca="false">AI223*G223</f>
        <v>0</v>
      </c>
      <c r="AK223" s="128"/>
      <c r="AL223" s="128"/>
      <c r="AM223" s="129" t="n">
        <f aca="false">AL223*G223</f>
        <v>0</v>
      </c>
      <c r="AN223" s="128"/>
    </row>
    <row r="224" s="2" customFormat="true" ht="90" hidden="false" customHeight="true" outlineLevel="0" collapsed="false">
      <c r="B224" s="33"/>
      <c r="C224" s="145" t="n">
        <v>299</v>
      </c>
      <c r="D224" s="145" t="n">
        <v>100</v>
      </c>
      <c r="E224" s="146" t="s">
        <v>547</v>
      </c>
      <c r="F224" s="145" t="s">
        <v>56</v>
      </c>
      <c r="G224" s="145" t="n">
        <v>2</v>
      </c>
      <c r="H224" s="145" t="n">
        <f aca="false">2</f>
        <v>2</v>
      </c>
      <c r="I224" s="194" t="s">
        <v>482</v>
      </c>
      <c r="J224" s="142" t="n">
        <f aca="false">132/1.2</f>
        <v>110</v>
      </c>
      <c r="K224" s="142" t="n">
        <f aca="false">G224*J224</f>
        <v>220</v>
      </c>
      <c r="L224" s="141" t="s">
        <v>483</v>
      </c>
      <c r="M224" s="142" t="n">
        <v>120.78</v>
      </c>
      <c r="N224" s="142" t="n">
        <f aca="false">M224*G224</f>
        <v>241.56</v>
      </c>
      <c r="O224" s="141" t="s">
        <v>484</v>
      </c>
      <c r="P224" s="142" t="n">
        <v>115.5</v>
      </c>
      <c r="Q224" s="142" t="n">
        <f aca="false">P224*G224</f>
        <v>231</v>
      </c>
      <c r="R224" s="143" t="n">
        <f aca="false">(J224+M224+P224)/3</f>
        <v>115.426666666667</v>
      </c>
      <c r="S224" s="132" t="n">
        <f aca="false">R224*G224</f>
        <v>230.853333333333</v>
      </c>
      <c r="T224" s="195" t="s">
        <v>548</v>
      </c>
      <c r="U224" s="150" t="n">
        <f aca="false">ROUND(J224*100/R224-100,0)</f>
        <v>-5</v>
      </c>
      <c r="V224" s="150" t="n">
        <f aca="false">ROUND(M224*100/R224-100,0)</f>
        <v>5</v>
      </c>
      <c r="W224" s="150" t="n">
        <f aca="false">ROUND(P224*100/R224-100,0)</f>
        <v>0</v>
      </c>
      <c r="X224" s="15"/>
      <c r="AE224" s="128"/>
      <c r="AF224" s="128"/>
      <c r="AG224" s="128" t="n">
        <f aca="false">AF224*G224</f>
        <v>0</v>
      </c>
      <c r="AH224" s="128"/>
      <c r="AI224" s="128"/>
      <c r="AJ224" s="128" t="n">
        <f aca="false">AI224*G224</f>
        <v>0</v>
      </c>
      <c r="AK224" s="128"/>
      <c r="AL224" s="128"/>
      <c r="AM224" s="129" t="n">
        <f aca="false">AL224*G224</f>
        <v>0</v>
      </c>
      <c r="AN224" s="128"/>
    </row>
    <row r="225" s="2" customFormat="true" ht="178.5" hidden="false" customHeight="false" outlineLevel="0" collapsed="false">
      <c r="B225" s="33"/>
      <c r="C225" s="145" t="n">
        <v>300</v>
      </c>
      <c r="D225" s="184" t="n">
        <v>101</v>
      </c>
      <c r="E225" s="183" t="s">
        <v>549</v>
      </c>
      <c r="F225" s="184" t="s">
        <v>56</v>
      </c>
      <c r="G225" s="184" t="n">
        <v>6</v>
      </c>
      <c r="H225" s="184" t="n">
        <f aca="false">6</f>
        <v>6</v>
      </c>
      <c r="I225" s="185" t="s">
        <v>550</v>
      </c>
      <c r="J225" s="186" t="n">
        <f aca="false">5090/1.2</f>
        <v>4241.66666666667</v>
      </c>
      <c r="K225" s="186" t="n">
        <f aca="false">G225*J225</f>
        <v>25450</v>
      </c>
      <c r="L225" s="185" t="s">
        <v>551</v>
      </c>
      <c r="M225" s="186" t="n">
        <f aca="false">5290/1.2</f>
        <v>4408.33333333333</v>
      </c>
      <c r="N225" s="186" t="n">
        <f aca="false">M225*G225</f>
        <v>26450</v>
      </c>
      <c r="O225" s="185" t="s">
        <v>552</v>
      </c>
      <c r="P225" s="186" t="n">
        <f aca="false">5655/1.2</f>
        <v>4712.5</v>
      </c>
      <c r="Q225" s="186" t="n">
        <f aca="false">P225*G225</f>
        <v>28275</v>
      </c>
      <c r="R225" s="187" t="n">
        <f aca="false">(J225+M225+P225)/3</f>
        <v>4454.16666666667</v>
      </c>
      <c r="S225" s="188" t="n">
        <f aca="false">R225*G225</f>
        <v>26725</v>
      </c>
      <c r="T225" s="183" t="s">
        <v>553</v>
      </c>
      <c r="U225" s="150" t="n">
        <f aca="false">ROUND(J225*100/R225-100,0)</f>
        <v>-5</v>
      </c>
      <c r="V225" s="150" t="n">
        <f aca="false">ROUND(M225*100/R225-100,0)</f>
        <v>-1</v>
      </c>
      <c r="W225" s="150" t="n">
        <f aca="false">ROUND(P225*100/R225-100,0)</f>
        <v>6</v>
      </c>
      <c r="X225" s="15"/>
      <c r="AE225" s="128"/>
      <c r="AF225" s="128"/>
      <c r="AG225" s="128" t="n">
        <f aca="false">AF225*G225</f>
        <v>0</v>
      </c>
      <c r="AH225" s="128"/>
      <c r="AI225" s="128"/>
      <c r="AJ225" s="128" t="n">
        <f aca="false">AI225*G225</f>
        <v>0</v>
      </c>
      <c r="AK225" s="128"/>
      <c r="AL225" s="128"/>
      <c r="AM225" s="129" t="n">
        <f aca="false">AL225*G225</f>
        <v>0</v>
      </c>
      <c r="AN225" s="128"/>
    </row>
    <row r="226" s="2" customFormat="true" ht="76.5" hidden="false" customHeight="false" outlineLevel="0" collapsed="false">
      <c r="B226" s="33"/>
      <c r="C226" s="145" t="n">
        <v>301</v>
      </c>
      <c r="D226" s="145" t="n">
        <v>109</v>
      </c>
      <c r="E226" s="205" t="s">
        <v>554</v>
      </c>
      <c r="F226" s="206" t="s">
        <v>56</v>
      </c>
      <c r="G226" s="206" t="n">
        <f aca="false">2+1+1+1</f>
        <v>5</v>
      </c>
      <c r="H226" s="206" t="n">
        <f aca="false">2+1+1</f>
        <v>4</v>
      </c>
      <c r="I226" s="207" t="s">
        <v>555</v>
      </c>
      <c r="J226" s="208" t="n">
        <v>8117.46</v>
      </c>
      <c r="K226" s="208" t="n">
        <f aca="false">G226*J226</f>
        <v>40587.3</v>
      </c>
      <c r="L226" s="207" t="s">
        <v>556</v>
      </c>
      <c r="M226" s="208" t="n">
        <v>8929.2</v>
      </c>
      <c r="N226" s="208" t="n">
        <f aca="false">M226*G226</f>
        <v>44646</v>
      </c>
      <c r="O226" s="207" t="s">
        <v>557</v>
      </c>
      <c r="P226" s="208" t="n">
        <v>9416.25</v>
      </c>
      <c r="Q226" s="208" t="n">
        <f aca="false">P226*G226</f>
        <v>47081.25</v>
      </c>
      <c r="R226" s="209" t="n">
        <f aca="false">(J226+M226+P226)/3</f>
        <v>8820.97</v>
      </c>
      <c r="S226" s="132" t="n">
        <f aca="false">R226*G226</f>
        <v>44104.85</v>
      </c>
      <c r="T226" s="134" t="s">
        <v>441</v>
      </c>
      <c r="U226" s="150" t="n">
        <f aca="false">ROUND(J226*100/R226-100,0)</f>
        <v>-8</v>
      </c>
      <c r="V226" s="150" t="n">
        <f aca="false">ROUND(M226*100/R226-100,0)</f>
        <v>1</v>
      </c>
      <c r="W226" s="150" t="n">
        <f aca="false">ROUND(P226*100/R226-100,0)</f>
        <v>7</v>
      </c>
      <c r="X226" s="15"/>
      <c r="AE226" s="128" t="s">
        <v>558</v>
      </c>
      <c r="AF226" s="128" t="n">
        <f aca="false">10855/1.2</f>
        <v>9045.83333333333</v>
      </c>
      <c r="AG226" s="128" t="n">
        <f aca="false">AF226*G226</f>
        <v>45229.1666666667</v>
      </c>
      <c r="AH226" s="128" t="s">
        <v>559</v>
      </c>
      <c r="AI226" s="128" t="n">
        <f aca="false">12341/1.2</f>
        <v>10284.1666666667</v>
      </c>
      <c r="AJ226" s="128" t="n">
        <f aca="false">AI226*G226</f>
        <v>51420.8333333333</v>
      </c>
      <c r="AK226" s="128"/>
      <c r="AL226" s="128"/>
      <c r="AM226" s="129" t="n">
        <f aca="false">AL226*G226</f>
        <v>0</v>
      </c>
      <c r="AN226" s="128"/>
    </row>
    <row r="227" s="2" customFormat="true" ht="153" hidden="false" customHeight="false" outlineLevel="0" collapsed="false">
      <c r="B227" s="33"/>
      <c r="C227" s="145" t="n">
        <v>302</v>
      </c>
      <c r="D227" s="145" t="n">
        <v>110</v>
      </c>
      <c r="E227" s="205" t="s">
        <v>560</v>
      </c>
      <c r="F227" s="206" t="s">
        <v>56</v>
      </c>
      <c r="G227" s="206" t="n">
        <v>1</v>
      </c>
      <c r="H227" s="206" t="n">
        <f aca="false">1</f>
        <v>1</v>
      </c>
      <c r="I227" s="210" t="s">
        <v>561</v>
      </c>
      <c r="J227" s="208" t="n">
        <f aca="false">62900/1.2</f>
        <v>52416.6666666667</v>
      </c>
      <c r="K227" s="208" t="n">
        <f aca="false">G227*J227</f>
        <v>52416.6666666667</v>
      </c>
      <c r="L227" s="210" t="s">
        <v>562</v>
      </c>
      <c r="M227" s="208" t="n">
        <f aca="false">62900/1.2</f>
        <v>52416.6666666667</v>
      </c>
      <c r="N227" s="208" t="n">
        <f aca="false">M227*G227</f>
        <v>52416.6666666667</v>
      </c>
      <c r="O227" s="210" t="s">
        <v>563</v>
      </c>
      <c r="P227" s="208" t="n">
        <f aca="false">64800/1.2</f>
        <v>54000</v>
      </c>
      <c r="Q227" s="208" t="n">
        <f aca="false">P227*G227</f>
        <v>54000</v>
      </c>
      <c r="R227" s="209" t="n">
        <f aca="false">(J227+M227+P227)/3</f>
        <v>52944.4444444444</v>
      </c>
      <c r="S227" s="132" t="n">
        <f aca="false">R227*G227</f>
        <v>52944.4444444444</v>
      </c>
      <c r="T227" s="134" t="s">
        <v>441</v>
      </c>
      <c r="U227" s="150" t="n">
        <f aca="false">ROUND(J227*100/R227-100,0)</f>
        <v>-1</v>
      </c>
      <c r="V227" s="150" t="n">
        <f aca="false">ROUND(M227*100/R227-100,0)</f>
        <v>-1</v>
      </c>
      <c r="W227" s="150" t="n">
        <f aca="false">ROUND(P227*100/R227-100,0)</f>
        <v>2</v>
      </c>
      <c r="X227" s="15"/>
      <c r="AE227" s="56" t="s">
        <v>561</v>
      </c>
      <c r="AF227" s="50" t="n">
        <f aca="false">62900/1.2</f>
        <v>52416.6666666667</v>
      </c>
      <c r="AG227" s="128" t="n">
        <f aca="false">AF227*G227</f>
        <v>52416.6666666667</v>
      </c>
      <c r="AH227" s="56" t="s">
        <v>562</v>
      </c>
      <c r="AI227" s="50" t="n">
        <f aca="false">62900/1.2</f>
        <v>52416.6666666667</v>
      </c>
      <c r="AJ227" s="128" t="n">
        <f aca="false">AI227*G227</f>
        <v>52416.6666666667</v>
      </c>
      <c r="AK227" s="56" t="s">
        <v>563</v>
      </c>
      <c r="AL227" s="50" t="n">
        <f aca="false">64800/1.2</f>
        <v>54000</v>
      </c>
      <c r="AM227" s="129" t="n">
        <f aca="false">AL227*G227</f>
        <v>54000</v>
      </c>
      <c r="AN227" s="128"/>
    </row>
    <row r="228" customFormat="false" ht="191.25" hidden="false" customHeight="false" outlineLevel="0" collapsed="false">
      <c r="A228" s="2"/>
      <c r="B228" s="33"/>
      <c r="C228" s="145" t="n">
        <v>303</v>
      </c>
      <c r="D228" s="145" t="n">
        <v>111</v>
      </c>
      <c r="E228" s="146" t="s">
        <v>564</v>
      </c>
      <c r="F228" s="145" t="s">
        <v>56</v>
      </c>
      <c r="G228" s="145" t="n">
        <f aca="false">2+1+1+1</f>
        <v>5</v>
      </c>
      <c r="H228" s="145" t="n">
        <f aca="false">2+1+1</f>
        <v>4</v>
      </c>
      <c r="I228" s="141" t="s">
        <v>555</v>
      </c>
      <c r="J228" s="142" t="n">
        <v>3328.41</v>
      </c>
      <c r="K228" s="142" t="n">
        <f aca="false">G228*J228</f>
        <v>16642.05</v>
      </c>
      <c r="L228" s="141" t="s">
        <v>556</v>
      </c>
      <c r="M228" s="142" t="n">
        <v>3661.25</v>
      </c>
      <c r="N228" s="142" t="n">
        <f aca="false">M228*G228</f>
        <v>18306.25</v>
      </c>
      <c r="O228" s="176" t="s">
        <v>565</v>
      </c>
      <c r="P228" s="142" t="n">
        <f aca="false">3365.14/1.2</f>
        <v>2804.28333333333</v>
      </c>
      <c r="Q228" s="142" t="n">
        <f aca="false">P228*G228</f>
        <v>14021.4166666667</v>
      </c>
      <c r="R228" s="162" t="n">
        <f aca="false">(J228+M228+P228)/3</f>
        <v>3264.64777777778</v>
      </c>
      <c r="S228" s="132" t="n">
        <f aca="false">R228*G228</f>
        <v>16323.2388888889</v>
      </c>
      <c r="T228" s="134" t="s">
        <v>566</v>
      </c>
      <c r="U228" s="150" t="n">
        <f aca="false">ROUND(J228*100/R228-100,0)</f>
        <v>2</v>
      </c>
      <c r="V228" s="150" t="n">
        <f aca="false">ROUND(M228*100/R228-100,0)</f>
        <v>12</v>
      </c>
      <c r="W228" s="150" t="n">
        <f aca="false">ROUND(P228*100/R228-100,0)</f>
        <v>-14</v>
      </c>
      <c r="X228" s="15"/>
      <c r="Y228" s="2"/>
      <c r="Z228" s="2"/>
      <c r="AA228" s="2"/>
      <c r="AB228" s="2"/>
      <c r="AC228" s="2"/>
      <c r="AD228" s="2"/>
      <c r="AE228" s="211" t="s">
        <v>565</v>
      </c>
      <c r="AF228" s="211" t="n">
        <f aca="false">3365/1.2</f>
        <v>2804.16666666667</v>
      </c>
      <c r="AG228" s="211" t="n">
        <f aca="false">AF228*G228</f>
        <v>14020.8333333333</v>
      </c>
      <c r="AH228" s="211" t="s">
        <v>567</v>
      </c>
      <c r="AI228" s="211" t="n">
        <v>2804.17</v>
      </c>
      <c r="AJ228" s="211" t="n">
        <f aca="false">AI228*G228</f>
        <v>14020.85</v>
      </c>
      <c r="AK228" s="211" t="s">
        <v>568</v>
      </c>
      <c r="AL228" s="211" t="n">
        <v>3100.83</v>
      </c>
      <c r="AM228" s="129" t="n">
        <f aca="false">AL228*G228</f>
        <v>15504.15</v>
      </c>
      <c r="AN228" s="211"/>
    </row>
    <row r="229" customFormat="false" ht="216.75" hidden="false" customHeight="false" outlineLevel="0" collapsed="false">
      <c r="A229" s="2"/>
      <c r="B229" s="33"/>
      <c r="C229" s="145" t="n">
        <v>304</v>
      </c>
      <c r="D229" s="145" t="n">
        <v>112</v>
      </c>
      <c r="E229" s="205" t="s">
        <v>569</v>
      </c>
      <c r="F229" s="206" t="s">
        <v>56</v>
      </c>
      <c r="G229" s="206" t="n">
        <f aca="false">4+2+2+4</f>
        <v>12</v>
      </c>
      <c r="H229" s="206" t="n">
        <f aca="false">4+2+2</f>
        <v>8</v>
      </c>
      <c r="I229" s="207" t="s">
        <v>555</v>
      </c>
      <c r="J229" s="208" t="n">
        <v>1357.14</v>
      </c>
      <c r="K229" s="208" t="n">
        <f aca="false">G229*J229</f>
        <v>16285.68</v>
      </c>
      <c r="L229" s="207" t="s">
        <v>556</v>
      </c>
      <c r="M229" s="208" t="n">
        <v>1492.85</v>
      </c>
      <c r="N229" s="208" t="n">
        <f aca="false">M229*G229</f>
        <v>17914.2</v>
      </c>
      <c r="O229" s="207" t="s">
        <v>557</v>
      </c>
      <c r="P229" s="208" t="n">
        <v>1574.28</v>
      </c>
      <c r="Q229" s="208" t="n">
        <f aca="false">P229*G229</f>
        <v>18891.36</v>
      </c>
      <c r="R229" s="209" t="n">
        <f aca="false">(J229+M229+P229)/3</f>
        <v>1474.75666666667</v>
      </c>
      <c r="S229" s="132" t="n">
        <f aca="false">R229*G229</f>
        <v>17697.08</v>
      </c>
      <c r="T229" s="134" t="s">
        <v>566</v>
      </c>
      <c r="U229" s="150" t="n">
        <f aca="false">ROUND(J229*100/R229-100,0)</f>
        <v>-8</v>
      </c>
      <c r="V229" s="150" t="n">
        <f aca="false">ROUND(M229*100/R229-100,0)</f>
        <v>1</v>
      </c>
      <c r="W229" s="150" t="n">
        <f aca="false">ROUND(P229*100/R229-100,0)</f>
        <v>7</v>
      </c>
      <c r="X229" s="15"/>
      <c r="Y229" s="2"/>
      <c r="Z229" s="2"/>
      <c r="AA229" s="2"/>
      <c r="AB229" s="2"/>
      <c r="AC229" s="2"/>
      <c r="AD229" s="2"/>
      <c r="AE229" s="211" t="s">
        <v>570</v>
      </c>
      <c r="AF229" s="211" t="n">
        <f aca="false">2063/1.2</f>
        <v>1719.16666666667</v>
      </c>
      <c r="AG229" s="211" t="n">
        <f aca="false">AF229*G229</f>
        <v>20630</v>
      </c>
      <c r="AH229" s="211" t="s">
        <v>571</v>
      </c>
      <c r="AI229" s="211" t="n">
        <v>2804.28</v>
      </c>
      <c r="AJ229" s="211" t="n">
        <f aca="false">AI229*G229</f>
        <v>33651.36</v>
      </c>
      <c r="AK229" s="211"/>
      <c r="AL229" s="211"/>
      <c r="AM229" s="129" t="n">
        <f aca="false">AL229*G229</f>
        <v>0</v>
      </c>
      <c r="AN229" s="211"/>
    </row>
    <row r="230" s="153" customFormat="true" ht="178.5" hidden="false" customHeight="false" outlineLevel="0" collapsed="false">
      <c r="A230" s="2"/>
      <c r="B230" s="33"/>
      <c r="C230" s="145" t="n">
        <v>305</v>
      </c>
      <c r="D230" s="145" t="n">
        <v>113</v>
      </c>
      <c r="E230" s="146" t="s">
        <v>572</v>
      </c>
      <c r="F230" s="145" t="s">
        <v>573</v>
      </c>
      <c r="G230" s="145" t="n">
        <f aca="false">2+1+1+1</f>
        <v>5</v>
      </c>
      <c r="H230" s="145" t="n">
        <f aca="false">2+4+4</f>
        <v>10</v>
      </c>
      <c r="I230" s="212" t="s">
        <v>574</v>
      </c>
      <c r="J230" s="212" t="n">
        <v>687.03</v>
      </c>
      <c r="K230" s="213" t="n">
        <f aca="false">G230*J230</f>
        <v>3435.15</v>
      </c>
      <c r="L230" s="212" t="s">
        <v>575</v>
      </c>
      <c r="M230" s="212" t="n">
        <v>732.21</v>
      </c>
      <c r="N230" s="213" t="n">
        <f aca="false">M230*G230</f>
        <v>3661.05</v>
      </c>
      <c r="O230" s="212" t="s">
        <v>576</v>
      </c>
      <c r="P230" s="212" t="n">
        <v>773.42</v>
      </c>
      <c r="Q230" s="213" t="n">
        <f aca="false">P230*G230</f>
        <v>3867.1</v>
      </c>
      <c r="R230" s="214" t="n">
        <f aca="false">(J230+M230+P230)/3</f>
        <v>730.886666666667</v>
      </c>
      <c r="S230" s="132" t="n">
        <f aca="false">R230*G230</f>
        <v>3654.43333333333</v>
      </c>
      <c r="T230" s="134" t="s">
        <v>577</v>
      </c>
      <c r="U230" s="150" t="n">
        <f aca="false">ROUND(J230*100/R230-100,0)</f>
        <v>-6</v>
      </c>
      <c r="V230" s="150" t="n">
        <f aca="false">ROUND(M230*100/R230-100,0)</f>
        <v>0</v>
      </c>
      <c r="W230" s="150" t="n">
        <f aca="false">ROUND(P230*100/R230-100,0)</f>
        <v>6</v>
      </c>
      <c r="X230" s="15"/>
      <c r="Y230" s="2"/>
      <c r="Z230" s="2"/>
      <c r="AA230" s="2"/>
      <c r="AB230" s="2"/>
      <c r="AC230" s="2"/>
      <c r="AD230" s="2"/>
      <c r="AE230" s="215" t="s">
        <v>574</v>
      </c>
      <c r="AF230" s="215" t="n">
        <v>687.03</v>
      </c>
      <c r="AG230" s="215" t="n">
        <f aca="false">AF230*G230</f>
        <v>3435.15</v>
      </c>
      <c r="AH230" s="215" t="s">
        <v>575</v>
      </c>
      <c r="AI230" s="215" t="n">
        <v>732.21</v>
      </c>
      <c r="AJ230" s="215" t="n">
        <f aca="false">AI230*G230</f>
        <v>3661.05</v>
      </c>
      <c r="AK230" s="215" t="s">
        <v>576</v>
      </c>
      <c r="AL230" s="215" t="n">
        <v>773.42</v>
      </c>
      <c r="AM230" s="129" t="n">
        <f aca="false">AL230*G230</f>
        <v>3867.1</v>
      </c>
      <c r="AN230" s="211"/>
    </row>
    <row r="231" s="2" customFormat="true" ht="140.25" hidden="false" customHeight="false" outlineLevel="0" collapsed="false">
      <c r="B231" s="33"/>
      <c r="C231" s="145" t="n">
        <v>306</v>
      </c>
      <c r="D231" s="145" t="n">
        <v>114</v>
      </c>
      <c r="E231" s="146" t="s">
        <v>578</v>
      </c>
      <c r="F231" s="145" t="s">
        <v>56</v>
      </c>
      <c r="G231" s="145" t="n">
        <f aca="false">4+2+2+2</f>
        <v>10</v>
      </c>
      <c r="H231" s="145" t="n">
        <f aca="false">4+2+2</f>
        <v>8</v>
      </c>
      <c r="I231" s="216" t="s">
        <v>555</v>
      </c>
      <c r="J231" s="213" t="n">
        <v>733.62</v>
      </c>
      <c r="K231" s="213" t="n">
        <f aca="false">G231*J231</f>
        <v>7336.2</v>
      </c>
      <c r="L231" s="216" t="s">
        <v>556</v>
      </c>
      <c r="M231" s="213" t="n">
        <v>806.99</v>
      </c>
      <c r="N231" s="213" t="n">
        <f aca="false">M231*G231</f>
        <v>8069.9</v>
      </c>
      <c r="O231" s="217" t="s">
        <v>579</v>
      </c>
      <c r="P231" s="213" t="n">
        <f aca="false">836.22/1.2</f>
        <v>696.85</v>
      </c>
      <c r="Q231" s="213" t="n">
        <f aca="false">P231*G231</f>
        <v>6968.5</v>
      </c>
      <c r="R231" s="214" t="n">
        <f aca="false">(J231+M231+P231)/3</f>
        <v>745.82</v>
      </c>
      <c r="S231" s="132" t="n">
        <f aca="false">R231*G231</f>
        <v>7458.2</v>
      </c>
      <c r="T231" s="134" t="s">
        <v>566</v>
      </c>
      <c r="U231" s="150" t="n">
        <f aca="false">ROUND(J231*100/R231-100,0)</f>
        <v>-2</v>
      </c>
      <c r="V231" s="150" t="n">
        <f aca="false">ROUND(M231*100/R231-100,0)</f>
        <v>8</v>
      </c>
      <c r="W231" s="150" t="n">
        <f aca="false">ROUND(P231*100/R231-100,0)</f>
        <v>-7</v>
      </c>
      <c r="X231" s="15"/>
      <c r="AE231" s="211" t="s">
        <v>579</v>
      </c>
      <c r="AF231" s="211" t="n">
        <f aca="false">836/1.2</f>
        <v>696.666666666667</v>
      </c>
      <c r="AG231" s="211" t="n">
        <f aca="false">AF231*G231</f>
        <v>6966.66666666667</v>
      </c>
      <c r="AH231" s="211" t="s">
        <v>580</v>
      </c>
      <c r="AI231" s="211" t="n">
        <v>617.5</v>
      </c>
      <c r="AJ231" s="211" t="n">
        <f aca="false">AI231*G231</f>
        <v>6175</v>
      </c>
      <c r="AK231" s="211" t="s">
        <v>581</v>
      </c>
      <c r="AL231" s="211" t="n">
        <v>618.12</v>
      </c>
      <c r="AM231" s="129" t="n">
        <f aca="false">AL231*G231</f>
        <v>6181.2</v>
      </c>
      <c r="AN231" s="211"/>
    </row>
    <row r="232" s="218" customFormat="true" ht="191.25" hidden="false" customHeight="false" outlineLevel="0" collapsed="false">
      <c r="A232" s="2"/>
      <c r="B232" s="33"/>
      <c r="C232" s="145" t="n">
        <v>307</v>
      </c>
      <c r="D232" s="145" t="n">
        <v>115</v>
      </c>
      <c r="E232" s="146" t="s">
        <v>582</v>
      </c>
      <c r="F232" s="145" t="s">
        <v>56</v>
      </c>
      <c r="G232" s="145" t="n">
        <f aca="false">2+1+1+1</f>
        <v>5</v>
      </c>
      <c r="H232" s="145" t="n">
        <f aca="false">2+1+1</f>
        <v>4</v>
      </c>
      <c r="I232" s="141" t="s">
        <v>555</v>
      </c>
      <c r="J232" s="142" t="n">
        <v>945.61</v>
      </c>
      <c r="K232" s="142" t="n">
        <f aca="false">G232*J232</f>
        <v>4728.05</v>
      </c>
      <c r="L232" s="141" t="s">
        <v>556</v>
      </c>
      <c r="M232" s="142" t="n">
        <v>1040.17</v>
      </c>
      <c r="N232" s="142" t="n">
        <f aca="false">M232*G232</f>
        <v>5200.85</v>
      </c>
      <c r="O232" s="212" t="s">
        <v>583</v>
      </c>
      <c r="P232" s="212" t="n">
        <v>925.83</v>
      </c>
      <c r="Q232" s="213" t="n">
        <f aca="false">P232*G232</f>
        <v>4629.15</v>
      </c>
      <c r="R232" s="214" t="n">
        <f aca="false">(J232+M232+P232)/3</f>
        <v>970.536666666667</v>
      </c>
      <c r="S232" s="132" t="n">
        <f aca="false">R232*G232</f>
        <v>4852.68333333333</v>
      </c>
      <c r="T232" s="134" t="s">
        <v>566</v>
      </c>
      <c r="U232" s="150" t="n">
        <f aca="false">ROUND(J232*100/R232-100,0)</f>
        <v>-3</v>
      </c>
      <c r="V232" s="150" t="n">
        <f aca="false">ROUND(M232*100/R232-100,0)</f>
        <v>7</v>
      </c>
      <c r="W232" s="150" t="n">
        <f aca="false">ROUND(P232*100/R232-100,0)</f>
        <v>-5</v>
      </c>
      <c r="X232" s="15"/>
      <c r="Y232" s="2"/>
      <c r="Z232" s="2"/>
      <c r="AA232" s="2"/>
      <c r="AB232" s="2"/>
      <c r="AC232" s="2"/>
      <c r="AD232" s="2"/>
      <c r="AE232" s="211" t="s">
        <v>584</v>
      </c>
      <c r="AF232" s="211" t="n">
        <v>796.67</v>
      </c>
      <c r="AG232" s="211" t="n">
        <f aca="false">AF232*G232</f>
        <v>3983.35</v>
      </c>
      <c r="AH232" s="211" t="s">
        <v>585</v>
      </c>
      <c r="AI232" s="211" t="n">
        <v>457.5</v>
      </c>
      <c r="AJ232" s="211" t="n">
        <f aca="false">AI232*G232</f>
        <v>2287.5</v>
      </c>
      <c r="AK232" s="211" t="s">
        <v>583</v>
      </c>
      <c r="AL232" s="211" t="n">
        <v>925.83</v>
      </c>
      <c r="AM232" s="129" t="n">
        <f aca="false">AL232*G232</f>
        <v>4629.15</v>
      </c>
      <c r="AN232" s="211"/>
    </row>
    <row r="233" s="2" customFormat="true" ht="204" hidden="false" customHeight="false" outlineLevel="0" collapsed="false">
      <c r="B233" s="33"/>
      <c r="C233" s="145" t="n">
        <v>308</v>
      </c>
      <c r="D233" s="145" t="n">
        <v>116</v>
      </c>
      <c r="E233" s="146" t="s">
        <v>586</v>
      </c>
      <c r="F233" s="145" t="s">
        <v>56</v>
      </c>
      <c r="G233" s="145" t="n">
        <f aca="false">6+6+6+5</f>
        <v>23</v>
      </c>
      <c r="H233" s="145" t="n">
        <f aca="false">6+6+6</f>
        <v>18</v>
      </c>
      <c r="I233" s="141" t="s">
        <v>555</v>
      </c>
      <c r="J233" s="142" t="n">
        <v>71.12</v>
      </c>
      <c r="K233" s="142" t="n">
        <f aca="false">G233*J233</f>
        <v>1635.76</v>
      </c>
      <c r="L233" s="141" t="s">
        <v>556</v>
      </c>
      <c r="M233" s="142" t="n">
        <v>78.23</v>
      </c>
      <c r="N233" s="142" t="n">
        <f aca="false">M233*G233</f>
        <v>1799.29</v>
      </c>
      <c r="O233" s="141" t="s">
        <v>557</v>
      </c>
      <c r="P233" s="142" t="n">
        <v>82.5</v>
      </c>
      <c r="Q233" s="142" t="n">
        <f aca="false">P233*G233</f>
        <v>1897.5</v>
      </c>
      <c r="R233" s="214" t="n">
        <f aca="false">(J233+M233+P233)/3</f>
        <v>77.2833333333334</v>
      </c>
      <c r="S233" s="132" t="n">
        <f aca="false">R233*G233</f>
        <v>1777.51666666667</v>
      </c>
      <c r="T233" s="134" t="s">
        <v>566</v>
      </c>
      <c r="U233" s="150" t="n">
        <f aca="false">ROUND(J233*100/R233-100,0)</f>
        <v>-8</v>
      </c>
      <c r="V233" s="150" t="n">
        <f aca="false">ROUND(M233*100/R233-100,0)</f>
        <v>1</v>
      </c>
      <c r="W233" s="150" t="n">
        <f aca="false">ROUND(P233*100/R233-100,0)</f>
        <v>7</v>
      </c>
      <c r="X233" s="15"/>
      <c r="AE233" s="211" t="s">
        <v>587</v>
      </c>
      <c r="AF233" s="211" t="n">
        <v>59.17</v>
      </c>
      <c r="AG233" s="211" t="n">
        <f aca="false">AF233*G233</f>
        <v>1360.91</v>
      </c>
      <c r="AH233" s="211" t="s">
        <v>588</v>
      </c>
      <c r="AI233" s="211" t="n">
        <v>70.62</v>
      </c>
      <c r="AJ233" s="211" t="n">
        <f aca="false">AI233*G233</f>
        <v>1624.26</v>
      </c>
      <c r="AK233" s="211" t="s">
        <v>589</v>
      </c>
      <c r="AL233" s="211" t="n">
        <v>70</v>
      </c>
      <c r="AM233" s="129" t="n">
        <f aca="false">AL233*G233</f>
        <v>1610</v>
      </c>
      <c r="AN233" s="211"/>
    </row>
    <row r="234" s="175" customFormat="true" ht="114.75" hidden="false" customHeight="false" outlineLevel="0" collapsed="false">
      <c r="A234" s="2"/>
      <c r="B234" s="33"/>
      <c r="C234" s="145" t="n">
        <v>309</v>
      </c>
      <c r="D234" s="145" t="n">
        <v>117</v>
      </c>
      <c r="E234" s="146" t="s">
        <v>590</v>
      </c>
      <c r="F234" s="145" t="s">
        <v>56</v>
      </c>
      <c r="G234" s="145" t="n">
        <f aca="false">2+1+1+1</f>
        <v>5</v>
      </c>
      <c r="H234" s="145" t="n">
        <f aca="false">2+1+1</f>
        <v>4</v>
      </c>
      <c r="I234" s="141" t="s">
        <v>591</v>
      </c>
      <c r="J234" s="142" t="n">
        <v>1907.4</v>
      </c>
      <c r="K234" s="142" t="n">
        <f aca="false">G234*J234</f>
        <v>9537</v>
      </c>
      <c r="L234" s="141" t="s">
        <v>592</v>
      </c>
      <c r="M234" s="142" t="n">
        <v>2098.13</v>
      </c>
      <c r="N234" s="142" t="n">
        <f aca="false">M234*G234</f>
        <v>10490.65</v>
      </c>
      <c r="O234" s="212" t="s">
        <v>593</v>
      </c>
      <c r="P234" s="212" t="n">
        <v>1816.57</v>
      </c>
      <c r="Q234" s="213" t="n">
        <f aca="false">P234*G234</f>
        <v>9082.85</v>
      </c>
      <c r="R234" s="214" t="n">
        <f aca="false">(J234+M234+P234)/3</f>
        <v>1940.7</v>
      </c>
      <c r="S234" s="132" t="n">
        <f aca="false">R234*G234</f>
        <v>9703.5</v>
      </c>
      <c r="T234" s="134" t="s">
        <v>566</v>
      </c>
      <c r="U234" s="150" t="n">
        <f aca="false">ROUND(J234*100/R234-100,0)</f>
        <v>-2</v>
      </c>
      <c r="V234" s="150" t="n">
        <f aca="false">ROUND(M234*100/R234-100,0)</f>
        <v>8</v>
      </c>
      <c r="W234" s="150" t="n">
        <f aca="false">ROUND(P234*100/R234-100,0)</f>
        <v>-6</v>
      </c>
      <c r="X234" s="15"/>
      <c r="Y234" s="2"/>
      <c r="Z234" s="2"/>
      <c r="AA234" s="2"/>
      <c r="AB234" s="2"/>
      <c r="AC234" s="2"/>
      <c r="AD234" s="2"/>
      <c r="AE234" s="211" t="s">
        <v>593</v>
      </c>
      <c r="AF234" s="211" t="n">
        <v>1816.57</v>
      </c>
      <c r="AG234" s="211" t="n">
        <f aca="false">AF234*G234</f>
        <v>9082.85</v>
      </c>
      <c r="AH234" s="211" t="s">
        <v>594</v>
      </c>
      <c r="AI234" s="211" t="n">
        <v>1361.67</v>
      </c>
      <c r="AJ234" s="211" t="n">
        <f aca="false">AI234*G234</f>
        <v>6808.35</v>
      </c>
      <c r="AK234" s="211" t="s">
        <v>595</v>
      </c>
      <c r="AL234" s="211" t="n">
        <v>1600</v>
      </c>
      <c r="AM234" s="129" t="n">
        <f aca="false">AL234*G234</f>
        <v>8000</v>
      </c>
      <c r="AN234" s="211"/>
    </row>
    <row r="235" s="175" customFormat="true" ht="114.75" hidden="false" customHeight="false" outlineLevel="0" collapsed="false">
      <c r="A235" s="2"/>
      <c r="B235" s="33"/>
      <c r="C235" s="145" t="n">
        <v>310</v>
      </c>
      <c r="D235" s="145" t="n">
        <v>118</v>
      </c>
      <c r="E235" s="146" t="s">
        <v>596</v>
      </c>
      <c r="F235" s="145" t="s">
        <v>56</v>
      </c>
      <c r="G235" s="145" t="n">
        <f aca="false">14+6+6+3</f>
        <v>29</v>
      </c>
      <c r="H235" s="145" t="n">
        <f aca="false">14+6+6</f>
        <v>26</v>
      </c>
      <c r="I235" s="141" t="s">
        <v>591</v>
      </c>
      <c r="J235" s="142" t="n">
        <v>574.46</v>
      </c>
      <c r="K235" s="142" t="n">
        <f aca="false">G235*J235</f>
        <v>16659.34</v>
      </c>
      <c r="L235" s="141" t="s">
        <v>592</v>
      </c>
      <c r="M235" s="142" t="n">
        <v>631.9</v>
      </c>
      <c r="N235" s="142" t="n">
        <f aca="false">M235*G235</f>
        <v>18325.1</v>
      </c>
      <c r="O235" s="219" t="s">
        <v>597</v>
      </c>
      <c r="P235" s="220" t="n">
        <v>666.37</v>
      </c>
      <c r="Q235" s="220" t="n">
        <f aca="false">P235*G235</f>
        <v>19324.73</v>
      </c>
      <c r="R235" s="221" t="n">
        <f aca="false">(J235+M235+P235)/3</f>
        <v>624.243333333333</v>
      </c>
      <c r="S235" s="132" t="n">
        <f aca="false">R235*G235</f>
        <v>18103.0566666667</v>
      </c>
      <c r="T235" s="134" t="s">
        <v>566</v>
      </c>
      <c r="U235" s="150" t="n">
        <f aca="false">ROUND(J235*100/R235-100,0)</f>
        <v>-8</v>
      </c>
      <c r="V235" s="150" t="n">
        <f aca="false">ROUND(M235*100/R235-100,0)</f>
        <v>1</v>
      </c>
      <c r="W235" s="150" t="n">
        <f aca="false">ROUND(P235*100/R235-100,0)</f>
        <v>7</v>
      </c>
      <c r="X235" s="15"/>
      <c r="Y235" s="2"/>
      <c r="Z235" s="2"/>
      <c r="AA235" s="2"/>
      <c r="AB235" s="2"/>
      <c r="AC235" s="2"/>
      <c r="AD235" s="2"/>
      <c r="AE235" s="211" t="s">
        <v>598</v>
      </c>
      <c r="AF235" s="211" t="n">
        <v>547.09</v>
      </c>
      <c r="AG235" s="211" t="n">
        <f aca="false">AF235*G235</f>
        <v>15865.61</v>
      </c>
      <c r="AH235" s="211" t="s">
        <v>596</v>
      </c>
      <c r="AI235" s="211" t="n">
        <v>585.04</v>
      </c>
      <c r="AJ235" s="211" t="n">
        <f aca="false">AI235*G235</f>
        <v>16966.16</v>
      </c>
      <c r="AK235" s="211" t="s">
        <v>599</v>
      </c>
      <c r="AL235" s="211" t="n">
        <v>431.67</v>
      </c>
      <c r="AM235" s="129" t="n">
        <f aca="false">AL235*G235</f>
        <v>12518.43</v>
      </c>
      <c r="AN235" s="211"/>
    </row>
    <row r="236" s="175" customFormat="true" ht="82.5" hidden="false" customHeight="true" outlineLevel="0" collapsed="false">
      <c r="A236" s="2"/>
      <c r="B236" s="33"/>
      <c r="C236" s="145" t="n">
        <v>311</v>
      </c>
      <c r="D236" s="145" t="n">
        <v>119</v>
      </c>
      <c r="E236" s="146" t="s">
        <v>600</v>
      </c>
      <c r="F236" s="145" t="s">
        <v>56</v>
      </c>
      <c r="G236" s="145" t="n">
        <f aca="false">2+2+2+2</f>
        <v>8</v>
      </c>
      <c r="H236" s="145" t="n">
        <f aca="false">2+2+2</f>
        <v>6</v>
      </c>
      <c r="I236" s="176" t="s">
        <v>601</v>
      </c>
      <c r="J236" s="142" t="n">
        <f aca="false">620/1.2</f>
        <v>516.666666666667</v>
      </c>
      <c r="K236" s="142" t="n">
        <f aca="false">G236*J236</f>
        <v>4133.33333333333</v>
      </c>
      <c r="L236" s="176" t="s">
        <v>602</v>
      </c>
      <c r="M236" s="142" t="n">
        <f aca="false">611.4/1.2</f>
        <v>509.5</v>
      </c>
      <c r="N236" s="142" t="n">
        <f aca="false">M236*G236</f>
        <v>4076</v>
      </c>
      <c r="O236" s="176" t="s">
        <v>603</v>
      </c>
      <c r="P236" s="142" t="n">
        <f aca="false">611.4/1.2</f>
        <v>509.5</v>
      </c>
      <c r="Q236" s="142" t="n">
        <f aca="false">P236*G236</f>
        <v>4076</v>
      </c>
      <c r="R236" s="221" t="n">
        <f aca="false">(J236+M236+P236)/3</f>
        <v>511.888888888889</v>
      </c>
      <c r="S236" s="132" t="n">
        <f aca="false">R236*G236</f>
        <v>4095.11111111111</v>
      </c>
      <c r="T236" s="134" t="s">
        <v>577</v>
      </c>
      <c r="U236" s="150" t="n">
        <f aca="false">ROUND(J236*100/R236-100,0)</f>
        <v>1</v>
      </c>
      <c r="V236" s="150" t="n">
        <f aca="false">ROUND(M236*100/R236-100,0)</f>
        <v>-0</v>
      </c>
      <c r="W236" s="150" t="n">
        <f aca="false">ROUND(P236*100/R236-100,0)</f>
        <v>-0</v>
      </c>
      <c r="X236" s="15"/>
      <c r="Y236" s="2"/>
      <c r="Z236" s="2"/>
      <c r="AA236" s="2"/>
      <c r="AB236" s="2"/>
      <c r="AC236" s="2"/>
      <c r="AD236" s="2"/>
      <c r="AE236" s="211" t="s">
        <v>600</v>
      </c>
      <c r="AF236" s="211" t="n">
        <v>653.33</v>
      </c>
      <c r="AG236" s="211" t="n">
        <f aca="false">AF236*G236</f>
        <v>5226.64</v>
      </c>
      <c r="AH236" s="211" t="s">
        <v>604</v>
      </c>
      <c r="AI236" s="211" t="n">
        <v>509.5</v>
      </c>
      <c r="AJ236" s="211" t="n">
        <f aca="false">AI236*G236</f>
        <v>4076</v>
      </c>
      <c r="AK236" s="211" t="s">
        <v>605</v>
      </c>
      <c r="AL236" s="211" t="n">
        <v>516.67</v>
      </c>
      <c r="AM236" s="129" t="n">
        <f aca="false">AL236*G236</f>
        <v>4133.36</v>
      </c>
      <c r="AN236" s="211"/>
    </row>
    <row r="237" s="153" customFormat="true" ht="409.5" hidden="false" customHeight="false" outlineLevel="0" collapsed="false">
      <c r="A237" s="2"/>
      <c r="B237" s="33"/>
      <c r="C237" s="145" t="n">
        <v>312</v>
      </c>
      <c r="D237" s="145" t="n">
        <v>120</v>
      </c>
      <c r="E237" s="146" t="s">
        <v>606</v>
      </c>
      <c r="F237" s="145" t="s">
        <v>56</v>
      </c>
      <c r="G237" s="145" t="n">
        <f aca="false">8+8+7+6</f>
        <v>29</v>
      </c>
      <c r="H237" s="145" t="n">
        <f aca="false">8+8+6</f>
        <v>22</v>
      </c>
      <c r="I237" s="176" t="s">
        <v>607</v>
      </c>
      <c r="J237" s="142" t="n">
        <f aca="false">365/1.2</f>
        <v>304.166666666667</v>
      </c>
      <c r="K237" s="142" t="n">
        <f aca="false">G237*J237</f>
        <v>8820.83333333333</v>
      </c>
      <c r="L237" s="176" t="s">
        <v>608</v>
      </c>
      <c r="M237" s="142" t="n">
        <f aca="false">370/1.2</f>
        <v>308.333333333333</v>
      </c>
      <c r="N237" s="142" t="n">
        <f aca="false">M237*G237</f>
        <v>8941.66666666667</v>
      </c>
      <c r="O237" s="176" t="s">
        <v>609</v>
      </c>
      <c r="P237" s="142" t="n">
        <f aca="false">365.4/1.2</f>
        <v>304.5</v>
      </c>
      <c r="Q237" s="142" t="n">
        <f aca="false">P237*G237</f>
        <v>8830.5</v>
      </c>
      <c r="R237" s="221" t="n">
        <f aca="false">(J237+M237+P237)/3</f>
        <v>305.666666666667</v>
      </c>
      <c r="S237" s="132" t="n">
        <f aca="false">R237*G237</f>
        <v>8864.33333333333</v>
      </c>
      <c r="T237" s="134" t="s">
        <v>577</v>
      </c>
      <c r="U237" s="150" t="n">
        <f aca="false">ROUND(J237*100/R237-100,0)</f>
        <v>-0</v>
      </c>
      <c r="V237" s="150" t="n">
        <f aca="false">ROUND(M237*100/R237-100,0)</f>
        <v>1</v>
      </c>
      <c r="W237" s="150" t="n">
        <f aca="false">ROUND(P237*100/R237-100,0)</f>
        <v>-0</v>
      </c>
      <c r="X237" s="15"/>
      <c r="Y237" s="2"/>
      <c r="Z237" s="2"/>
      <c r="AA237" s="2"/>
      <c r="AB237" s="2"/>
      <c r="AC237" s="2"/>
      <c r="AD237" s="2"/>
      <c r="AE237" s="211" t="s">
        <v>610</v>
      </c>
      <c r="AF237" s="211" t="n">
        <v>308.33</v>
      </c>
      <c r="AG237" s="211" t="n">
        <f aca="false">AF237*G237</f>
        <v>8941.57</v>
      </c>
      <c r="AH237" s="211" t="s">
        <v>611</v>
      </c>
      <c r="AI237" s="211" t="n">
        <v>304.5</v>
      </c>
      <c r="AJ237" s="211" t="n">
        <f aca="false">AI237*G237</f>
        <v>8830.5</v>
      </c>
      <c r="AK237" s="211"/>
      <c r="AL237" s="211"/>
      <c r="AM237" s="129" t="n">
        <f aca="false">AL237*G237</f>
        <v>0</v>
      </c>
      <c r="AN237" s="211"/>
    </row>
    <row r="238" s="175" customFormat="true" ht="72.75" hidden="false" customHeight="true" outlineLevel="0" collapsed="false">
      <c r="A238" s="2"/>
      <c r="B238" s="33"/>
      <c r="C238" s="145" t="n">
        <v>313</v>
      </c>
      <c r="D238" s="145" t="n">
        <v>140</v>
      </c>
      <c r="E238" s="146" t="s">
        <v>612</v>
      </c>
      <c r="F238" s="145" t="s">
        <v>56</v>
      </c>
      <c r="G238" s="145" t="n">
        <f aca="false">16+24</f>
        <v>40</v>
      </c>
      <c r="H238" s="145" t="n">
        <f aca="false">16+24</f>
        <v>40</v>
      </c>
      <c r="I238" s="141" t="s">
        <v>555</v>
      </c>
      <c r="J238" s="142" t="n">
        <v>105.91</v>
      </c>
      <c r="K238" s="142" t="n">
        <f aca="false">G238*J238</f>
        <v>4236.4</v>
      </c>
      <c r="L238" s="141" t="s">
        <v>556</v>
      </c>
      <c r="M238" s="142" t="n">
        <v>116.5</v>
      </c>
      <c r="N238" s="142" t="n">
        <f aca="false">M238*G238</f>
        <v>4660</v>
      </c>
      <c r="O238" s="141" t="s">
        <v>557</v>
      </c>
      <c r="P238" s="142" t="n">
        <v>122.86</v>
      </c>
      <c r="Q238" s="142" t="n">
        <f aca="false">P238*G238</f>
        <v>4914.4</v>
      </c>
      <c r="R238" s="221" t="n">
        <f aca="false">(J238+M238+P238)/3</f>
        <v>115.09</v>
      </c>
      <c r="S238" s="132" t="n">
        <f aca="false">R238*G238</f>
        <v>4603.6</v>
      </c>
      <c r="T238" s="134"/>
      <c r="U238" s="150" t="n">
        <f aca="false">ROUND(J238*100/R238-100,0)</f>
        <v>-8</v>
      </c>
      <c r="V238" s="150" t="n">
        <f aca="false">ROUND(M238*100/R238-100,0)</f>
        <v>1</v>
      </c>
      <c r="W238" s="150" t="n">
        <f aca="false">ROUND(P238*100/R238-100,0)</f>
        <v>7</v>
      </c>
      <c r="X238" s="15"/>
      <c r="Y238" s="2"/>
      <c r="Z238" s="2"/>
      <c r="AA238" s="2"/>
      <c r="AB238" s="2"/>
      <c r="AC238" s="2"/>
      <c r="AD238" s="2"/>
      <c r="AE238" s="211" t="s">
        <v>613</v>
      </c>
      <c r="AF238" s="211" t="n">
        <v>89.23</v>
      </c>
      <c r="AG238" s="211" t="n">
        <f aca="false">AF238*G238</f>
        <v>3569.2</v>
      </c>
      <c r="AH238" s="211" t="s">
        <v>614</v>
      </c>
      <c r="AI238" s="211" t="n">
        <v>108.36</v>
      </c>
      <c r="AJ238" s="211" t="n">
        <f aca="false">AI238*G238</f>
        <v>4334.4</v>
      </c>
      <c r="AK238" s="211" t="s">
        <v>615</v>
      </c>
      <c r="AL238" s="211" t="n">
        <v>127.48</v>
      </c>
      <c r="AM238" s="129" t="n">
        <f aca="false">AL238*G238</f>
        <v>5099.2</v>
      </c>
      <c r="AN238" s="211"/>
    </row>
    <row r="239" s="175" customFormat="true" ht="72.75" hidden="false" customHeight="true" outlineLevel="0" collapsed="false">
      <c r="A239" s="2"/>
      <c r="B239" s="33"/>
      <c r="C239" s="145" t="n">
        <v>314</v>
      </c>
      <c r="D239" s="145" t="n">
        <v>141</v>
      </c>
      <c r="E239" s="146" t="s">
        <v>616</v>
      </c>
      <c r="F239" s="145" t="s">
        <v>56</v>
      </c>
      <c r="G239" s="145" t="n">
        <f aca="false">2+1+25</f>
        <v>28</v>
      </c>
      <c r="H239" s="145" t="n">
        <f aca="false">2+1+25</f>
        <v>28</v>
      </c>
      <c r="I239" s="141" t="s">
        <v>555</v>
      </c>
      <c r="J239" s="142" t="n">
        <v>148.25</v>
      </c>
      <c r="K239" s="142" t="n">
        <f aca="false">G239*J239</f>
        <v>4151</v>
      </c>
      <c r="L239" s="141" t="s">
        <v>556</v>
      </c>
      <c r="M239" s="142" t="n">
        <v>163.07</v>
      </c>
      <c r="N239" s="142" t="n">
        <f aca="false">M239*G239</f>
        <v>4565.96</v>
      </c>
      <c r="O239" s="141" t="s">
        <v>557</v>
      </c>
      <c r="P239" s="142" t="n">
        <v>171.97</v>
      </c>
      <c r="Q239" s="142" t="n">
        <f aca="false">P239*G239</f>
        <v>4815.16</v>
      </c>
      <c r="R239" s="221" t="n">
        <f aca="false">(J239+M239+P239)/3</f>
        <v>161.096666666667</v>
      </c>
      <c r="S239" s="132" t="n">
        <f aca="false">R239*G239</f>
        <v>4510.70666666667</v>
      </c>
      <c r="T239" s="134"/>
      <c r="U239" s="150" t="n">
        <f aca="false">ROUND(J239*100/R239-100,0)</f>
        <v>-8</v>
      </c>
      <c r="V239" s="150" t="n">
        <f aca="false">ROUND(M239*100/R239-100,0)</f>
        <v>1</v>
      </c>
      <c r="W239" s="150" t="n">
        <f aca="false">ROUND(P239*100/R239-100,0)</f>
        <v>7</v>
      </c>
      <c r="X239" s="15"/>
      <c r="Y239" s="2"/>
      <c r="Z239" s="2"/>
      <c r="AA239" s="2"/>
      <c r="AB239" s="2"/>
      <c r="AC239" s="2"/>
      <c r="AD239" s="2"/>
      <c r="AE239" s="211" t="s">
        <v>616</v>
      </c>
      <c r="AF239" s="211" t="n">
        <v>124.17</v>
      </c>
      <c r="AG239" s="211" t="n">
        <f aca="false">AF239*G239</f>
        <v>3476.76</v>
      </c>
      <c r="AH239" s="211" t="s">
        <v>617</v>
      </c>
      <c r="AI239" s="211" t="n">
        <v>151.66</v>
      </c>
      <c r="AJ239" s="211" t="n">
        <f aca="false">AI239*G239</f>
        <v>4246.48</v>
      </c>
      <c r="AK239" s="211" t="s">
        <v>618</v>
      </c>
      <c r="AL239" s="211" t="n">
        <v>107.64</v>
      </c>
      <c r="AM239" s="129" t="n">
        <f aca="false">AL239*G239</f>
        <v>3013.92</v>
      </c>
      <c r="AN239" s="211"/>
    </row>
    <row r="240" s="153" customFormat="true" ht="72.75" hidden="false" customHeight="true" outlineLevel="0" collapsed="false">
      <c r="A240" s="2"/>
      <c r="B240" s="33"/>
      <c r="C240" s="145" t="n">
        <v>315</v>
      </c>
      <c r="D240" s="145" t="n">
        <v>142</v>
      </c>
      <c r="E240" s="146" t="s">
        <v>619</v>
      </c>
      <c r="F240" s="145" t="s">
        <v>56</v>
      </c>
      <c r="G240" s="145" t="n">
        <v>4</v>
      </c>
      <c r="H240" s="145" t="n">
        <f aca="false">4</f>
        <v>4</v>
      </c>
      <c r="I240" s="141" t="s">
        <v>555</v>
      </c>
      <c r="J240" s="142" t="n">
        <v>193.92</v>
      </c>
      <c r="K240" s="142" t="n">
        <f aca="false">G240*J240</f>
        <v>775.68</v>
      </c>
      <c r="L240" s="141" t="s">
        <v>556</v>
      </c>
      <c r="M240" s="142" t="n">
        <v>213.32</v>
      </c>
      <c r="N240" s="142" t="n">
        <f aca="false">M240*G240</f>
        <v>853.28</v>
      </c>
      <c r="O240" s="141" t="s">
        <v>557</v>
      </c>
      <c r="P240" s="142" t="n">
        <v>224.95</v>
      </c>
      <c r="Q240" s="142" t="n">
        <f aca="false">P240*G240</f>
        <v>899.8</v>
      </c>
      <c r="R240" s="221" t="n">
        <f aca="false">(J240+M240+P240)/3</f>
        <v>210.73</v>
      </c>
      <c r="S240" s="132" t="n">
        <f aca="false">R240*G240</f>
        <v>842.92</v>
      </c>
      <c r="T240" s="134"/>
      <c r="U240" s="150" t="n">
        <f aca="false">ROUND(J240*100/R240-100,0)</f>
        <v>-8</v>
      </c>
      <c r="V240" s="150" t="n">
        <f aca="false">ROUND(M240*100/R240-100,0)</f>
        <v>1</v>
      </c>
      <c r="W240" s="150" t="n">
        <f aca="false">ROUND(P240*100/R240-100,0)</f>
        <v>7</v>
      </c>
      <c r="X240" s="15"/>
      <c r="Y240" s="2"/>
      <c r="Z240" s="2"/>
      <c r="AA240" s="2"/>
      <c r="AB240" s="2"/>
      <c r="AC240" s="2"/>
      <c r="AD240" s="2"/>
      <c r="AE240" s="211" t="s">
        <v>620</v>
      </c>
      <c r="AF240" s="211" t="n">
        <v>140.82</v>
      </c>
      <c r="AG240" s="211" t="n">
        <f aca="false">AF240*G240</f>
        <v>563.28</v>
      </c>
      <c r="AH240" s="211" t="s">
        <v>621</v>
      </c>
      <c r="AI240" s="211" t="n">
        <v>163.38</v>
      </c>
      <c r="AJ240" s="211" t="n">
        <f aca="false">AI240*G240</f>
        <v>653.52</v>
      </c>
      <c r="AK240" s="211" t="s">
        <v>622</v>
      </c>
      <c r="AL240" s="211" t="n">
        <v>210.7</v>
      </c>
      <c r="AM240" s="129" t="n">
        <f aca="false">AL240*G240</f>
        <v>842.8</v>
      </c>
      <c r="AN240" s="211"/>
    </row>
    <row r="241" s="175" customFormat="true" ht="89.25" hidden="false" customHeight="false" outlineLevel="0" collapsed="false">
      <c r="A241" s="2"/>
      <c r="B241" s="33"/>
      <c r="C241" s="145" t="n">
        <v>316</v>
      </c>
      <c r="D241" s="145" t="n">
        <v>143</v>
      </c>
      <c r="E241" s="146" t="s">
        <v>623</v>
      </c>
      <c r="F241" s="145" t="s">
        <v>56</v>
      </c>
      <c r="G241" s="145" t="n">
        <f aca="false">24+40+40</f>
        <v>104</v>
      </c>
      <c r="H241" s="145" t="n">
        <f aca="false">24+40+40</f>
        <v>104</v>
      </c>
      <c r="I241" s="141" t="s">
        <v>555</v>
      </c>
      <c r="J241" s="142" t="n">
        <v>292.62</v>
      </c>
      <c r="K241" s="142" t="n">
        <f aca="false">G241*J241</f>
        <v>30432.48</v>
      </c>
      <c r="L241" s="212" t="s">
        <v>624</v>
      </c>
      <c r="M241" s="212" t="n">
        <v>271.21</v>
      </c>
      <c r="N241" s="213" t="n">
        <f aca="false">M241*G241</f>
        <v>28205.84</v>
      </c>
      <c r="O241" s="212" t="s">
        <v>625</v>
      </c>
      <c r="P241" s="212" t="n">
        <v>246.55</v>
      </c>
      <c r="Q241" s="213" t="n">
        <f aca="false">P241*G241</f>
        <v>25641.2</v>
      </c>
      <c r="R241" s="214" t="n">
        <f aca="false">(J241+M241+P241)/3</f>
        <v>270.126666666667</v>
      </c>
      <c r="S241" s="132" t="n">
        <f aca="false">R241*G241</f>
        <v>28093.1733333333</v>
      </c>
      <c r="T241" s="134"/>
      <c r="U241" s="150" t="n">
        <f aca="false">ROUND(J241*100/R241-100,0)</f>
        <v>8</v>
      </c>
      <c r="V241" s="150" t="n">
        <f aca="false">ROUND(M241*100/R241-100,0)</f>
        <v>0</v>
      </c>
      <c r="W241" s="150" t="n">
        <f aca="false">ROUND(P241*100/R241-100,0)</f>
        <v>-9</v>
      </c>
      <c r="X241" s="15"/>
      <c r="Y241" s="2"/>
      <c r="Z241" s="2"/>
      <c r="AA241" s="2"/>
      <c r="AB241" s="2"/>
      <c r="AC241" s="2"/>
      <c r="AD241" s="2"/>
      <c r="AE241" s="211" t="s">
        <v>623</v>
      </c>
      <c r="AF241" s="211" t="n">
        <v>246.55</v>
      </c>
      <c r="AG241" s="211" t="n">
        <f aca="false">AF241*G241</f>
        <v>25641.2</v>
      </c>
      <c r="AH241" s="211" t="s">
        <v>624</v>
      </c>
      <c r="AI241" s="211" t="n">
        <v>271.21</v>
      </c>
      <c r="AJ241" s="211" t="n">
        <f aca="false">AI241*G241</f>
        <v>28205.84</v>
      </c>
      <c r="AK241" s="211" t="s">
        <v>625</v>
      </c>
      <c r="AL241" s="211" t="n">
        <v>246.55</v>
      </c>
      <c r="AM241" s="129" t="n">
        <f aca="false">AL241*G241</f>
        <v>25641.2</v>
      </c>
      <c r="AN241" s="211"/>
    </row>
    <row r="242" s="153" customFormat="true" ht="102" hidden="false" customHeight="false" outlineLevel="0" collapsed="false">
      <c r="A242" s="2"/>
      <c r="B242" s="33"/>
      <c r="C242" s="145" t="n">
        <v>317</v>
      </c>
      <c r="D242" s="145" t="n">
        <v>144</v>
      </c>
      <c r="E242" s="146" t="s">
        <v>626</v>
      </c>
      <c r="F242" s="145" t="s">
        <v>257</v>
      </c>
      <c r="G242" s="145" t="n">
        <f aca="false">60+30+120</f>
        <v>210</v>
      </c>
      <c r="H242" s="145" t="n">
        <f aca="false">60+30+120</f>
        <v>210</v>
      </c>
      <c r="I242" s="141" t="s">
        <v>555</v>
      </c>
      <c r="J242" s="142" t="n">
        <v>117.73</v>
      </c>
      <c r="K242" s="142" t="n">
        <f aca="false">G242*J242</f>
        <v>24723.3</v>
      </c>
      <c r="L242" s="141" t="s">
        <v>556</v>
      </c>
      <c r="M242" s="142" t="n">
        <v>129.5</v>
      </c>
      <c r="N242" s="142" t="n">
        <f aca="false">M242*G242</f>
        <v>27195</v>
      </c>
      <c r="O242" s="212" t="s">
        <v>627</v>
      </c>
      <c r="P242" s="212" t="n">
        <v>127.92</v>
      </c>
      <c r="Q242" s="142" t="n">
        <f aca="false">P242*G242</f>
        <v>26863.2</v>
      </c>
      <c r="R242" s="214" t="n">
        <f aca="false">(J242+M242+P242)/3</f>
        <v>125.05</v>
      </c>
      <c r="S242" s="132" t="n">
        <f aca="false">R242*G242</f>
        <v>26260.5</v>
      </c>
      <c r="T242" s="134"/>
      <c r="U242" s="150" t="n">
        <f aca="false">ROUND(J242*100/R242-100,0)</f>
        <v>-6</v>
      </c>
      <c r="V242" s="150" t="n">
        <f aca="false">ROUND(M242*100/R242-100,0)</f>
        <v>4</v>
      </c>
      <c r="W242" s="150" t="n">
        <f aca="false">ROUND(P242*100/R242-100,0)</f>
        <v>2</v>
      </c>
      <c r="X242" s="15"/>
      <c r="Y242" s="2"/>
      <c r="Z242" s="2"/>
      <c r="AA242" s="2"/>
      <c r="AB242" s="2"/>
      <c r="AC242" s="2"/>
      <c r="AD242" s="2"/>
      <c r="AE242" s="211" t="s">
        <v>628</v>
      </c>
      <c r="AF242" s="211" t="n">
        <v>99.19</v>
      </c>
      <c r="AG242" s="211" t="n">
        <f aca="false">AF242*G242</f>
        <v>20829.9</v>
      </c>
      <c r="AH242" s="211" t="s">
        <v>627</v>
      </c>
      <c r="AI242" s="211" t="n">
        <v>127.92</v>
      </c>
      <c r="AJ242" s="211" t="n">
        <f aca="false">AI242*G242</f>
        <v>26863.2</v>
      </c>
      <c r="AK242" s="211" t="s">
        <v>629</v>
      </c>
      <c r="AL242" s="211" t="n">
        <v>99.2</v>
      </c>
      <c r="AM242" s="129" t="n">
        <f aca="false">AL242*G242</f>
        <v>20832</v>
      </c>
      <c r="AN242" s="211"/>
    </row>
    <row r="243" s="175" customFormat="true" ht="153" hidden="false" customHeight="false" outlineLevel="0" collapsed="false">
      <c r="A243" s="2"/>
      <c r="B243" s="33"/>
      <c r="C243" s="145" t="n">
        <v>318</v>
      </c>
      <c r="D243" s="145" t="n">
        <v>145</v>
      </c>
      <c r="E243" s="146" t="s">
        <v>630</v>
      </c>
      <c r="F243" s="145" t="s">
        <v>257</v>
      </c>
      <c r="G243" s="145" t="n">
        <f aca="false">120+90</f>
        <v>210</v>
      </c>
      <c r="H243" s="145" t="n">
        <f aca="false">120+90</f>
        <v>210</v>
      </c>
      <c r="I243" s="141" t="s">
        <v>555</v>
      </c>
      <c r="J243" s="142" t="n">
        <v>93.57</v>
      </c>
      <c r="K243" s="142" t="n">
        <f aca="false">G243*J243</f>
        <v>19649.7</v>
      </c>
      <c r="L243" s="141" t="s">
        <v>556</v>
      </c>
      <c r="M243" s="142" t="n">
        <v>102.92</v>
      </c>
      <c r="N243" s="142" t="n">
        <f aca="false">M243*G243</f>
        <v>21613.2</v>
      </c>
      <c r="O243" s="211" t="s">
        <v>631</v>
      </c>
      <c r="P243" s="211" t="n">
        <v>95.73</v>
      </c>
      <c r="Q243" s="142" t="n">
        <f aca="false">P243*G243</f>
        <v>20103.3</v>
      </c>
      <c r="R243" s="214" t="n">
        <f aca="false">(J243+M243+P243)/3</f>
        <v>97.4066666666667</v>
      </c>
      <c r="S243" s="132" t="n">
        <f aca="false">R243*G243</f>
        <v>20455.4</v>
      </c>
      <c r="T243" s="134"/>
      <c r="U243" s="150" t="n">
        <f aca="false">ROUND(J243*100/R243-100,0)</f>
        <v>-4</v>
      </c>
      <c r="V243" s="150" t="n">
        <f aca="false">ROUND(M243*100/R243-100,0)</f>
        <v>6</v>
      </c>
      <c r="W243" s="150" t="n">
        <f aca="false">ROUND(P243*100/R243-100,0)</f>
        <v>-2</v>
      </c>
      <c r="X243" s="15"/>
      <c r="Y243" s="2"/>
      <c r="Z243" s="2"/>
      <c r="AA243" s="2"/>
      <c r="AB243" s="2"/>
      <c r="AC243" s="2"/>
      <c r="AD243" s="2"/>
      <c r="AE243" s="211" t="s">
        <v>632</v>
      </c>
      <c r="AF243" s="211" t="n">
        <v>78.83</v>
      </c>
      <c r="AG243" s="211" t="n">
        <f aca="false">AF243*G243</f>
        <v>16554.3</v>
      </c>
      <c r="AH243" s="211" t="s">
        <v>631</v>
      </c>
      <c r="AI243" s="211" t="n">
        <v>95.73</v>
      </c>
      <c r="AJ243" s="211" t="n">
        <f aca="false">AI243*G243</f>
        <v>20103.3</v>
      </c>
      <c r="AK243" s="211" t="s">
        <v>633</v>
      </c>
      <c r="AL243" s="211" t="n">
        <v>71.62</v>
      </c>
      <c r="AM243" s="129" t="n">
        <f aca="false">AL243*G243</f>
        <v>15040.2</v>
      </c>
      <c r="AN243" s="211"/>
    </row>
    <row r="244" s="153" customFormat="true" ht="204" hidden="false" customHeight="false" outlineLevel="0" collapsed="false">
      <c r="A244" s="2"/>
      <c r="B244" s="33"/>
      <c r="C244" s="145" t="n">
        <v>319</v>
      </c>
      <c r="D244" s="145" t="n">
        <v>146</v>
      </c>
      <c r="E244" s="146" t="s">
        <v>634</v>
      </c>
      <c r="F244" s="145" t="s">
        <v>257</v>
      </c>
      <c r="G244" s="145" t="n">
        <v>90</v>
      </c>
      <c r="H244" s="145" t="n">
        <f aca="false">90</f>
        <v>90</v>
      </c>
      <c r="I244" s="141" t="s">
        <v>555</v>
      </c>
      <c r="J244" s="142" t="n">
        <v>166.05</v>
      </c>
      <c r="K244" s="142" t="n">
        <f aca="false">G244*J244</f>
        <v>14944.5</v>
      </c>
      <c r="L244" s="141" t="s">
        <v>556</v>
      </c>
      <c r="M244" s="142" t="n">
        <v>182.66</v>
      </c>
      <c r="N244" s="142" t="n">
        <f aca="false">M244*G244</f>
        <v>16439.4</v>
      </c>
      <c r="O244" s="141" t="s">
        <v>557</v>
      </c>
      <c r="P244" s="142" t="n">
        <v>192.62</v>
      </c>
      <c r="Q244" s="142" t="n">
        <f aca="false">P244*G244</f>
        <v>17335.8</v>
      </c>
      <c r="R244" s="221" t="n">
        <f aca="false">(J244+M244+P244)/3</f>
        <v>180.443333333333</v>
      </c>
      <c r="S244" s="132" t="n">
        <f aca="false">R244*G244</f>
        <v>16239.9</v>
      </c>
      <c r="T244" s="134"/>
      <c r="U244" s="150" t="n">
        <f aca="false">ROUND(J244*100/R244-100,0)</f>
        <v>-8</v>
      </c>
      <c r="V244" s="150" t="n">
        <f aca="false">ROUND(M244*100/R244-100,0)</f>
        <v>1</v>
      </c>
      <c r="W244" s="150" t="n">
        <f aca="false">ROUND(P244*100/R244-100,0)</f>
        <v>7</v>
      </c>
      <c r="X244" s="15"/>
      <c r="Y244" s="2"/>
      <c r="Z244" s="2"/>
      <c r="AA244" s="2"/>
      <c r="AB244" s="2"/>
      <c r="AC244" s="2"/>
      <c r="AD244" s="2"/>
      <c r="AE244" s="211" t="s">
        <v>635</v>
      </c>
      <c r="AF244" s="211" t="n">
        <v>180.42</v>
      </c>
      <c r="AG244" s="211" t="n">
        <f aca="false">AF244*G244</f>
        <v>16237.8</v>
      </c>
      <c r="AH244" s="211" t="s">
        <v>636</v>
      </c>
      <c r="AI244" s="211" t="n">
        <v>127.11</v>
      </c>
      <c r="AJ244" s="211" t="n">
        <f aca="false">AI244*G244</f>
        <v>11439.9</v>
      </c>
      <c r="AK244" s="211" t="s">
        <v>637</v>
      </c>
      <c r="AL244" s="211" t="n">
        <v>139.9</v>
      </c>
      <c r="AM244" s="129" t="n">
        <f aca="false">AL244*G244</f>
        <v>12591</v>
      </c>
      <c r="AN244" s="211"/>
    </row>
    <row r="245" s="175" customFormat="true" ht="102" hidden="false" customHeight="false" outlineLevel="0" collapsed="false">
      <c r="A245" s="2"/>
      <c r="B245" s="33"/>
      <c r="C245" s="145" t="n">
        <v>320</v>
      </c>
      <c r="D245" s="145" t="n">
        <v>147</v>
      </c>
      <c r="E245" s="146" t="s">
        <v>638</v>
      </c>
      <c r="F245" s="145" t="s">
        <v>56</v>
      </c>
      <c r="G245" s="145" t="n">
        <f aca="false">360+300+120+120+180</f>
        <v>1080</v>
      </c>
      <c r="H245" s="145" t="n">
        <f aca="false">360+300+120+120+180</f>
        <v>1080</v>
      </c>
      <c r="I245" s="141" t="s">
        <v>555</v>
      </c>
      <c r="J245" s="142" t="n">
        <v>36.74</v>
      </c>
      <c r="K245" s="142" t="n">
        <f aca="false">G245*J245</f>
        <v>39679.2</v>
      </c>
      <c r="L245" s="141" t="s">
        <v>556</v>
      </c>
      <c r="M245" s="142" t="n">
        <v>40.41</v>
      </c>
      <c r="N245" s="142" t="n">
        <f aca="false">M245*G245</f>
        <v>43642.8</v>
      </c>
      <c r="O245" s="141" t="s">
        <v>557</v>
      </c>
      <c r="P245" s="142" t="n">
        <v>42.62</v>
      </c>
      <c r="Q245" s="142" t="n">
        <f aca="false">P245*G245</f>
        <v>46029.6</v>
      </c>
      <c r="R245" s="221" t="n">
        <f aca="false">(J245+M245+P245)/3</f>
        <v>39.9233333333333</v>
      </c>
      <c r="S245" s="132" t="n">
        <f aca="false">R245*G245</f>
        <v>43117.2</v>
      </c>
      <c r="T245" s="134"/>
      <c r="U245" s="150" t="n">
        <f aca="false">ROUND(J245*100/R245-100,0)</f>
        <v>-8</v>
      </c>
      <c r="V245" s="150" t="n">
        <f aca="false">ROUND(M245*100/R245-100,0)</f>
        <v>1</v>
      </c>
      <c r="W245" s="150" t="n">
        <f aca="false">ROUND(P245*100/R245-100,0)</f>
        <v>7</v>
      </c>
      <c r="X245" s="15"/>
      <c r="Y245" s="2"/>
      <c r="Z245" s="2"/>
      <c r="AA245" s="2"/>
      <c r="AB245" s="2"/>
      <c r="AC245" s="2"/>
      <c r="AD245" s="2"/>
      <c r="AE245" s="211" t="s">
        <v>638</v>
      </c>
      <c r="AF245" s="211" t="n">
        <v>30.95</v>
      </c>
      <c r="AG245" s="211" t="n">
        <f aca="false">AF245*G245</f>
        <v>33426</v>
      </c>
      <c r="AH245" s="211" t="s">
        <v>639</v>
      </c>
      <c r="AI245" s="211" t="n">
        <v>39.92</v>
      </c>
      <c r="AJ245" s="211" t="n">
        <f aca="false">AI245*G245</f>
        <v>43113.6</v>
      </c>
      <c r="AK245" s="211" t="s">
        <v>640</v>
      </c>
      <c r="AL245" s="211" t="n">
        <v>37.58</v>
      </c>
      <c r="AM245" s="129" t="n">
        <f aca="false">AL245*G245</f>
        <v>40586.4</v>
      </c>
      <c r="AN245" s="211"/>
    </row>
    <row r="246" customFormat="false" ht="409.5" hidden="false" customHeight="false" outlineLevel="0" collapsed="false">
      <c r="A246" s="2"/>
      <c r="B246" s="33"/>
      <c r="C246" s="145" t="n">
        <v>321</v>
      </c>
      <c r="D246" s="145" t="n">
        <v>148</v>
      </c>
      <c r="E246" s="183" t="s">
        <v>641</v>
      </c>
      <c r="F246" s="184" t="s">
        <v>56</v>
      </c>
      <c r="G246" s="184" t="n">
        <f aca="false">3+3</f>
        <v>6</v>
      </c>
      <c r="H246" s="184" t="n">
        <f aca="false">3+3</f>
        <v>6</v>
      </c>
      <c r="I246" s="185" t="s">
        <v>642</v>
      </c>
      <c r="J246" s="186" t="n">
        <f aca="false">14990/1.2</f>
        <v>12491.6666666667</v>
      </c>
      <c r="K246" s="186" t="n">
        <f aca="false">G246*J246</f>
        <v>74950</v>
      </c>
      <c r="L246" s="185" t="s">
        <v>643</v>
      </c>
      <c r="M246" s="186" t="n">
        <f aca="false">14990/1.2</f>
        <v>12491.6666666667</v>
      </c>
      <c r="N246" s="186" t="n">
        <f aca="false">M246*G246</f>
        <v>74950</v>
      </c>
      <c r="O246" s="185" t="s">
        <v>644</v>
      </c>
      <c r="P246" s="186" t="n">
        <f aca="false">14990/1.2</f>
        <v>12491.6666666667</v>
      </c>
      <c r="Q246" s="186" t="n">
        <f aca="false">P246*G246</f>
        <v>74950</v>
      </c>
      <c r="R246" s="187" t="n">
        <f aca="false">(J246+M246+P246)/3</f>
        <v>12491.6666666667</v>
      </c>
      <c r="S246" s="188" t="n">
        <f aca="false">R246*G246</f>
        <v>74950</v>
      </c>
      <c r="T246" s="134"/>
      <c r="U246" s="150" t="n">
        <f aca="false">ROUND(J246*100/R246-100,0)</f>
        <v>0</v>
      </c>
      <c r="V246" s="150" t="n">
        <f aca="false">ROUND(M246*100/R246-100,0)</f>
        <v>0</v>
      </c>
      <c r="W246" s="150" t="n">
        <f aca="false">ROUND(P246*100/R246-100,0)</f>
        <v>0</v>
      </c>
      <c r="X246" s="15"/>
      <c r="Y246" s="2"/>
      <c r="Z246" s="2"/>
      <c r="AA246" s="2"/>
      <c r="AB246" s="2"/>
      <c r="AC246" s="2"/>
      <c r="AD246" s="2"/>
      <c r="AE246" s="211" t="s">
        <v>642</v>
      </c>
      <c r="AF246" s="211" t="n">
        <f aca="false">14900/1.2</f>
        <v>12416.6666666667</v>
      </c>
      <c r="AG246" s="211" t="n">
        <f aca="false">AF246*G246</f>
        <v>74500</v>
      </c>
      <c r="AH246" s="211"/>
      <c r="AI246" s="211"/>
      <c r="AJ246" s="211" t="n">
        <f aca="false">AI246*G246</f>
        <v>0</v>
      </c>
      <c r="AK246" s="211"/>
      <c r="AL246" s="211"/>
      <c r="AM246" s="129" t="n">
        <f aca="false">AL246*G246</f>
        <v>0</v>
      </c>
      <c r="AN246" s="211"/>
    </row>
    <row r="247" s="218" customFormat="true" ht="65.25" hidden="false" customHeight="true" outlineLevel="0" collapsed="false">
      <c r="A247" s="2"/>
      <c r="B247" s="33"/>
      <c r="C247" s="145" t="n">
        <v>322</v>
      </c>
      <c r="D247" s="145" t="n">
        <v>150</v>
      </c>
      <c r="E247" s="134" t="s">
        <v>645</v>
      </c>
      <c r="F247" s="144" t="s">
        <v>104</v>
      </c>
      <c r="G247" s="144" t="n">
        <f aca="false">1+1+1</f>
        <v>3</v>
      </c>
      <c r="H247" s="144" t="n">
        <f aca="false">1+1</f>
        <v>2</v>
      </c>
      <c r="I247" s="131" t="s">
        <v>646</v>
      </c>
      <c r="J247" s="50" t="n">
        <f aca="false">19821.11/4.9*0.43</f>
        <v>1739.40353061224</v>
      </c>
      <c r="K247" s="50" t="n">
        <f aca="false">G247*J247</f>
        <v>5218.21059183673</v>
      </c>
      <c r="L247" s="131" t="s">
        <v>647</v>
      </c>
      <c r="M247" s="50" t="n">
        <f aca="false">20722.07/4.9*0.43</f>
        <v>1818.46736734694</v>
      </c>
      <c r="N247" s="50" t="n">
        <f aca="false">M247*G247</f>
        <v>5455.40210204082</v>
      </c>
      <c r="O247" s="131" t="s">
        <v>648</v>
      </c>
      <c r="P247" s="50" t="n">
        <f aca="false">18019.19/4.9*0.43</f>
        <v>1581.27585714286</v>
      </c>
      <c r="Q247" s="50" t="n">
        <f aca="false">P247*G247</f>
        <v>4743.82757142857</v>
      </c>
      <c r="R247" s="118" t="n">
        <f aca="false">(J247+M247+P247)/3</f>
        <v>1713.04891836735</v>
      </c>
      <c r="S247" s="132" t="n">
        <f aca="false">R247*G247</f>
        <v>5139.14675510204</v>
      </c>
      <c r="T247" s="134"/>
      <c r="U247" s="150" t="n">
        <f aca="false">ROUND(J247*100/R247-100,0)</f>
        <v>2</v>
      </c>
      <c r="V247" s="150" t="n">
        <f aca="false">ROUND(M247*100/R247-100,0)</f>
        <v>6</v>
      </c>
      <c r="W247" s="150" t="n">
        <f aca="false">ROUND(P247*100/R247-100,0)</f>
        <v>-8</v>
      </c>
      <c r="X247" s="15"/>
      <c r="Y247" s="2"/>
      <c r="Z247" s="2"/>
      <c r="AA247" s="2"/>
      <c r="AB247" s="2"/>
      <c r="AC247" s="2"/>
      <c r="AD247" s="2"/>
      <c r="AE247" s="211"/>
      <c r="AF247" s="211"/>
      <c r="AG247" s="211" t="n">
        <f aca="false">AF247*G247</f>
        <v>0</v>
      </c>
      <c r="AH247" s="211"/>
      <c r="AI247" s="211"/>
      <c r="AJ247" s="211" t="n">
        <f aca="false">AI247*G247</f>
        <v>0</v>
      </c>
      <c r="AK247" s="211"/>
      <c r="AL247" s="211"/>
      <c r="AM247" s="129" t="n">
        <f aca="false">AL247*G247</f>
        <v>0</v>
      </c>
      <c r="AN247" s="211"/>
    </row>
    <row r="248" customFormat="false" ht="113.25" hidden="false" customHeight="true" outlineLevel="0" collapsed="false">
      <c r="A248" s="2"/>
      <c r="B248" s="33"/>
      <c r="C248" s="145" t="n">
        <v>323</v>
      </c>
      <c r="D248" s="145" t="n">
        <v>152</v>
      </c>
      <c r="E248" s="222" t="s">
        <v>649</v>
      </c>
      <c r="F248" s="223" t="s">
        <v>56</v>
      </c>
      <c r="G248" s="223" t="n">
        <f aca="false">10+21</f>
        <v>31</v>
      </c>
      <c r="H248" s="223" t="n">
        <f aca="false">6+21</f>
        <v>27</v>
      </c>
      <c r="I248" s="141"/>
      <c r="J248" s="142"/>
      <c r="K248" s="142" t="n">
        <f aca="false">G248*J248</f>
        <v>0</v>
      </c>
      <c r="L248" s="141" t="s">
        <v>650</v>
      </c>
      <c r="M248" s="142" t="n">
        <v>5130</v>
      </c>
      <c r="N248" s="142" t="n">
        <f aca="false">M248*G248</f>
        <v>159030</v>
      </c>
      <c r="O248" s="141" t="s">
        <v>423</v>
      </c>
      <c r="P248" s="142" t="n">
        <v>6780</v>
      </c>
      <c r="Q248" s="142" t="n">
        <f aca="false">P248*G248</f>
        <v>210180</v>
      </c>
      <c r="R248" s="221" t="n">
        <f aca="false">(J248+M248+P248)/2</f>
        <v>5955</v>
      </c>
      <c r="S248" s="132" t="n">
        <f aca="false">R248*G248</f>
        <v>184605</v>
      </c>
      <c r="T248" s="134"/>
      <c r="U248" s="150" t="n">
        <f aca="false">ROUND(J248*100/R248-100,0)</f>
        <v>-100</v>
      </c>
      <c r="V248" s="150" t="n">
        <f aca="false">ROUND(M248*100/R248-100,0)</f>
        <v>-14</v>
      </c>
      <c r="W248" s="150" t="n">
        <f aca="false">ROUND(P248*100/R248-100,0)</f>
        <v>14</v>
      </c>
      <c r="X248" s="15"/>
      <c r="Y248" s="2"/>
      <c r="Z248" s="2"/>
      <c r="AA248" s="2"/>
      <c r="AB248" s="2"/>
      <c r="AC248" s="2"/>
      <c r="AD248" s="2"/>
      <c r="AE248" s="211" t="s">
        <v>649</v>
      </c>
      <c r="AF248" s="211" t="n">
        <v>2500</v>
      </c>
      <c r="AG248" s="211" t="n">
        <f aca="false">AF248*G248</f>
        <v>77500</v>
      </c>
      <c r="AH248" s="211" t="s">
        <v>651</v>
      </c>
      <c r="AI248" s="211" t="n">
        <v>3805.83</v>
      </c>
      <c r="AJ248" s="211" t="n">
        <f aca="false">AI248*G248</f>
        <v>117980.73</v>
      </c>
      <c r="AK248" s="211" t="s">
        <v>652</v>
      </c>
      <c r="AL248" s="211" t="n">
        <v>1941.67</v>
      </c>
      <c r="AM248" s="129" t="n">
        <f aca="false">AL248*G248</f>
        <v>60191.77</v>
      </c>
      <c r="AN248" s="211"/>
    </row>
    <row r="249" s="2" customFormat="true" ht="38.25" hidden="false" customHeight="true" outlineLevel="0" collapsed="false">
      <c r="B249" s="33"/>
      <c r="C249" s="145" t="n">
        <v>324</v>
      </c>
      <c r="D249" s="145" t="n">
        <v>153</v>
      </c>
      <c r="E249" s="222" t="s">
        <v>653</v>
      </c>
      <c r="F249" s="223" t="s">
        <v>56</v>
      </c>
      <c r="G249" s="223" t="n">
        <f aca="false">15+22</f>
        <v>37</v>
      </c>
      <c r="H249" s="223" t="n">
        <f aca="false">12+22</f>
        <v>34</v>
      </c>
      <c r="I249" s="141" t="s">
        <v>654</v>
      </c>
      <c r="J249" s="142" t="n">
        <v>4400</v>
      </c>
      <c r="K249" s="142" t="n">
        <f aca="false">G249*J249</f>
        <v>162800</v>
      </c>
      <c r="L249" s="141" t="s">
        <v>650</v>
      </c>
      <c r="M249" s="142" t="n">
        <v>4350</v>
      </c>
      <c r="N249" s="142" t="n">
        <f aca="false">M249*G249</f>
        <v>160950</v>
      </c>
      <c r="O249" s="141" t="s">
        <v>423</v>
      </c>
      <c r="P249" s="142" t="n">
        <v>4280</v>
      </c>
      <c r="Q249" s="142" t="n">
        <f aca="false">P249*G249</f>
        <v>158360</v>
      </c>
      <c r="R249" s="118" t="n">
        <f aca="false">(J249+M249+P249)/3</f>
        <v>4343.33333333333</v>
      </c>
      <c r="S249" s="132" t="n">
        <f aca="false">R249*G249</f>
        <v>160703.333333333</v>
      </c>
      <c r="T249" s="134"/>
      <c r="U249" s="150" t="n">
        <f aca="false">ROUND(J249*100/R249-100,0)</f>
        <v>1</v>
      </c>
      <c r="V249" s="150" t="n">
        <f aca="false">ROUND(M249*100/R249-100,0)</f>
        <v>0</v>
      </c>
      <c r="W249" s="150" t="n">
        <f aca="false">ROUND(P249*100/R249-100,0)</f>
        <v>-1</v>
      </c>
      <c r="X249" s="15"/>
      <c r="AE249" s="211" t="s">
        <v>653</v>
      </c>
      <c r="AF249" s="211" t="n">
        <v>2397.5</v>
      </c>
      <c r="AG249" s="211" t="n">
        <f aca="false">AF249*G249</f>
        <v>88707.5</v>
      </c>
      <c r="AH249" s="211"/>
      <c r="AI249" s="211"/>
      <c r="AJ249" s="211" t="n">
        <f aca="false">AI249*G249</f>
        <v>0</v>
      </c>
      <c r="AK249" s="211"/>
      <c r="AL249" s="211"/>
      <c r="AM249" s="129" t="n">
        <f aca="false">AL249*G249</f>
        <v>0</v>
      </c>
      <c r="AN249" s="211"/>
    </row>
    <row r="250" customFormat="false" ht="127.5" hidden="false" customHeight="false" outlineLevel="0" collapsed="false">
      <c r="A250" s="2"/>
      <c r="B250" s="33"/>
      <c r="C250" s="145" t="n">
        <v>325</v>
      </c>
      <c r="D250" s="145" t="n">
        <v>154</v>
      </c>
      <c r="E250" s="222" t="s">
        <v>655</v>
      </c>
      <c r="F250" s="223" t="s">
        <v>56</v>
      </c>
      <c r="G250" s="223" t="n">
        <v>11</v>
      </c>
      <c r="H250" s="223" t="n">
        <f aca="false">11</f>
        <v>11</v>
      </c>
      <c r="I250" s="141" t="s">
        <v>654</v>
      </c>
      <c r="J250" s="142" t="n">
        <v>4800</v>
      </c>
      <c r="K250" s="142" t="n">
        <f aca="false">G250*J250</f>
        <v>52800</v>
      </c>
      <c r="L250" s="141" t="s">
        <v>650</v>
      </c>
      <c r="M250" s="142" t="n">
        <v>4760</v>
      </c>
      <c r="N250" s="142" t="n">
        <f aca="false">M250*G250</f>
        <v>52360</v>
      </c>
      <c r="O250" s="141" t="s">
        <v>423</v>
      </c>
      <c r="P250" s="142" t="n">
        <v>4520</v>
      </c>
      <c r="Q250" s="142" t="n">
        <f aca="false">P250*G250</f>
        <v>49720</v>
      </c>
      <c r="R250" s="118" t="n">
        <f aca="false">(J250+M250+P250)/3</f>
        <v>4693.33333333333</v>
      </c>
      <c r="S250" s="132" t="n">
        <f aca="false">R250*G250</f>
        <v>51626.6666666667</v>
      </c>
      <c r="T250" s="134"/>
      <c r="U250" s="150" t="n">
        <f aca="false">ROUND(J250*100/R250-100,0)</f>
        <v>2</v>
      </c>
      <c r="V250" s="150" t="n">
        <f aca="false">ROUND(M250*100/R250-100,0)</f>
        <v>1</v>
      </c>
      <c r="W250" s="150" t="n">
        <f aca="false">ROUND(P250*100/R250-100,0)</f>
        <v>-4</v>
      </c>
      <c r="X250" s="15"/>
      <c r="Y250" s="2"/>
      <c r="Z250" s="2"/>
      <c r="AA250" s="2"/>
      <c r="AB250" s="2"/>
      <c r="AC250" s="2"/>
      <c r="AD250" s="2"/>
      <c r="AE250" s="211" t="s">
        <v>656</v>
      </c>
      <c r="AF250" s="211" t="n">
        <v>1100</v>
      </c>
      <c r="AG250" s="211" t="n">
        <f aca="false">AF250*G250</f>
        <v>12100</v>
      </c>
      <c r="AH250" s="211" t="s">
        <v>657</v>
      </c>
      <c r="AI250" s="211" t="n">
        <v>2050</v>
      </c>
      <c r="AJ250" s="211" t="n">
        <f aca="false">AI250*G250</f>
        <v>22550</v>
      </c>
      <c r="AK250" s="211"/>
      <c r="AL250" s="211"/>
      <c r="AM250" s="129" t="n">
        <f aca="false">AL250*G250</f>
        <v>0</v>
      </c>
      <c r="AN250" s="211"/>
    </row>
    <row r="251" customFormat="false" ht="127.5" hidden="false" customHeight="false" outlineLevel="0" collapsed="false">
      <c r="A251" s="2"/>
      <c r="B251" s="33"/>
      <c r="C251" s="145" t="n">
        <v>326</v>
      </c>
      <c r="D251" s="145" t="n">
        <v>155</v>
      </c>
      <c r="E251" s="222" t="s">
        <v>658</v>
      </c>
      <c r="F251" s="223" t="s">
        <v>56</v>
      </c>
      <c r="G251" s="223" t="n">
        <v>1</v>
      </c>
      <c r="H251" s="223" t="n">
        <f aca="false">1</f>
        <v>1</v>
      </c>
      <c r="I251" s="141" t="s">
        <v>654</v>
      </c>
      <c r="J251" s="142" t="n">
        <v>4600</v>
      </c>
      <c r="K251" s="142" t="n">
        <f aca="false">G251*J251</f>
        <v>4600</v>
      </c>
      <c r="L251" s="141" t="s">
        <v>650</v>
      </c>
      <c r="M251" s="142" t="n">
        <v>4660</v>
      </c>
      <c r="N251" s="142" t="n">
        <f aca="false">M251*G251</f>
        <v>4660</v>
      </c>
      <c r="O251" s="141" t="s">
        <v>423</v>
      </c>
      <c r="P251" s="142" t="n">
        <v>4420</v>
      </c>
      <c r="Q251" s="142" t="n">
        <f aca="false">P251*G251</f>
        <v>4420</v>
      </c>
      <c r="R251" s="118" t="n">
        <f aca="false">(J251+M251+P251)/3</f>
        <v>4560</v>
      </c>
      <c r="S251" s="132" t="n">
        <f aca="false">R251*G251</f>
        <v>4560</v>
      </c>
      <c r="T251" s="134"/>
      <c r="U251" s="150" t="n">
        <f aca="false">ROUND(J251*100/R251-100,0)</f>
        <v>1</v>
      </c>
      <c r="V251" s="150" t="n">
        <f aca="false">ROUND(M251*100/R251-100,0)</f>
        <v>2</v>
      </c>
      <c r="W251" s="150" t="n">
        <f aca="false">ROUND(P251*100/R251-100,0)</f>
        <v>-3</v>
      </c>
      <c r="X251" s="15"/>
      <c r="Y251" s="2"/>
      <c r="Z251" s="2"/>
      <c r="AA251" s="2"/>
      <c r="AB251" s="2"/>
      <c r="AC251" s="2"/>
      <c r="AD251" s="2"/>
      <c r="AE251" s="211" t="s">
        <v>659</v>
      </c>
      <c r="AF251" s="211" t="n">
        <v>1600</v>
      </c>
      <c r="AG251" s="211" t="n">
        <f aca="false">AF251*G251</f>
        <v>1600</v>
      </c>
      <c r="AH251" s="211" t="s">
        <v>660</v>
      </c>
      <c r="AI251" s="211" t="n">
        <v>1182.5</v>
      </c>
      <c r="AJ251" s="211" t="n">
        <f aca="false">AI251*G251</f>
        <v>1182.5</v>
      </c>
      <c r="AK251" s="211" t="s">
        <v>661</v>
      </c>
      <c r="AL251" s="211" t="n">
        <v>1343.33</v>
      </c>
      <c r="AM251" s="129" t="n">
        <f aca="false">AL251*G251</f>
        <v>1343.33</v>
      </c>
      <c r="AN251" s="211"/>
    </row>
    <row r="252" customFormat="false" ht="127.5" hidden="false" customHeight="false" outlineLevel="0" collapsed="false">
      <c r="A252" s="2"/>
      <c r="B252" s="33"/>
      <c r="C252" s="145" t="n">
        <v>327</v>
      </c>
      <c r="D252" s="145" t="n">
        <v>156</v>
      </c>
      <c r="E252" s="222" t="s">
        <v>662</v>
      </c>
      <c r="F252" s="223" t="s">
        <v>56</v>
      </c>
      <c r="G252" s="223" t="n">
        <v>1</v>
      </c>
      <c r="H252" s="223" t="n">
        <f aca="false">1</f>
        <v>1</v>
      </c>
      <c r="I252" s="141" t="s">
        <v>654</v>
      </c>
      <c r="J252" s="142" t="n">
        <v>2200</v>
      </c>
      <c r="K252" s="142" t="n">
        <f aca="false">G252*J252</f>
        <v>2200</v>
      </c>
      <c r="L252" s="141" t="s">
        <v>650</v>
      </c>
      <c r="M252" s="142" t="n">
        <v>2112</v>
      </c>
      <c r="N252" s="142" t="n">
        <f aca="false">M252*G252</f>
        <v>2112</v>
      </c>
      <c r="O252" s="141" t="s">
        <v>423</v>
      </c>
      <c r="P252" s="142" t="n">
        <v>2310</v>
      </c>
      <c r="Q252" s="142" t="n">
        <f aca="false">P252*G252</f>
        <v>2310</v>
      </c>
      <c r="R252" s="221" t="n">
        <f aca="false">(J252+M252+P252)/3</f>
        <v>2207.33333333333</v>
      </c>
      <c r="S252" s="132" t="n">
        <f aca="false">R252*G252</f>
        <v>2207.33333333333</v>
      </c>
      <c r="T252" s="134"/>
      <c r="U252" s="150" t="n">
        <f aca="false">ROUND(J252*100/R252-100,0)</f>
        <v>-0</v>
      </c>
      <c r="V252" s="150" t="n">
        <f aca="false">ROUND(M252*100/R252-100,0)</f>
        <v>-4</v>
      </c>
      <c r="W252" s="150" t="n">
        <f aca="false">ROUND(P252*100/R252-100,0)</f>
        <v>5</v>
      </c>
      <c r="X252" s="15"/>
      <c r="Y252" s="2"/>
      <c r="Z252" s="2"/>
      <c r="AA252" s="2"/>
      <c r="AB252" s="2"/>
      <c r="AC252" s="2"/>
      <c r="AD252" s="2"/>
      <c r="AE252" s="211" t="s">
        <v>663</v>
      </c>
      <c r="AF252" s="211" t="n">
        <v>2166.67</v>
      </c>
      <c r="AG252" s="211" t="n">
        <f aca="false">AF252*G252</f>
        <v>2166.67</v>
      </c>
      <c r="AH252" s="211" t="s">
        <v>664</v>
      </c>
      <c r="AI252" s="211" t="n">
        <v>2083.33</v>
      </c>
      <c r="AJ252" s="211" t="n">
        <f aca="false">AI252*G252</f>
        <v>2083.33</v>
      </c>
      <c r="AK252" s="211"/>
      <c r="AL252" s="211"/>
      <c r="AM252" s="129" t="n">
        <f aca="false">AL252*G252</f>
        <v>0</v>
      </c>
      <c r="AN252" s="211"/>
    </row>
    <row r="253" customFormat="false" ht="178.5" hidden="false" customHeight="false" outlineLevel="0" collapsed="false">
      <c r="A253" s="2"/>
      <c r="B253" s="33"/>
      <c r="C253" s="145" t="n">
        <v>328</v>
      </c>
      <c r="D253" s="145" t="n">
        <v>157</v>
      </c>
      <c r="E253" s="222" t="s">
        <v>665</v>
      </c>
      <c r="F253" s="223" t="s">
        <v>56</v>
      </c>
      <c r="G253" s="223" t="n">
        <f aca="false">15+22</f>
        <v>37</v>
      </c>
      <c r="H253" s="223" t="n">
        <f aca="false">12+22</f>
        <v>34</v>
      </c>
      <c r="I253" s="141" t="s">
        <v>482</v>
      </c>
      <c r="J253" s="142" t="n">
        <f aca="false">258/1.2</f>
        <v>215</v>
      </c>
      <c r="K253" s="142" t="n">
        <f aca="false">G253*J253</f>
        <v>7955</v>
      </c>
      <c r="L253" s="141" t="s">
        <v>483</v>
      </c>
      <c r="M253" s="142" t="n">
        <v>236.06</v>
      </c>
      <c r="N253" s="142" t="n">
        <f aca="false">M253*G253</f>
        <v>8734.22</v>
      </c>
      <c r="O253" s="141" t="s">
        <v>484</v>
      </c>
      <c r="P253" s="142" t="n">
        <v>225.75</v>
      </c>
      <c r="Q253" s="142" t="n">
        <f aca="false">P253*G253</f>
        <v>8352.75</v>
      </c>
      <c r="R253" s="221" t="n">
        <f aca="false">(J253+M253+P253)/3</f>
        <v>225.603333333333</v>
      </c>
      <c r="S253" s="132" t="n">
        <f aca="false">R253*G253</f>
        <v>8347.32333333333</v>
      </c>
      <c r="T253" s="134"/>
      <c r="U253" s="150" t="n">
        <f aca="false">ROUND(J253*100/R253-100,0)</f>
        <v>-5</v>
      </c>
      <c r="V253" s="150" t="n">
        <f aca="false">ROUND(M253*100/R253-100,0)</f>
        <v>5</v>
      </c>
      <c r="W253" s="150" t="n">
        <f aca="false">ROUND(P253*100/R253-100,0)</f>
        <v>0</v>
      </c>
      <c r="X253" s="15"/>
      <c r="Y253" s="2"/>
      <c r="Z253" s="2"/>
      <c r="AA253" s="2"/>
      <c r="AB253" s="2"/>
      <c r="AC253" s="2"/>
      <c r="AD253" s="2"/>
      <c r="AE253" s="211" t="s">
        <v>666</v>
      </c>
      <c r="AF253" s="211" t="n">
        <v>177.74</v>
      </c>
      <c r="AG253" s="211" t="n">
        <f aca="false">AF253*G253</f>
        <v>6576.38</v>
      </c>
      <c r="AH253" s="211" t="s">
        <v>667</v>
      </c>
      <c r="AI253" s="211" t="n">
        <v>294.08</v>
      </c>
      <c r="AJ253" s="211" t="n">
        <f aca="false">AI253*G253</f>
        <v>10880.96</v>
      </c>
      <c r="AK253" s="211"/>
      <c r="AL253" s="211"/>
      <c r="AM253" s="129" t="n">
        <f aca="false">AL253*G253</f>
        <v>0</v>
      </c>
      <c r="AN253" s="211"/>
    </row>
    <row r="254" s="2" customFormat="true" ht="114.75" hidden="false" customHeight="false" outlineLevel="0" collapsed="false">
      <c r="B254" s="33"/>
      <c r="C254" s="145" t="n">
        <v>329</v>
      </c>
      <c r="D254" s="145" t="n">
        <v>158</v>
      </c>
      <c r="E254" s="222" t="s">
        <v>668</v>
      </c>
      <c r="F254" s="223" t="s">
        <v>56</v>
      </c>
      <c r="G254" s="223" t="n">
        <v>140</v>
      </c>
      <c r="H254" s="223" t="n">
        <f aca="false">140</f>
        <v>140</v>
      </c>
      <c r="I254" s="141" t="s">
        <v>669</v>
      </c>
      <c r="J254" s="142" t="n">
        <f aca="false">25.5/1.2</f>
        <v>21.25</v>
      </c>
      <c r="K254" s="142" t="n">
        <f aca="false">G254*J254</f>
        <v>2975</v>
      </c>
      <c r="L254" s="141"/>
      <c r="M254" s="142"/>
      <c r="N254" s="142"/>
      <c r="O254" s="141"/>
      <c r="P254" s="142"/>
      <c r="Q254" s="142"/>
      <c r="R254" s="214" t="n">
        <f aca="false">(J254+M254+P254)/1</f>
        <v>21.25</v>
      </c>
      <c r="S254" s="132" t="n">
        <f aca="false">R254*G254</f>
        <v>2975</v>
      </c>
      <c r="T254" s="134"/>
      <c r="U254" s="150" t="n">
        <f aca="false">ROUND(J254*100/R254-100,0)</f>
        <v>0</v>
      </c>
      <c r="V254" s="150" t="n">
        <f aca="false">ROUND(M254*100/R254-100,0)</f>
        <v>-100</v>
      </c>
      <c r="W254" s="150" t="n">
        <f aca="false">ROUND(P254*100/R254-100,0)</f>
        <v>-100</v>
      </c>
      <c r="X254" s="15"/>
      <c r="AE254" s="211" t="s">
        <v>670</v>
      </c>
      <c r="AF254" s="211" t="n">
        <v>20.83</v>
      </c>
      <c r="AG254" s="211" t="n">
        <f aca="false">AF254*G254</f>
        <v>2916.2</v>
      </c>
      <c r="AH254" s="211" t="s">
        <v>671</v>
      </c>
      <c r="AI254" s="211" t="n">
        <v>22.67</v>
      </c>
      <c r="AJ254" s="211" t="n">
        <f aca="false">AI254*G254</f>
        <v>3173.8</v>
      </c>
      <c r="AK254" s="211"/>
      <c r="AL254" s="211"/>
      <c r="AM254" s="129" t="n">
        <f aca="false">AL254*G254</f>
        <v>0</v>
      </c>
      <c r="AN254" s="211"/>
    </row>
    <row r="255" s="2" customFormat="true" ht="89.25" hidden="false" customHeight="false" outlineLevel="0" collapsed="false">
      <c r="B255" s="33"/>
      <c r="C255" s="145" t="n">
        <v>330</v>
      </c>
      <c r="D255" s="145" t="n">
        <v>159</v>
      </c>
      <c r="E255" s="222" t="s">
        <v>672</v>
      </c>
      <c r="F255" s="223" t="s">
        <v>56</v>
      </c>
      <c r="G255" s="223" t="n">
        <v>140</v>
      </c>
      <c r="H255" s="223" t="n">
        <f aca="false">140</f>
        <v>140</v>
      </c>
      <c r="I255" s="141" t="s">
        <v>483</v>
      </c>
      <c r="J255" s="142" t="n">
        <v>1.05</v>
      </c>
      <c r="K255" s="142" t="n">
        <f aca="false">G255*J255</f>
        <v>147</v>
      </c>
      <c r="L255" s="141" t="s">
        <v>510</v>
      </c>
      <c r="M255" s="142" t="n">
        <v>1.09</v>
      </c>
      <c r="N255" s="142" t="n">
        <f aca="false">M255*G255</f>
        <v>152.6</v>
      </c>
      <c r="O255" s="141" t="s">
        <v>484</v>
      </c>
      <c r="P255" s="142" t="n">
        <v>1</v>
      </c>
      <c r="Q255" s="142" t="n">
        <f aca="false">P255*G255</f>
        <v>140</v>
      </c>
      <c r="R255" s="118" t="n">
        <f aca="false">(J255+M255+P255)/3</f>
        <v>1.04666666666667</v>
      </c>
      <c r="S255" s="132" t="n">
        <f aca="false">R255*G255</f>
        <v>146.533333333333</v>
      </c>
      <c r="T255" s="134"/>
      <c r="U255" s="150" t="n">
        <f aca="false">ROUND(J255*100/R255-100,0)</f>
        <v>0</v>
      </c>
      <c r="V255" s="150" t="n">
        <f aca="false">ROUND(M255*100/R255-100,0)</f>
        <v>4</v>
      </c>
      <c r="W255" s="150" t="n">
        <f aca="false">ROUND(P255*100/R255-100,0)</f>
        <v>-4</v>
      </c>
      <c r="X255" s="15"/>
      <c r="AE255" s="211" t="s">
        <v>673</v>
      </c>
      <c r="AF255" s="211" t="n">
        <v>0.88</v>
      </c>
      <c r="AG255" s="211" t="n">
        <f aca="false">AF255*G255</f>
        <v>123.2</v>
      </c>
      <c r="AH255" s="211"/>
      <c r="AI255" s="211"/>
      <c r="AJ255" s="211" t="n">
        <f aca="false">AI255*G255</f>
        <v>0</v>
      </c>
      <c r="AK255" s="211"/>
      <c r="AL255" s="211"/>
      <c r="AM255" s="129" t="n">
        <f aca="false">AL255*G255</f>
        <v>0</v>
      </c>
      <c r="AN255" s="211"/>
    </row>
    <row r="256" customFormat="false" ht="74.25" hidden="false" customHeight="true" outlineLevel="0" collapsed="false">
      <c r="A256" s="2"/>
      <c r="B256" s="33"/>
      <c r="C256" s="145" t="n">
        <v>331</v>
      </c>
      <c r="D256" s="145" t="n">
        <v>160</v>
      </c>
      <c r="E256" s="222" t="s">
        <v>674</v>
      </c>
      <c r="F256" s="223" t="s">
        <v>31</v>
      </c>
      <c r="G256" s="223" t="n">
        <v>31</v>
      </c>
      <c r="H256" s="223" t="n">
        <f aca="false">31</f>
        <v>31</v>
      </c>
      <c r="I256" s="141" t="s">
        <v>482</v>
      </c>
      <c r="J256" s="142" t="n">
        <f aca="false">6156/20/1.2</f>
        <v>256.5</v>
      </c>
      <c r="K256" s="142" t="n">
        <f aca="false">G256*J256</f>
        <v>7951.5</v>
      </c>
      <c r="L256" s="141" t="s">
        <v>483</v>
      </c>
      <c r="M256" s="142" t="n">
        <v>281.6</v>
      </c>
      <c r="N256" s="142" t="n">
        <f aca="false">M256*G256</f>
        <v>8729.6</v>
      </c>
      <c r="O256" s="141" t="s">
        <v>484</v>
      </c>
      <c r="P256" s="142" t="n">
        <v>269.3</v>
      </c>
      <c r="Q256" s="142" t="n">
        <f aca="false">P256*G256</f>
        <v>8348.3</v>
      </c>
      <c r="R256" s="214" t="n">
        <f aca="false">(J256+M256+P256)/3</f>
        <v>269.133333333333</v>
      </c>
      <c r="S256" s="132" t="n">
        <f aca="false">R256*G256</f>
        <v>8343.13333333334</v>
      </c>
      <c r="T256" s="134"/>
      <c r="U256" s="150" t="n">
        <f aca="false">ROUND(J256*100/R256-100,0)</f>
        <v>-5</v>
      </c>
      <c r="V256" s="150" t="n">
        <f aca="false">ROUND(M256*100/R256-100,0)</f>
        <v>5</v>
      </c>
      <c r="W256" s="150" t="n">
        <f aca="false">ROUND(P256*100/R256-100,0)</f>
        <v>0</v>
      </c>
      <c r="X256" s="15"/>
      <c r="Y256" s="2"/>
      <c r="Z256" s="2"/>
      <c r="AA256" s="2"/>
      <c r="AB256" s="2"/>
      <c r="AC256" s="2"/>
      <c r="AD256" s="2"/>
      <c r="AE256" s="211" t="s">
        <v>675</v>
      </c>
      <c r="AF256" s="211" t="n">
        <v>275</v>
      </c>
      <c r="AG256" s="211" t="n">
        <f aca="false">AF256*G256</f>
        <v>8525</v>
      </c>
      <c r="AH256" s="211"/>
      <c r="AI256" s="211"/>
      <c r="AJ256" s="211"/>
      <c r="AK256" s="211"/>
      <c r="AL256" s="211"/>
      <c r="AM256" s="129"/>
      <c r="AN256" s="211"/>
    </row>
    <row r="257" s="198" customFormat="true" ht="153" hidden="false" customHeight="false" outlineLevel="0" collapsed="false">
      <c r="A257" s="2"/>
      <c r="B257" s="33"/>
      <c r="C257" s="145" t="n">
        <v>332</v>
      </c>
      <c r="D257" s="145" t="n">
        <v>163</v>
      </c>
      <c r="E257" s="222" t="s">
        <v>676</v>
      </c>
      <c r="F257" s="223" t="s">
        <v>31</v>
      </c>
      <c r="G257" s="223" t="n">
        <v>84</v>
      </c>
      <c r="H257" s="223" t="n">
        <f aca="false">15</f>
        <v>15</v>
      </c>
      <c r="I257" s="141" t="s">
        <v>482</v>
      </c>
      <c r="J257" s="142" t="n">
        <f aca="false">853.2/25/1.2</f>
        <v>28.44</v>
      </c>
      <c r="K257" s="142" t="n">
        <f aca="false">G257*J257</f>
        <v>2388.96</v>
      </c>
      <c r="L257" s="141" t="s">
        <v>483</v>
      </c>
      <c r="M257" s="142" t="n">
        <v>31.37</v>
      </c>
      <c r="N257" s="142" t="n">
        <f aca="false">M257*G257</f>
        <v>2635.08</v>
      </c>
      <c r="O257" s="141" t="s">
        <v>484</v>
      </c>
      <c r="P257" s="142" t="n">
        <v>30</v>
      </c>
      <c r="Q257" s="142" t="n">
        <f aca="false">P257*G257</f>
        <v>2520</v>
      </c>
      <c r="R257" s="221" t="n">
        <f aca="false">(J257+M257+P257)/3</f>
        <v>29.9366666666667</v>
      </c>
      <c r="S257" s="132" t="n">
        <f aca="false">R257*G257</f>
        <v>2514.68</v>
      </c>
      <c r="T257" s="134"/>
      <c r="U257" s="150" t="n">
        <f aca="false">ROUND(J257*100/R257-100,0)</f>
        <v>-5</v>
      </c>
      <c r="V257" s="150" t="n">
        <f aca="false">ROUND(M257*100/R257-100,0)</f>
        <v>5</v>
      </c>
      <c r="W257" s="150" t="n">
        <f aca="false">ROUND(P257*100/R257-100,0)</f>
        <v>0</v>
      </c>
      <c r="X257" s="15"/>
      <c r="Y257" s="2"/>
      <c r="Z257" s="2"/>
      <c r="AA257" s="2"/>
      <c r="AB257" s="2"/>
      <c r="AC257" s="2"/>
      <c r="AD257" s="2"/>
      <c r="AE257" s="211" t="s">
        <v>677</v>
      </c>
      <c r="AF257" s="211" t="n">
        <v>28.73</v>
      </c>
      <c r="AG257" s="211" t="n">
        <f aca="false">AF257*G257</f>
        <v>2413.32</v>
      </c>
      <c r="AH257" s="211" t="s">
        <v>678</v>
      </c>
      <c r="AI257" s="211" t="n">
        <v>30</v>
      </c>
      <c r="AJ257" s="211" t="n">
        <f aca="false">AI257*G257</f>
        <v>2520</v>
      </c>
      <c r="AK257" s="211"/>
      <c r="AL257" s="211"/>
      <c r="AM257" s="129" t="n">
        <f aca="false">AL257*G257</f>
        <v>0</v>
      </c>
      <c r="AN257" s="211"/>
    </row>
    <row r="258" s="198" customFormat="true" ht="409.5" hidden="false" customHeight="false" outlineLevel="0" collapsed="false">
      <c r="A258" s="2"/>
      <c r="B258" s="33"/>
      <c r="C258" s="145" t="n">
        <v>333</v>
      </c>
      <c r="D258" s="145" t="n">
        <v>164</v>
      </c>
      <c r="E258" s="222" t="s">
        <v>679</v>
      </c>
      <c r="F258" s="223" t="s">
        <v>56</v>
      </c>
      <c r="G258" s="223" t="n">
        <f aca="false">22+10</f>
        <v>32</v>
      </c>
      <c r="H258" s="223" t="n">
        <f aca="false">12+22+10</f>
        <v>44</v>
      </c>
      <c r="I258" s="176" t="s">
        <v>680</v>
      </c>
      <c r="J258" s="142" t="n">
        <f aca="false">691.97/1.2</f>
        <v>576.641666666667</v>
      </c>
      <c r="K258" s="142" t="n">
        <f aca="false">G258*J258</f>
        <v>18452.5333333333</v>
      </c>
      <c r="L258" s="176" t="s">
        <v>681</v>
      </c>
      <c r="M258" s="142" t="n">
        <f aca="false">689.9/1.2</f>
        <v>574.916666666667</v>
      </c>
      <c r="N258" s="142" t="n">
        <f aca="false">M258*G258</f>
        <v>18397.3333333333</v>
      </c>
      <c r="O258" s="141" t="s">
        <v>482</v>
      </c>
      <c r="P258" s="142" t="n">
        <f aca="false">600/1.2</f>
        <v>500</v>
      </c>
      <c r="Q258" s="142" t="n">
        <f aca="false">P258*G258</f>
        <v>16000</v>
      </c>
      <c r="R258" s="221" t="n">
        <f aca="false">(J258+M258+P258)/3</f>
        <v>550.519444444445</v>
      </c>
      <c r="S258" s="132" t="n">
        <f aca="false">R258*G258</f>
        <v>17616.6222222222</v>
      </c>
      <c r="T258" s="134"/>
      <c r="U258" s="150" t="n">
        <f aca="false">ROUND(J258*100/R258-100,0)</f>
        <v>5</v>
      </c>
      <c r="V258" s="150" t="n">
        <f aca="false">ROUND(M258*100/R258-100,0)</f>
        <v>4</v>
      </c>
      <c r="W258" s="150" t="n">
        <f aca="false">ROUND(P258*100/R258-100,0)</f>
        <v>-9</v>
      </c>
      <c r="X258" s="15"/>
      <c r="Y258" s="2"/>
      <c r="Z258" s="2"/>
      <c r="AA258" s="2"/>
      <c r="AB258" s="2"/>
      <c r="AC258" s="2"/>
      <c r="AD258" s="2"/>
      <c r="AE258" s="211" t="s">
        <v>682</v>
      </c>
      <c r="AF258" s="211" t="n">
        <v>416.67</v>
      </c>
      <c r="AG258" s="211" t="n">
        <f aca="false">AF258*G258</f>
        <v>13333.44</v>
      </c>
      <c r="AH258" s="211" t="s">
        <v>683</v>
      </c>
      <c r="AI258" s="211" t="n">
        <v>500</v>
      </c>
      <c r="AJ258" s="211" t="n">
        <f aca="false">AI258*G258</f>
        <v>16000</v>
      </c>
      <c r="AK258" s="211"/>
      <c r="AL258" s="211"/>
      <c r="AM258" s="129" t="n">
        <f aca="false">AL258*G258</f>
        <v>0</v>
      </c>
      <c r="AN258" s="211"/>
    </row>
    <row r="259" s="198" customFormat="true" ht="255" hidden="false" customHeight="false" outlineLevel="0" collapsed="false">
      <c r="A259" s="2"/>
      <c r="B259" s="33"/>
      <c r="C259" s="145" t="n">
        <v>334</v>
      </c>
      <c r="D259" s="145" t="n">
        <v>166</v>
      </c>
      <c r="E259" s="224" t="s">
        <v>684</v>
      </c>
      <c r="F259" s="225" t="s">
        <v>56</v>
      </c>
      <c r="G259" s="225" t="n">
        <v>2</v>
      </c>
      <c r="H259" s="225" t="n">
        <f aca="false">2</f>
        <v>2</v>
      </c>
      <c r="I259" s="176" t="s">
        <v>685</v>
      </c>
      <c r="J259" s="142" t="n">
        <f aca="false">1865.27/1.2</f>
        <v>1554.39166666667</v>
      </c>
      <c r="K259" s="142" t="n">
        <f aca="false">G259*J259</f>
        <v>3108.78333333333</v>
      </c>
      <c r="L259" s="176" t="s">
        <v>686</v>
      </c>
      <c r="M259" s="142" t="n">
        <f aca="false">1626.24/1.2</f>
        <v>1355.2</v>
      </c>
      <c r="N259" s="142" t="n">
        <f aca="false">M259*G259</f>
        <v>2710.4</v>
      </c>
      <c r="O259" s="176" t="s">
        <v>687</v>
      </c>
      <c r="P259" s="142" t="n">
        <f aca="false">1773/1.2</f>
        <v>1477.5</v>
      </c>
      <c r="Q259" s="142" t="n">
        <f aca="false">P259*G259</f>
        <v>2955</v>
      </c>
      <c r="R259" s="221" t="n">
        <f aca="false">(J259+M259+P259)/3</f>
        <v>1462.36388888889</v>
      </c>
      <c r="S259" s="132" t="n">
        <f aca="false">R259*G259</f>
        <v>2924.72777777778</v>
      </c>
      <c r="T259" s="134"/>
      <c r="U259" s="150" t="n">
        <f aca="false">ROUND(J259*100/R259-100,0)</f>
        <v>6</v>
      </c>
      <c r="V259" s="150" t="n">
        <f aca="false">ROUND(M259*100/R259-100,0)</f>
        <v>-7</v>
      </c>
      <c r="W259" s="150" t="n">
        <f aca="false">ROUND(P259*100/R259-100,0)</f>
        <v>1</v>
      </c>
      <c r="X259" s="15"/>
      <c r="Y259" s="2"/>
      <c r="Z259" s="2"/>
      <c r="AA259" s="2"/>
      <c r="AB259" s="2"/>
      <c r="AC259" s="2"/>
      <c r="AD259" s="2"/>
      <c r="AE259" s="211" t="s">
        <v>688</v>
      </c>
      <c r="AF259" s="211" t="n">
        <v>1477.5</v>
      </c>
      <c r="AG259" s="211" t="n">
        <f aca="false">AF259*G259</f>
        <v>2955</v>
      </c>
      <c r="AH259" s="211" t="s">
        <v>689</v>
      </c>
      <c r="AI259" s="211" t="n">
        <v>1208.33</v>
      </c>
      <c r="AJ259" s="211" t="n">
        <f aca="false">AI259*G259</f>
        <v>2416.66</v>
      </c>
      <c r="AK259" s="211" t="s">
        <v>690</v>
      </c>
      <c r="AL259" s="211" t="n">
        <v>700</v>
      </c>
      <c r="AM259" s="129" t="n">
        <f aca="false">AL259*G259</f>
        <v>1400</v>
      </c>
      <c r="AN259" s="211"/>
    </row>
    <row r="260" s="2" customFormat="true" ht="409.5" hidden="false" customHeight="false" outlineLevel="0" collapsed="false">
      <c r="B260" s="33"/>
      <c r="C260" s="145" t="n">
        <v>335</v>
      </c>
      <c r="D260" s="145" t="n">
        <v>167</v>
      </c>
      <c r="E260" s="224" t="s">
        <v>691</v>
      </c>
      <c r="F260" s="225" t="s">
        <v>31</v>
      </c>
      <c r="G260" s="225" t="n">
        <v>45.3</v>
      </c>
      <c r="H260" s="225" t="n">
        <f aca="false">45.3</f>
        <v>45.3</v>
      </c>
      <c r="I260" s="176" t="s">
        <v>692</v>
      </c>
      <c r="J260" s="142" t="n">
        <f aca="false">851/1.2</f>
        <v>709.166666666667</v>
      </c>
      <c r="K260" s="142" t="n">
        <f aca="false">G260*J260</f>
        <v>32125.25</v>
      </c>
      <c r="L260" s="176" t="s">
        <v>693</v>
      </c>
      <c r="M260" s="142" t="n">
        <f aca="false">865/1.2</f>
        <v>720.833333333333</v>
      </c>
      <c r="N260" s="142" t="n">
        <f aca="false">M260*G260</f>
        <v>32653.75</v>
      </c>
      <c r="O260" s="176" t="s">
        <v>694</v>
      </c>
      <c r="P260" s="142" t="n">
        <f aca="false">865/1.2</f>
        <v>720.833333333333</v>
      </c>
      <c r="Q260" s="142" t="n">
        <f aca="false">P260*G260</f>
        <v>32653.75</v>
      </c>
      <c r="R260" s="221" t="n">
        <f aca="false">(J260+M260+P260)/3</f>
        <v>716.944444444445</v>
      </c>
      <c r="S260" s="132" t="n">
        <f aca="false">R260*G260</f>
        <v>32477.5833333333</v>
      </c>
      <c r="T260" s="134"/>
      <c r="U260" s="150" t="n">
        <f aca="false">ROUND(J260*100/R260-100,0)</f>
        <v>-1</v>
      </c>
      <c r="V260" s="150" t="n">
        <f aca="false">ROUND(M260*100/R260-100,0)</f>
        <v>1</v>
      </c>
      <c r="W260" s="150" t="n">
        <f aca="false">ROUND(P260*100/R260-100,0)</f>
        <v>1</v>
      </c>
      <c r="X260" s="15"/>
      <c r="AE260" s="226"/>
      <c r="AF260" s="211"/>
      <c r="AG260" s="211" t="n">
        <f aca="false">AF260*G260</f>
        <v>0</v>
      </c>
      <c r="AH260" s="211"/>
      <c r="AI260" s="211"/>
      <c r="AJ260" s="211" t="n">
        <f aca="false">AI260*G260</f>
        <v>0</v>
      </c>
      <c r="AK260" s="211"/>
      <c r="AL260" s="211"/>
      <c r="AM260" s="129" t="n">
        <f aca="false">AL260*G260</f>
        <v>0</v>
      </c>
      <c r="AN260" s="211"/>
    </row>
    <row r="261" s="198" customFormat="true" ht="165.75" hidden="false" customHeight="false" outlineLevel="0" collapsed="false">
      <c r="A261" s="2"/>
      <c r="B261" s="33"/>
      <c r="C261" s="145" t="n">
        <v>336</v>
      </c>
      <c r="D261" s="145" t="n">
        <v>168</v>
      </c>
      <c r="E261" s="224" t="s">
        <v>695</v>
      </c>
      <c r="F261" s="225" t="s">
        <v>31</v>
      </c>
      <c r="G261" s="225" t="n">
        <v>15</v>
      </c>
      <c r="H261" s="225" t="n">
        <f aca="false">15+15+15+15</f>
        <v>60</v>
      </c>
      <c r="I261" s="141" t="s">
        <v>482</v>
      </c>
      <c r="J261" s="142" t="n">
        <f aca="false">3100/13.5/1.2</f>
        <v>191.358024691358</v>
      </c>
      <c r="K261" s="142" t="n">
        <f aca="false">G261*J261</f>
        <v>2870.37037037037</v>
      </c>
      <c r="L261" s="141" t="s">
        <v>483</v>
      </c>
      <c r="M261" s="142" t="n">
        <v>210.18</v>
      </c>
      <c r="N261" s="142" t="n">
        <f aca="false">M261*G261</f>
        <v>3152.7</v>
      </c>
      <c r="O261" s="141" t="s">
        <v>484</v>
      </c>
      <c r="P261" s="142" t="n">
        <v>201</v>
      </c>
      <c r="Q261" s="142" t="n">
        <f aca="false">P261*G261</f>
        <v>3015</v>
      </c>
      <c r="R261" s="214" t="n">
        <f aca="false">(J261+M261+P261)/3</f>
        <v>200.846008230453</v>
      </c>
      <c r="S261" s="132" t="n">
        <f aca="false">R261*G261</f>
        <v>3012.69012345679</v>
      </c>
      <c r="T261" s="134"/>
      <c r="U261" s="150" t="n">
        <f aca="false">ROUND(J261*100/R261-100,0)</f>
        <v>-5</v>
      </c>
      <c r="V261" s="150" t="n">
        <f aca="false">ROUND(M261*100/R261-100,0)</f>
        <v>5</v>
      </c>
      <c r="W261" s="150" t="n">
        <f aca="false">ROUND(P261*100/R261-100,0)</f>
        <v>0</v>
      </c>
      <c r="X261" s="15"/>
      <c r="Y261" s="2"/>
      <c r="Z261" s="2"/>
      <c r="AA261" s="2"/>
      <c r="AB261" s="2"/>
      <c r="AC261" s="2"/>
      <c r="AD261" s="2"/>
      <c r="AE261" s="211" t="s">
        <v>696</v>
      </c>
      <c r="AF261" s="211" t="n">
        <v>116.61</v>
      </c>
      <c r="AG261" s="211" t="n">
        <f aca="false">AF261*G261</f>
        <v>1749.15</v>
      </c>
      <c r="AH261" s="211" t="s">
        <v>697</v>
      </c>
      <c r="AI261" s="211" t="n">
        <v>83.3</v>
      </c>
      <c r="AJ261" s="211" t="n">
        <f aca="false">AI261*G261</f>
        <v>1249.5</v>
      </c>
      <c r="AK261" s="211"/>
      <c r="AL261" s="211"/>
      <c r="AM261" s="129" t="n">
        <f aca="false">AL261*G261</f>
        <v>0</v>
      </c>
      <c r="AN261" s="211"/>
    </row>
    <row r="262" s="2" customFormat="true" ht="42.75" hidden="false" customHeight="true" outlineLevel="0" collapsed="false">
      <c r="B262" s="33"/>
      <c r="C262" s="145" t="n">
        <v>337</v>
      </c>
      <c r="D262" s="145" t="n">
        <v>170</v>
      </c>
      <c r="E262" s="146" t="s">
        <v>698</v>
      </c>
      <c r="F262" s="145" t="s">
        <v>56</v>
      </c>
      <c r="G262" s="145" t="n">
        <v>4</v>
      </c>
      <c r="H262" s="145" t="n">
        <f aca="false">4</f>
        <v>4</v>
      </c>
      <c r="I262" s="141" t="s">
        <v>482</v>
      </c>
      <c r="J262" s="142" t="n">
        <f aca="false">360/1.2</f>
        <v>300</v>
      </c>
      <c r="K262" s="142" t="n">
        <f aca="false">G262*J262</f>
        <v>1200</v>
      </c>
      <c r="L262" s="141" t="s">
        <v>484</v>
      </c>
      <c r="M262" s="142" t="n">
        <v>315</v>
      </c>
      <c r="N262" s="142" t="n">
        <f aca="false">M262*G262</f>
        <v>1260</v>
      </c>
      <c r="O262" s="141" t="s">
        <v>483</v>
      </c>
      <c r="P262" s="142" t="n">
        <v>329.39</v>
      </c>
      <c r="Q262" s="142" t="n">
        <f aca="false">P262*G262</f>
        <v>1317.56</v>
      </c>
      <c r="R262" s="221" t="n">
        <f aca="false">(J262+M262+P262)/3</f>
        <v>314.796666666667</v>
      </c>
      <c r="S262" s="132" t="n">
        <f aca="false">R262*G262</f>
        <v>1259.18666666667</v>
      </c>
      <c r="T262" s="134"/>
      <c r="U262" s="150" t="n">
        <f aca="false">ROUND(J262*100/R262-100,0)</f>
        <v>-5</v>
      </c>
      <c r="V262" s="150" t="n">
        <f aca="false">ROUND(M262*100/R262-100,0)</f>
        <v>0</v>
      </c>
      <c r="W262" s="150" t="n">
        <f aca="false">ROUND(P262*100/R262-100,0)</f>
        <v>5</v>
      </c>
      <c r="X262" s="15"/>
      <c r="AE262" s="128" t="s">
        <v>699</v>
      </c>
      <c r="AF262" s="211" t="n">
        <v>331.6</v>
      </c>
      <c r="AG262" s="211" t="n">
        <f aca="false">AF262*G262</f>
        <v>1326.4</v>
      </c>
      <c r="AH262" s="211" t="s">
        <v>700</v>
      </c>
      <c r="AI262" s="211" t="n">
        <v>407.05</v>
      </c>
      <c r="AJ262" s="211" t="n">
        <f aca="false">AI262*G262</f>
        <v>1628.2</v>
      </c>
      <c r="AK262" s="211"/>
      <c r="AL262" s="211"/>
      <c r="AM262" s="129" t="n">
        <f aca="false">AL262*G262</f>
        <v>0</v>
      </c>
      <c r="AN262" s="211"/>
    </row>
    <row r="263" s="2" customFormat="true" ht="89.25" hidden="false" customHeight="false" outlineLevel="0" collapsed="false">
      <c r="B263" s="33"/>
      <c r="C263" s="145" t="n">
        <v>338</v>
      </c>
      <c r="D263" s="145" t="n">
        <v>171</v>
      </c>
      <c r="E263" s="224" t="s">
        <v>701</v>
      </c>
      <c r="F263" s="225" t="s">
        <v>56</v>
      </c>
      <c r="G263" s="225" t="n">
        <v>66</v>
      </c>
      <c r="H263" s="225" t="n">
        <f aca="false">66</f>
        <v>66</v>
      </c>
      <c r="I263" s="141" t="s">
        <v>702</v>
      </c>
      <c r="J263" s="142" t="n">
        <v>2631.63</v>
      </c>
      <c r="K263" s="142" t="n">
        <f aca="false">G263*J263</f>
        <v>173687.58</v>
      </c>
      <c r="L263" s="141" t="s">
        <v>703</v>
      </c>
      <c r="M263" s="142" t="n">
        <f aca="false">3315/1.2</f>
        <v>2762.5</v>
      </c>
      <c r="N263" s="142" t="n">
        <f aca="false">M263*G263</f>
        <v>182325</v>
      </c>
      <c r="O263" s="141" t="s">
        <v>704</v>
      </c>
      <c r="P263" s="142" t="n">
        <v>2895.15</v>
      </c>
      <c r="Q263" s="142" t="n">
        <f aca="false">P263*G263</f>
        <v>191079.9</v>
      </c>
      <c r="R263" s="118" t="n">
        <f aca="false">(J263+M263+P263)/3</f>
        <v>2763.09333333333</v>
      </c>
      <c r="S263" s="132" t="n">
        <f aca="false">R263*G263</f>
        <v>182364.16</v>
      </c>
      <c r="T263" s="134"/>
      <c r="U263" s="150" t="n">
        <f aca="false">ROUND(J263*100/R263-100,0)</f>
        <v>-5</v>
      </c>
      <c r="V263" s="150" t="n">
        <f aca="false">ROUND(M263*100/R263-100,0)</f>
        <v>-0</v>
      </c>
      <c r="W263" s="150" t="n">
        <f aca="false">ROUND(P263*100/R263-100,0)</f>
        <v>5</v>
      </c>
      <c r="X263" s="15"/>
      <c r="AE263" s="226"/>
      <c r="AF263" s="211"/>
      <c r="AG263" s="211" t="n">
        <f aca="false">AF263*G263</f>
        <v>0</v>
      </c>
      <c r="AH263" s="211"/>
      <c r="AI263" s="211"/>
      <c r="AJ263" s="211" t="n">
        <f aca="false">AI263*G263</f>
        <v>0</v>
      </c>
      <c r="AK263" s="211"/>
      <c r="AL263" s="211"/>
      <c r="AM263" s="129" t="n">
        <f aca="false">AL263*G263</f>
        <v>0</v>
      </c>
      <c r="AN263" s="211"/>
    </row>
    <row r="264" s="2" customFormat="true" ht="27" hidden="false" customHeight="true" outlineLevel="0" collapsed="false">
      <c r="B264" s="114"/>
      <c r="C264" s="114"/>
      <c r="D264" s="114"/>
      <c r="E264" s="114"/>
      <c r="F264" s="114"/>
      <c r="G264" s="114"/>
      <c r="H264" s="114"/>
      <c r="I264" s="115"/>
      <c r="J264" s="116"/>
      <c r="K264" s="39"/>
      <c r="L264" s="115"/>
      <c r="M264" s="116"/>
      <c r="N264" s="116"/>
      <c r="O264" s="115"/>
      <c r="P264" s="116"/>
      <c r="Q264" s="117"/>
      <c r="R264" s="118"/>
      <c r="S264" s="118"/>
      <c r="T264" s="119"/>
      <c r="U264" s="43"/>
      <c r="V264" s="43"/>
      <c r="W264" s="43"/>
      <c r="AE264" s="6"/>
      <c r="AF264" s="6"/>
      <c r="AG264" s="6"/>
      <c r="AH264" s="6"/>
      <c r="AI264" s="6"/>
      <c r="AJ264" s="6"/>
      <c r="AK264" s="6"/>
      <c r="AL264" s="6"/>
      <c r="AM264" s="7"/>
      <c r="AN264" s="6"/>
    </row>
    <row r="265" s="2" customFormat="true" ht="41.25" hidden="false" customHeight="true" outlineLevel="0" collapsed="false">
      <c r="B265" s="120"/>
      <c r="C265" s="120"/>
      <c r="D265" s="120"/>
      <c r="E265" s="227"/>
      <c r="F265" s="227"/>
      <c r="G265" s="227"/>
      <c r="H265" s="227"/>
      <c r="I265" s="228"/>
      <c r="J265" s="229" t="s">
        <v>705</v>
      </c>
      <c r="K265" s="229"/>
      <c r="L265" s="230"/>
      <c r="M265" s="229"/>
      <c r="N265" s="229"/>
      <c r="O265" s="230"/>
      <c r="P265" s="229"/>
      <c r="Q265" s="229"/>
      <c r="R265" s="231"/>
      <c r="S265" s="232" t="e">
        <f aca="false">сумl196м(S154:S263)</f>
        <v>#NAME?</v>
      </c>
      <c r="T265" s="233"/>
      <c r="U265" s="15"/>
      <c r="V265" s="15"/>
      <c r="W265" s="15"/>
      <c r="AE265" s="6"/>
      <c r="AF265" s="6"/>
      <c r="AG265" s="6"/>
      <c r="AH265" s="6"/>
      <c r="AI265" s="6"/>
      <c r="AJ265" s="6"/>
      <c r="AK265" s="6"/>
      <c r="AL265" s="6"/>
      <c r="AM265" s="7"/>
      <c r="AN265" s="6"/>
    </row>
    <row r="266" s="2" customFormat="true" ht="15" hidden="false" customHeight="false" outlineLevel="0" collapsed="false">
      <c r="I266" s="3"/>
      <c r="J266" s="4"/>
      <c r="K266" s="4"/>
      <c r="L266" s="228"/>
      <c r="M266" s="4"/>
      <c r="N266" s="4"/>
      <c r="O266" s="3"/>
      <c r="P266" s="4"/>
      <c r="Q266" s="4"/>
      <c r="R266" s="13"/>
      <c r="S266" s="13"/>
      <c r="T266" s="6"/>
      <c r="AE266" s="6"/>
      <c r="AF266" s="6"/>
      <c r="AG266" s="6"/>
      <c r="AH266" s="6"/>
      <c r="AI266" s="6"/>
      <c r="AJ266" s="6"/>
      <c r="AK266" s="6"/>
      <c r="AL266" s="6"/>
      <c r="AM266" s="7"/>
      <c r="AN266" s="234"/>
    </row>
    <row r="267" s="2" customFormat="true" ht="15" hidden="false" customHeight="false" outlineLevel="0" collapsed="false">
      <c r="I267" s="3"/>
      <c r="J267" s="4"/>
      <c r="K267" s="4"/>
      <c r="L267" s="228"/>
      <c r="M267" s="4"/>
      <c r="N267" s="4"/>
      <c r="O267" s="3"/>
      <c r="P267" s="4"/>
      <c r="Q267" s="4"/>
      <c r="R267" s="13"/>
      <c r="S267" s="13"/>
      <c r="T267" s="6"/>
      <c r="AE267" s="6"/>
      <c r="AF267" s="6"/>
      <c r="AG267" s="6"/>
      <c r="AH267" s="6"/>
      <c r="AI267" s="6"/>
      <c r="AJ267" s="6"/>
      <c r="AK267" s="6"/>
      <c r="AL267" s="6"/>
      <c r="AM267" s="7"/>
      <c r="AN267" s="234"/>
    </row>
    <row r="268" customFormat="false" ht="15" hidden="false" customHeight="false" outlineLevel="0" collapsed="false">
      <c r="A268" s="2"/>
      <c r="B268" s="2"/>
      <c r="C268" s="2"/>
      <c r="D268" s="2"/>
      <c r="E268" s="2"/>
      <c r="F268" s="2"/>
      <c r="G268" s="2"/>
      <c r="H268" s="2"/>
      <c r="I268" s="3"/>
      <c r="J268" s="4"/>
      <c r="K268" s="4"/>
      <c r="L268" s="3"/>
      <c r="M268" s="4"/>
      <c r="N268" s="4"/>
      <c r="O268" s="3"/>
      <c r="P268" s="4"/>
      <c r="Q268" s="4"/>
      <c r="R268" s="13"/>
      <c r="S268" s="13"/>
      <c r="T268" s="6"/>
      <c r="U268" s="2"/>
      <c r="V268" s="2"/>
      <c r="W268" s="2"/>
      <c r="X268" s="2"/>
      <c r="Y268" s="2"/>
      <c r="Z268" s="2"/>
      <c r="AA268" s="2"/>
      <c r="AB268" s="2"/>
      <c r="AC268" s="2"/>
      <c r="AD268" s="2"/>
      <c r="AE268" s="6"/>
      <c r="AF268" s="6"/>
      <c r="AG268" s="6"/>
      <c r="AH268" s="6"/>
      <c r="AI268" s="6"/>
      <c r="AJ268" s="6"/>
      <c r="AK268" s="6"/>
      <c r="AL268" s="6"/>
      <c r="AM268" s="7"/>
      <c r="AN268" s="234"/>
    </row>
    <row r="269" customFormat="false" ht="409.5" hidden="false" customHeight="false" outlineLevel="0" collapsed="false">
      <c r="A269" s="2"/>
      <c r="B269" s="2"/>
      <c r="C269" s="2"/>
      <c r="D269" s="2"/>
      <c r="E269" s="235" t="s">
        <v>706</v>
      </c>
      <c r="F269" s="235"/>
      <c r="G269" s="235"/>
      <c r="H269" s="235"/>
      <c r="I269" s="236"/>
      <c r="J269" s="237"/>
      <c r="K269" s="237"/>
      <c r="L269" s="236"/>
      <c r="M269" s="237"/>
      <c r="N269" s="237"/>
      <c r="O269" s="236"/>
      <c r="P269" s="237"/>
      <c r="Q269" s="237"/>
      <c r="R269" s="235"/>
      <c r="S269" s="235"/>
      <c r="T269" s="235"/>
      <c r="U269" s="2"/>
      <c r="V269" s="2"/>
      <c r="W269" s="2"/>
      <c r="X269" s="2"/>
      <c r="Y269" s="2"/>
      <c r="Z269" s="2"/>
      <c r="AA269" s="2"/>
      <c r="AB269" s="2"/>
      <c r="AC269" s="2"/>
      <c r="AD269" s="2"/>
      <c r="AE269" s="6"/>
      <c r="AF269" s="6"/>
      <c r="AG269" s="6"/>
      <c r="AH269" s="6"/>
      <c r="AI269" s="6"/>
      <c r="AJ269" s="6"/>
      <c r="AK269" s="6"/>
      <c r="AL269" s="6"/>
      <c r="AM269" s="7"/>
      <c r="AN269" s="234"/>
    </row>
    <row r="270" s="2" customFormat="true" ht="15" hidden="false" customHeight="false" outlineLevel="0" collapsed="false">
      <c r="I270" s="3"/>
      <c r="J270" s="4"/>
      <c r="K270" s="4"/>
      <c r="L270" s="3"/>
      <c r="M270" s="4"/>
      <c r="N270" s="4"/>
      <c r="O270" s="3"/>
      <c r="P270" s="4"/>
      <c r="Q270" s="4"/>
      <c r="R270" s="13"/>
      <c r="S270" s="13"/>
      <c r="T270" s="6"/>
      <c r="AE270" s="6"/>
      <c r="AF270" s="6"/>
      <c r="AG270" s="6"/>
      <c r="AH270" s="6"/>
      <c r="AI270" s="6"/>
      <c r="AJ270" s="6"/>
      <c r="AK270" s="6"/>
      <c r="AL270" s="6"/>
      <c r="AM270" s="7"/>
      <c r="AN270" s="234"/>
    </row>
    <row r="271" customFormat="false" ht="178.5" hidden="false" customHeight="false" outlineLevel="0" collapsed="false">
      <c r="A271" s="2"/>
      <c r="B271" s="2"/>
      <c r="C271" s="2"/>
      <c r="D271" s="2"/>
      <c r="E271" s="235" t="s">
        <v>707</v>
      </c>
      <c r="F271" s="235"/>
      <c r="G271" s="235"/>
      <c r="H271" s="235"/>
      <c r="I271" s="236"/>
      <c r="J271" s="237"/>
      <c r="K271" s="237"/>
      <c r="L271" s="236"/>
      <c r="M271" s="237"/>
      <c r="N271" s="237"/>
      <c r="O271" s="236"/>
      <c r="P271" s="237"/>
      <c r="Q271" s="237"/>
      <c r="R271" s="235"/>
      <c r="S271" s="235"/>
      <c r="T271" s="235"/>
      <c r="U271" s="2"/>
      <c r="V271" s="2"/>
      <c r="W271" s="2"/>
      <c r="X271" s="2"/>
      <c r="Y271" s="2"/>
      <c r="Z271" s="2"/>
      <c r="AA271" s="2"/>
      <c r="AB271" s="2"/>
      <c r="AC271" s="2"/>
      <c r="AD271" s="2"/>
      <c r="AE271" s="6"/>
      <c r="AF271" s="6"/>
      <c r="AG271" s="6"/>
      <c r="AH271" s="6"/>
      <c r="AI271" s="6"/>
      <c r="AJ271" s="6"/>
      <c r="AK271" s="6"/>
      <c r="AL271" s="6"/>
      <c r="AM271" s="7"/>
      <c r="AN271" s="234"/>
    </row>
    <row r="272" customFormat="false" ht="15" hidden="false" customHeight="false" outlineLevel="0" collapsed="false">
      <c r="AF272" s="1"/>
      <c r="AG272" s="1"/>
      <c r="AI272" s="1"/>
      <c r="AJ272" s="1"/>
      <c r="AL272" s="1"/>
      <c r="AM272" s="1"/>
    </row>
    <row r="275" s="175" customFormat="true" ht="15"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153" customFormat="true" ht="15"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175" customFormat="true" ht="15"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175" customFormat="true" ht="15"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175" customFormat="true" ht="15"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153" customFormat="true" ht="15"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153" customFormat="true" ht="15"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153" customFormat="true" ht="15"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153" customFormat="true" ht="15"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175" customFormat="true" ht="15"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175" customFormat="true" ht="15"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175" customFormat="true" ht="15"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153" customFormat="true" ht="15"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175" customFormat="true" ht="15"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175" customFormat="true" ht="15"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175" customFormat="true" ht="15"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153" customFormat="true" ht="15"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153" customFormat="true" ht="15"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153" customFormat="true" ht="15"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2" customFormat="true" ht="15"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2" customFormat="true" ht="15"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2" customFormat="true" ht="15"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2" customFormat="true" ht="15"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2" customFormat="true" ht="15"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2" customFormat="true" ht="15"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3" s="175" customFormat="true" ht="15"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5" s="175" customFormat="true" ht="15"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8" customFormat="false" ht="15" hidden="false" customHeight="false" outlineLevel="0" collapsed="false">
      <c r="E308" s="1" t="s">
        <v>708</v>
      </c>
      <c r="F308" s="1" t="s">
        <v>709</v>
      </c>
    </row>
    <row r="309" customFormat="false" ht="15" hidden="false" customHeight="false" outlineLevel="0" collapsed="false">
      <c r="E309" s="1" t="s">
        <v>710</v>
      </c>
      <c r="F309" s="1" t="s">
        <v>711</v>
      </c>
    </row>
    <row r="310" customFormat="false" ht="15" hidden="false" customHeight="false" outlineLevel="0" collapsed="false">
      <c r="E310" s="1" t="s">
        <v>712</v>
      </c>
      <c r="F310" s="1" t="s">
        <v>713</v>
      </c>
    </row>
    <row r="315" s="175" customFormat="true" ht="15"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175" customFormat="true" ht="15"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9" s="175" customFormat="true" ht="15"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3" s="175" customFormat="true" ht="15"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33" s="2" customFormat="true" ht="15"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2" customFormat="true" ht="15"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7" s="2" customFormat="true" ht="15"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2" customFormat="true" ht="15"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2" customFormat="true" ht="15"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2" customFormat="true" ht="15"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2" customFormat="true" ht="15"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2" customFormat="true" ht="15"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2" customFormat="true" ht="15"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2" customFormat="true" ht="15"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6" s="2" customFormat="true" ht="15"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2" customFormat="true" ht="15"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2" customFormat="true" ht="15" hidden="false" customHeight="fals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2" customFormat="true" ht="15" hidden="false" customHeight="fals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2" customFormat="true" ht="15" hidden="false" customHeight="fals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5" s="2" customFormat="true" ht="15" hidden="false" customHeight="fals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2" customFormat="true" ht="15" hidden="false" customHeight="fals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sheetData>
  <autoFilter ref="E9:T84"/>
  <mergeCells count="22">
    <mergeCell ref="R1:T1"/>
    <mergeCell ref="R2:T2"/>
    <mergeCell ref="A3:T3"/>
    <mergeCell ref="A5:T5"/>
    <mergeCell ref="A7:A9"/>
    <mergeCell ref="B7:B9"/>
    <mergeCell ref="C7:C9"/>
    <mergeCell ref="D7:D9"/>
    <mergeCell ref="E7:E9"/>
    <mergeCell ref="F7:F9"/>
    <mergeCell ref="G7:G9"/>
    <mergeCell ref="I7:K8"/>
    <mergeCell ref="L7:N8"/>
    <mergeCell ref="O7:Q8"/>
    <mergeCell ref="R7:R9"/>
    <mergeCell ref="S7:S9"/>
    <mergeCell ref="T7:T9"/>
    <mergeCell ref="U7:W8"/>
    <mergeCell ref="AE7:AG8"/>
    <mergeCell ref="AH7:AJ8"/>
    <mergeCell ref="AK7:AM8"/>
    <mergeCell ref="AN7:AN9"/>
  </mergeCells>
  <conditionalFormatting sqref="U10:W82 U84:W103">
    <cfRule type="expression" priority="2" aboveAverage="0" equalAverage="0" bottom="0" percent="0" rank="0" text="" dxfId="9">
      <formula>AND(#ref!&lt;-20,#ref!&lt;0)</formula>
    </cfRule>
    <cfRule type="expression" priority="3" aboveAverage="0" equalAverage="0" bottom="0" percent="0" rank="0" text="" dxfId="10">
      <formula>AND(#ref!&gt;20,#ref!&gt;0)</formula>
    </cfRule>
  </conditionalFormatting>
  <conditionalFormatting sqref="U138:W145">
    <cfRule type="expression" priority="4" aboveAverage="0" equalAverage="0" bottom="0" percent="0" rank="0" text="" dxfId="11">
      <formula>AND(U138&lt;-20,U138&lt;0)</formula>
    </cfRule>
    <cfRule type="expression" priority="5" aboveAverage="0" equalAverage="0" bottom="0" percent="0" rank="0" text="" dxfId="12">
      <formula>AND(U138&gt;20,U138&gt;0)</formula>
    </cfRule>
  </conditionalFormatting>
  <conditionalFormatting sqref="U130:W137">
    <cfRule type="expression" priority="6" aboveAverage="0" equalAverage="0" bottom="0" percent="0" rank="0" text="" dxfId="13">
      <formula>AND(U130&lt;-20,U130&lt;0)</formula>
    </cfRule>
    <cfRule type="expression" priority="7" aboveAverage="0" equalAverage="0" bottom="0" percent="0" rank="0" text="" dxfId="14">
      <formula>AND(U130&gt;20,U130&gt;0)</formula>
    </cfRule>
  </conditionalFormatting>
  <conditionalFormatting sqref="U128:W129">
    <cfRule type="expression" priority="8" aboveAverage="0" equalAverage="0" bottom="0" percent="0" rank="0" text="" dxfId="15">
      <formula>AND(U128&lt;-20,U128&lt;0)</formula>
    </cfRule>
    <cfRule type="expression" priority="9" aboveAverage="0" equalAverage="0" bottom="0" percent="0" rank="0" text="" dxfId="16">
      <formula>AND(U128&gt;20,U128&gt;0)</formula>
    </cfRule>
  </conditionalFormatting>
  <conditionalFormatting sqref="U121:W127">
    <cfRule type="expression" priority="10" aboveAverage="0" equalAverage="0" bottom="0" percent="0" rank="0" text="" dxfId="17">
      <formula>AND(U121&lt;-20,U121&lt;0)</formula>
    </cfRule>
    <cfRule type="expression" priority="11" aboveAverage="0" equalAverage="0" bottom="0" percent="0" rank="0" text="" dxfId="18">
      <formula>AND(U121&gt;20,U121&gt;0)</formula>
    </cfRule>
  </conditionalFormatting>
  <conditionalFormatting sqref="U113:W120">
    <cfRule type="expression" priority="12" aboveAverage="0" equalAverage="0" bottom="0" percent="0" rank="0" text="" dxfId="19">
      <formula>AND(U113&lt;-20,U113&lt;0)</formula>
    </cfRule>
    <cfRule type="expression" priority="13" aboveAverage="0" equalAverage="0" bottom="0" percent="0" rank="0" text="" dxfId="20">
      <formula>AND(U113&gt;20,U113&gt;0)</formula>
    </cfRule>
  </conditionalFormatting>
  <conditionalFormatting sqref="U106:W112">
    <cfRule type="expression" priority="14" aboveAverage="0" equalAverage="0" bottom="0" percent="0" rank="0" text="" dxfId="21">
      <formula>AND(U106&lt;-20,U106&lt;0)</formula>
    </cfRule>
    <cfRule type="expression" priority="15" aboveAverage="0" equalAverage="0" bottom="0" percent="0" rank="0" text="" dxfId="22">
      <formula>AND(U106&gt;20,U106&gt;0)</formula>
    </cfRule>
  </conditionalFormatting>
  <conditionalFormatting sqref="U104:W105 U146:W152">
    <cfRule type="expression" priority="16" aboveAverage="0" equalAverage="0" bottom="0" percent="0" rank="0" text="" dxfId="23">
      <formula>AND(U104&lt;-20,U104&lt;0)</formula>
    </cfRule>
    <cfRule type="expression" priority="17" aboveAverage="0" equalAverage="0" bottom="0" percent="0" rank="0" text="" dxfId="24">
      <formula>AND(U104&gt;20,U104&gt;0)</formula>
    </cfRule>
  </conditionalFormatting>
  <conditionalFormatting sqref="U154:W263">
    <cfRule type="expression" priority="18" aboveAverage="0" equalAverage="0" bottom="0" percent="0" rank="0" text="" dxfId="25">
      <formula>AND(U154&lt;-20,U154&lt;0)</formula>
    </cfRule>
    <cfRule type="expression" priority="19" aboveAverage="0" equalAverage="0" bottom="0" percent="0" rank="0" text="" dxfId="26">
      <formula>AND(U154&gt;20,U154&gt;0)</formula>
    </cfRule>
  </conditionalFormatting>
  <hyperlinks>
    <hyperlink ref="I11" r:id="rId1" display="https://www.vseinstrumenti.ru/product/universalnoe-sredstvo-dlya-ochistki-ekoaktiv-50-4603784315009-1505506/"/>
    <hyperlink ref="L11" r:id="rId2" display="https://garwin.ru/tovar/promyshlennyy-ochistitel-ekoaktiv-20-l"/>
    <hyperlink ref="O11" r:id="rId3" display="https://www.chipdip.ru/product0/8011076829"/>
    <hyperlink ref="X11" r:id="rId4" display="https://loctite.gluesale.ru/ind/anaerob/flange_fixation/142502/"/>
    <hyperlink ref="Z11" r:id="rId5" display="https://www.abc-nn.ru/autohimia/vysokotemperaturnye_germetiki/?aeID=20276"/>
    <hyperlink ref="AB11" r:id="rId6" display="https://svm24.ru/catalog/tekhnicheskaya_khimiya/germetik_prokladka_vysokotemperaturnyy_343_s_krasnyy_tyubik_85_gr_avk_345/"/>
    <hyperlink ref="I12" r:id="rId7" display="https://bpks.ru/product/labomid-m?yclid=5545745816781062143"/>
    <hyperlink ref="L12" r:id="rId8" display="https://vetagro161.ru/shop/goods/moyuschee_sredstvo_labomid_m_-1199523053?ysclid=lvc2gleqh0552187812"/>
    <hyperlink ref="O12" r:id="rId9" display="https://ugreaktiv-galvanika.ru/magazin-2/product/moyushchee-sredstvo-labomid-203-s-vysokoj-ochishchayushchej-sposobnostyu-1?ysclid=lvc2am6k3f983367692"/>
    <hyperlink ref="I13" r:id="rId10" display="https://nizhnij-novgorod.regtorg.ru/goods/t511475-negagel_universalnoe_mojuschee_sredstvo.htm"/>
    <hyperlink ref="O13" r:id="rId11" display="https://fe-ltd.ru/catalog/khozyaystvennye-tovary/moyushchee-sredstvo-nega.html"/>
    <hyperlink ref="I14" r:id="rId12" display="https://npo-mhc.ru/product/smazka-lita/?ysclid=lvc32feni5920337600"/>
    <hyperlink ref="L14" r:id="rId13" display="https://www.zarechie.ru/catalogue/lubricants/low-temperature/lita.html"/>
    <hyperlink ref="O14" r:id="rId14" display="https://satom.ru/p/621118245-smazka-lita-5kg/?ysclid=lvc45fgdzw82950893"/>
    <hyperlink ref="I18" r:id="rId15" display="https://vdkras.ru/shop/goods/nerjamet_3_v_1_kraska_dlya_metalla_po_rjavchine_antikorrozionnaya_alkidnaya_kraska_po_metallu_20_kg-619?ysclid=lvc5i8uezt535849208"/>
    <hyperlink ref="L18" r:id="rId16" display="https://zentrkrasok.ru/catalog/grunt-emali-po-metallu-i-rzhavchine/nerzhamet-antikorrozionnaya-kraska-dlya-metalla-po-rzhavchine-3-v-1-10-kg.html?ysclid=lvde2ugcjx603732068"/>
    <hyperlink ref="O18" r:id="rId17" display="https://www.vse-kraski.ru/catalog/emali/7497-emal_nerzhamet.html?ysclid=lvde4kfuio914654908"/>
    <hyperlink ref="I19" r:id="rId18" display="https://npp-sofit.ru/internetmagazin/product/antikorrozionnaya-grunt-emalevaya-kompoziciya-kornika"/>
    <hyperlink ref="X21" r:id="rId19" display="https://dkc-msk.ru/products/lotok-perforirovannyy-400kh100-l3000-tolshch-1-2-mm-3534512/"/>
    <hyperlink ref="Z21" r:id="rId20" display="https://www.dkcmarket.ru/3534512.html"/>
    <hyperlink ref="AB21" r:id="rId21" display="https://ekfgroup.com/catalog/products/lotok-perforirovannyj-metallicheskij-100-400x3000-1-2mm-12m-hdz-ekf"/>
    <hyperlink ref="AD21" r:id="rId22" display="https://rs24.ru/product/21333"/>
    <hyperlink ref="X22" r:id="rId23" display="https://ekfgroup.com/catalog/products/lotok-perforirovannyj-metallicheskij-50-400x3000-1-2mm-12-m-ekf"/>
    <hyperlink ref="I27" r:id="rId24" display="https://www.rezina-evraz.ru/goods/229554451-nabivka_pgn_3100"/>
    <hyperlink ref="L27" r:id="rId25" display="https://nn.pulscen.ru/products/nabivka_pgn_3100_229554451?ysclid=lvdqj5zivi891522434"/>
    <hyperlink ref="L31" r:id="rId26" display="https://pd-shop.ru/nasos-drenazhnyj-pedrollo-dm-30-kabel-10m?ysclid=lvezrfxgsv121982973"/>
    <hyperlink ref="O31" r:id="rId27" display="https://e-nasos.ru/drenajnye/pedrollo/d/dm30-n-10m?uta_channel=yandex_v3_cl1000117_search_none_type1_c26848922_g3113400984_a5197035063_k11934781882&amp;yclid=13314420956541747199"/>
    <hyperlink ref="L32" r:id="rId28" display="https://nnov.tssib.ru/nasosnoe-oborudovanie/drenazhnye/pedrollo/nasos-pedrollo-dm-10/?ysclid=lvf6adjnas474789919"/>
    <hyperlink ref="O32" r:id="rId29" display="https://pd-shop.ru/nasos-drenazhnyj-pedrollo-dm-10?ysclid=lvf69ncrv11839670"/>
    <hyperlink ref="I33" r:id="rId30" display="https://top-tehno.store/avtoshampun-rein-premium-20-kg-17l-0-001-503"/>
    <hyperlink ref="L33" r:id="rId31" display="https://bistrotehnika.ru/sadovaya-tehnika/professionalnye-mojki-minimojki/aksessuary-dlya-mojki/avtoshampun-rein-premium-20-kg-17l-0-001-503.html"/>
    <hyperlink ref="O33" r:id="rId32" display="https://texuborka.ru/product/avtoshampun-rein-agent-s-20-l/?ysclid=lvf6ro86f483183781"/>
    <hyperlink ref="X33" r:id="rId33" display="https://superoil.ru/shop/smazki/kluber-asonic-ghy-72-1-kg-smazka-dlya-podshipnikov-kacheniya/"/>
    <hyperlink ref="L35" r:id="rId34" display="https://korporacia.ru/смазка-политерм?utm_source=YandexDirect&amp;utm_medium=cpc&amp;utm_campaign=102854659&amp;utm_content=1827549063441118906&amp;utm_term=---autotargeting&amp;yclid=13517762041992970239"/>
    <hyperlink ref="O35" r:id="rId35" display="https://www.beoil.ru/smazki/termostoykie/politerm-s-1-18-kg"/>
    <hyperlink ref="I36" r:id="rId36" display="https://appnn.ru/catalog/promyshlennaya_khimiya/kley/24987/?ysclid=lvf7oth56y297583143"/>
    <hyperlink ref="L36" r:id="rId37" display="https://loctite.com.ru/loctite-195678"/>
    <hyperlink ref="O36" r:id="rId38" display="https://loctite.gluesale.ru/ind/cyanoacrylate_glue/142597/"/>
    <hyperlink ref="L37" r:id="rId39" display="https://www.geo-st.ru/catalogue/komplekty-dlya-tsd/penetrant_sherwin_dp_51/?ysclid=lvgnicbctk242917777"/>
    <hyperlink ref="L38" r:id="rId40" display="https://www.centr-kachestvo.ru/catalog/-_29/sherwin_d_100_proqvitelx_a_rozolx_500_ml_1/"/>
    <hyperlink ref="O38" r:id="rId41" display="https://acnkru.ru/catalog/d-100/"/>
    <hyperlink ref="L39" r:id="rId42" display="https://www.centr-kachestvo.ru/catalog/cvetnoj_metod/ochistitelx_sherwin_dr_60_a_rozolx_500ml_1/?sphrase_id=246907"/>
    <hyperlink ref="O39" r:id="rId43" display="https://acnkru.ru/catalog/ochistitel-dr-60/"/>
    <hyperlink ref="I40" r:id="rId44" display="https://order-nn.ru/kmo/catalog/7021/325898?ysclid=lvgas8j1jd55589706"/>
    <hyperlink ref="L40" r:id="rId45" display="https://stroykray.ru/krug-lepestkovyj-torcevoj-klt1-r60-25-125-h-22-m-92181"/>
    <hyperlink ref="O40" r:id="rId46" display="https://www.krepco.ru/catalog/raskhodnye-materialy/diski/krug-lepestkovyy-tortsevoy/krug-lepestkovyy-tortsevoy-180-22-25/"/>
    <hyperlink ref="X40" r:id="rId47" display="https://baki.ru/katalog/teploventilyatory/elektroteploventilyator-etv-3-uspekh-3-kvt-na-100-m3-detail"/>
    <hyperlink ref="Z40" r:id="rId48" display="https://www.vent-style.ru/goods/etv-3-ten"/>
    <hyperlink ref="AB40" r:id="rId49" display="https://www.roomklimat.ru/catalog/otoplenie/teplovye-pushki/teplovye-pushki-elektricheskie/teplovye-pushki-elektricheskie-etv/elektricheskaya-teplovaya-pushka-etv-3-3kvt-220v/"/>
    <hyperlink ref="I48" r:id="rId50" display="https://halal-spb.ru/product/zhir-govyazhiy"/>
    <hyperlink ref="I49" r:id="rId51" display="https://shukur.ru/products/avtogermetik-prokladka-avtosil-180-gr.-685"/>
    <hyperlink ref="L49" r:id="rId52" display="https://kealan.ru/catalog/834/22325/"/>
    <hyperlink ref="O49" r:id="rId53" display="https://www.vseinstrumenti.ru/product/avtogermetik-prokladka-kazanskij-silikon-180-g-7012019w180-11266886/?ysclid=ly5h2yjh3k835818896"/>
    <hyperlink ref="I50" r:id="rId54" display="https://teplo-as.ru/catalogue/boiler/electro/kotel-evan-epo-72/?ysclid=lvgew0l4r4187183497"/>
    <hyperlink ref="L50" r:id="rId55" display="https://valterra.ru/catalog/elektrootopitelnye-kotly/elektrootopitelnye-kotly-klassa-professional-epo-72-120-evan/?ysclid=lvgexi9ujf846243869"/>
    <hyperlink ref="O50" r:id="rId56" location="section-performance-overview" display="https://mircli.ru/evan-epo-72/#section-performance-overview"/>
    <hyperlink ref="I51" r:id="rId57" display="https://mircli.ru/evan-epvn-120/"/>
    <hyperlink ref="L51" r:id="rId58" display="https://kotel-evan.ru/epvn-120-kvt-protochnyiy-elektricheskiy-vodonagrevatel/"/>
    <hyperlink ref="O51" r:id="rId59" display="https://nnov.kuvalda.ru/catalog/10581/product-52167/?ysclid=lvgek5rvn0128917644"/>
    <hyperlink ref="L53" r:id="rId60" display="https://www.virage24.ru/shop/elastichnyy-material-em-1-gost-15960-96-10-160mm/"/>
    <hyperlink ref="O53" r:id="rId61" display="https://ttochka.com/catalog/10-160-em-1-lenta-tormoznaya/"/>
    <hyperlink ref="I54" r:id="rId62" display="https://best-vendor.ru/product/belting-filtrovalnyj/"/>
    <hyperlink ref="L54" r:id="rId63" display="https://td-ogural.ru/catalog/filtrovalnye_tkani/khlopchatobumazhnye_tkani/2295/?ysclid=lvgdcx79e3540594738"/>
    <hyperlink ref="O54" r:id="rId64" display="https://ttkan.ru/product/tkan-belting-bf-bd-art-2030-gost-332-91-shirinoj-140sm/?ysclid=lvgdaxm6na306566837"/>
    <hyperlink ref="I55" r:id="rId65" display="https://santehtula.com/catalog/klapany-chugunnye/39439/"/>
    <hyperlink ref="L55" r:id="rId66" display="https://tehtepla.ru/catalog/ventili/ventili_chugunnye/10104/"/>
    <hyperlink ref="O55" r:id="rId67" display="https://teharmatura.ru/catalog/truboprovodnaya-armatura/ventili_klapany_zapornye/ventili_chugunnye/ventili_15kch18p/34256/"/>
    <hyperlink ref="I56" r:id="rId68" display="https://valtec.ru/catalog/truboprovodnaya_armatura/sharovye_krany_dlya_vody_standart_pn40/vt120gn_kran_sharovoj_standart_s_dlinnoj_rukoyatkoj_i_vnutrennej_rezboj.html"/>
    <hyperlink ref="L56" r:id="rId69" location="features-tab" display="https://all4bath.ru/inzhenernaya-santekhnika/zapornaya-armatura/sharovye-krany/kran-sharovyy-valtec-standart-dlinnaya-rukoyatka-3-4-vn-vn-pn40-vt-120-gn-05/#features-tab"/>
    <hyperlink ref="O56" r:id="rId70" display="https://www.termokit.ru/product/kran_sharovoy_valtec_standart_3_4_vv_pn40_rychag.htm?ysclid=lvgcxjsd96603051771"/>
    <hyperlink ref="I70" r:id="rId71" display="https://www.stoc.ru/catalog/oborudovanie-dlya-sistem-pozharotusheniya/golovka-gm-50-napornaya-muftovaya-gost-28352-89/?ysclid=lvdv3qocmh574812107"/>
    <hyperlink ref="L70" r:id="rId72" display="https://www.magazin01.ru/catalog/rukava-inventar/Stvoly-pojarnye-i-golovki-soedinitelnye/Golovki-napornye/Golovka-muftovaya-GM-50/?ysclid=lvduk2dh8322797419"/>
    <hyperlink ref="O70" r:id="rId73" display="https://dn.ru/pojarnoe_oborudovanie/armatura/golovka/apogej/gm/dn50"/>
    <hyperlink ref="I71" r:id="rId74" display="https://nizhnij-novgorod.eterial.com/catalog/soplo-dlya-moyushchey-golovki-hkf-50-030/"/>
    <hyperlink ref="L71" r:id="rId75" display="https://k-nadom.ru/catalog/soplo_dlya_moyuschey_golovki_hkf_50_030/?ysclid=lvex16zbus76110799"/>
    <hyperlink ref="O71" r:id="rId76" display="https://k24-shop.ru/products/53238973?ysclid=lvex84ul9r391632205"/>
    <hyperlink ref="I72" r:id="rId77" display="https://letfix.ru/rigging/chain/8x24_mm_kruglozvennye_kalibrovannye.html?ysclid=lveyabgpx7288427672"/>
    <hyperlink ref="L72" r:id="rId78" display="https://www.nordicwind.ru/catalog/44/531/?ysclid=lvexpx9b8g55232772"/>
    <hyperlink ref="O72" r:id="rId79" location="shop2-tabs-1" display="https://ocalift.ru/cepi-gruzovye-g80/cepi-dlya-cepnyh-strop/8x24-dlya-cepnyh-strop?ysclid=lvexzqnt78516282455#shop2-tabs-1"/>
    <hyperlink ref="I73" r:id="rId80" display="https://www.etm.ru/cat/nn/2103010"/>
    <hyperlink ref="L73" r:id="rId81" display="https://www.chipdip.ru/product0/8000848990"/>
    <hyperlink ref="O73" r:id="rId82" display="https://www.electro-mpo.ru/catalog/rele_puskateli_kontaktory/a45_puskateli_i_kontaktory_na_380v_kashin_kemerovo/a4515_puskatel_magnitnyy_pme_211_380v_25a_2z_2r_ip/"/>
    <hyperlink ref="I82" r:id="rId83" display="https://gremir.ru/otvody-krutoizognutye-gost-17375/stalnye-stal-20/90-gradusov-gr/otvod-stalnoy-90-gradusov-89h6-89-6/?ysclid=ly89gwhygt419702973"/>
    <hyperlink ref="L82" r:id="rId84" display="https://www.vseinstrumenti.ru/product/krutoizognutyj-otvod-smgtool-d-89x6-stal-20-gost-89602017375-2890100/?ysclid=lz9rsywfzu792260894"/>
    <hyperlink ref="O82" r:id="rId85" display="https://dn.ru/fiting/otvody/stalnye/rus/17375-2001-zn/89-6"/>
    <hyperlink ref="I86" r:id="rId86" display="https://www.etm.ru/cat/nn/9770437"/>
    <hyperlink ref="L86" r:id="rId87" display="https://rs24.ru/product/49478"/>
    <hyperlink ref="O86" r:id="rId88" display="https://www.minimaks.ru/product/usilennyy-klinovoy-anker-m8x65-kod-cm480865-dkc/"/>
    <hyperlink ref="I87" r:id="rId89" display="https://emal-kanash.ru/catalog/grunt-emal/?item=72"/>
    <hyperlink ref="I88" r:id="rId90" display="https://emal-kanash.ru/catalog/grunt-emal/?item=72"/>
    <hyperlink ref="I89" r:id="rId91" display="https://megamarket.ru/catalog/details/hammerite-smooth-grunt-emal-3v1-na-rzhavchinu-chernyy-ral-9005-gladkiy-glyancevyy-25l-100034479961/"/>
    <hyperlink ref="L89" r:id="rId92" display="https://nizhny-novgorod.climate-group.ru/grunt-emal-3-v-1-hammerite-glyantsevaya-tsvet-chernyy-ral9005-5-l/"/>
    <hyperlink ref="I90" r:id="rId93" display="https://horoshie-kraski.ru/catalog/81194002_color_expert_kist_fleytsevaya_40mm_tolshch_6mm_smeshannaya_svetlaya_shchetina_ruchka_tverdo.html"/>
    <hyperlink ref="L90" r:id="rId94" display="https://www.vseinstrumenti.ru/product/flejtsevaya-kist-color-expert-40mm-81344002-979617/?ysclid=lxiqhyr2a1367167712"/>
    <hyperlink ref="I91" r:id="rId95" display="https://www.chipdip.ru/product0/8000756344"/>
    <hyperlink ref="L91" r:id="rId96" display="https://www.etm.ru/cat/nn/9694462"/>
    <hyperlink ref="O91" r:id="rId97" display="https://www.idkc.ru/product/dkc-35103/100369"/>
    <hyperlink ref="I92" r:id="rId98" display="https://www.idkc.ru/product/dkc-35023hdz/101948"/>
    <hyperlink ref="L92" r:id="rId99" display="https://rs24.ru/product/138269"/>
    <hyperlink ref="O92" r:id="rId100" display="https://elevel.ru/shop/kabelnye-lotki/-kabelnyy-lotok-listovoy/dkc-lotok-150kh50-l3000-goryacheotsinkovannyy/"/>
    <hyperlink ref="L93" r:id="rId101" display="https://dkc.spb.ru/kryshka-na-lotok-s-zazemleniem-osn-150-l3000-goryacheocinkovannaya.html"/>
    <hyperlink ref="O93" r:id="rId102" display="https://www.etm.ru/cat/nn/9861355"/>
    <hyperlink ref="I94" r:id="rId103" display="https://www.etm.ru/cat/nn/9752624"/>
    <hyperlink ref="L94" r:id="rId104" display="https://www.idkc.ru/product/dkc-cm010610/116754"/>
    <hyperlink ref="O94" r:id="rId105" display="https://rs24.ru/product/28459"/>
    <hyperlink ref="I95" r:id="rId106" display="https://elevel.ru/shop/instrumenty-i-montazhnye-materialy/montazhnye-materialy/metizy/dkc-6_44016/"/>
    <hyperlink ref="L95" r:id="rId107" display="https://rs24.ru/product/81907"/>
    <hyperlink ref="O95" r:id="rId108" display="https://www.etm.ru/cat/nn/9752636"/>
    <hyperlink ref="I96" r:id="rId109" display="https://arlight.ru/catalog/product/016989/?ysclid=lz0y9ogoqu134802375"/>
    <hyperlink ref="L96" r:id="rId110" display="https://nn.ugol-ok.com/catalog/profil-dlya-svetodiodnoy-lenty/podvesnoy/profil-dlya-svetodiodnoy-lenty-50mm/index.php?oid=7505&amp;ysclid=lz0y85qdbp187200667"/>
    <hyperlink ref="O96" r:id="rId111" display="https://www.elektro.ru/product/arlight_alyuminievyy_profil_top-linia53-2000_anod/?ysclid=lz0y75w81r839685200"/>
    <hyperlink ref="L97" r:id="rId112" display="https://plan01.ru/fotolyuminescentnaya-svetonakopitelnaya-lenta-s-izobrazheniem-shirinoj-50-mm-na-tverdoj-osnove-pvh-2mm"/>
    <hyperlink ref="O97" r:id="rId113" display="https://oohreklama.ru/index.php?dispatch=mp_vendor_store.view&amp;product_id=1269461&amp;ysclid=lz8e9s1xe2120305599"/>
    <hyperlink ref="I105" r:id="rId114" display="https://chimautotrade.ru/shop/product/winkel-pro-automatic-cartridge-liquid-gasket-oxyme-grey-silikonovyy-neytralnyy-kley-germetik-dlya-formirovaniya-prokladok-seryy/"/>
    <hyperlink ref="L105" r:id="rId115" display="https://super-kley.ru/flange-seals/winkel-pro-5w18 "/>
    <hyperlink ref="I107" r:id="rId116" display="https://eonk.ru/products/zamok-dlya-schitka-tundra-pod-trehgrannyy-klyuch-bez-klyuchey"/>
    <hyperlink ref="I109" r:id="rId117" display="https://mircli.ru/Mdv-MDTI-48HWN1-MDOU-48HN1-L/"/>
    <hyperlink ref="L109" r:id="rId118" display="https://iclim.ru/catalog/konditsionery/kanalnye/mdv_mdti_48hwn1_mdou_48hn1_l/"/>
    <hyperlink ref="O109" r:id="rId119" display="https://climstore.ru/product/mdv-mdti-48hwn1-mdou-48hn1-l-kanalnaya-split-sistema/"/>
    <hyperlink ref="L139" r:id="rId120" display="https://eko-tec.ru/product/5168984/?yclid=13925813857912619007"/>
    <hyperlink ref="O139" r:id="rId121" display="https://www.wildberries.ru/catalog/212954024/detail.aspx"/>
    <hyperlink ref="I140" r:id="rId122" display="https://www.tehnoclime.ru/products/split-sistema-mitsubishi-heavy-srk20zspr-ssrc20zspr-s-seriya-standart"/>
    <hyperlink ref="L140" r:id="rId123" display="https://planetatechniki.ru/catalog/byitovyie/nastennyie-kondiczioneryi/811-mitsubishi-heavy/seriy-standart-inverter/nastennyij-kondiczioner-mitsubishi-heavy-srk25zmp-sjsrc25zmp-sj"/>
    <hyperlink ref="I142" r:id="rId124" display="https://www.etm.ru/cat/nn/3841091"/>
    <hyperlink ref="L142" r:id="rId125" display="https://rs24.ru/product/250325"/>
    <hyperlink ref="O142" r:id="rId126" display="https://www.chipdip.ru/product0/8014397390?utm_source=direct&amp;utm_medium=cpc&amp;position_type=other%7Ck50id%7C010000005534600_5534600%7Ccid%7C108406362%7Cgid%7C5417208505%7Caid%7C15932461528%7Csrc%7Csearch_none&amp;utm_campaign=Y_dinamicheskaya&amp;utm_content=text1_ya&amp;utm_term=&amp;yclid=14296139258055098367"/>
    <hyperlink ref="I143" r:id="rId127" display="https://electroline.ru/product/skt300-540x-ctyazhka-kab-khomut-spec-kon-pa-66-chernyy-uf-76kh300mm-skt300-540x.html"/>
    <hyperlink ref="L143" r:id="rId128" display="https://ledgoods.ru/ehlektrotekhnika/material-montazhnyj/styazhki-homuty/styazhka-kabelnaya-300kh7-6mm-chernyj-100sht-skt300-540x-100-7tca300300r0000-abb/"/>
    <hyperlink ref="O143" r:id="rId129" display="https://www.rkm-electro.ru/product/ctyazhka-kab-khomut-spec-kon-pa-66-chernyy-uf-7-6kh300mm-skt300-540x-100-abb/"/>
    <hyperlink ref="I144" r:id="rId130" display="https://electroline.ru/product/skt300-220x-100-ctyazhka-kab-khomut-spec-kon-pa-66-chernyy-uf-48kh300mm-skt300-220x-100.html"/>
    <hyperlink ref="L144" r:id="rId131" display="https://ledgoods.ru/ehlektrotekhnika/material-montazhnyj/styazhki-homuty/styazhka-kabelnaya-300kh4-8mm-chernaya-100sht-skt300-220x-100-7tca300220r0003-abb/"/>
    <hyperlink ref="I149" r:id="rId132" display="https://www.vseinstrumenti.ru/product/shlifshkurka-bobina-6n-0-1x50-m-p180-14a-na-tkanevoj-osnove-vodostojkaya-cnic-54038-6840097/?ysclid=lwypmeq71n614041303"/>
    <hyperlink ref="L149" r:id="rId133" display="https://pmtehno.ru/instrumenty/abrazivnyj-instrument/shlifshkurka/shlifshkurka-na-tkanevoj-osnove-vodost/shlifshkurka-bobina--6n-p180-14a-na-tkanevoy-osnove-vodostoykaya-bobina-0150kh50metrov-cnic"/>
    <hyperlink ref="O149" r:id="rId134" display="https://www.chipdip.ru/product0/8021349018?utm_source=direct&amp;utm_medium=cpc&amp;position_type=premium%7Ck50id%7C010000005534682_5534682%7Ccid%7C108407036%7Cgid%7C5417217906%7Caid%7C15932527553%7Csrc%7Csearch_none&amp;utm_campaign=Y_dinamicheskaya_ext&amp;utm_content=text1_ya&amp;utm_term=&amp;yclid=9286793625273630719"/>
    <hyperlink ref="L150" r:id="rId135" display="https://www.zkabel.ru/catalog/metallorukav/metallorukav-v-pvkh-izolyatsii/shlang-shem-elektromontazhnyy/shlang-elektromontazhnyy-shem-22-u2-5-zeta/"/>
    <hyperlink ref="O150" r:id="rId136" display="https://vilden.ru/products/shlang-elektromontazhnyj-shem-22-u25-d22mm-up50m-gofromatikzetarus-zeta42710?utm_source=se_new_yandex&amp;utm_medium=se_cpc&amp;utm_campaign=97864972&amp;utm_content=15562648498&amp;utm_term=---autotargeting&amp;yclid=6492831790404468735"/>
    <hyperlink ref="I193" r:id="rId137" display="https://isotop-nn.ru/catalog/osb_3_montazhnye_peny/antiseptik_senezh_ekobio/"/>
    <hyperlink ref="L193" r:id="rId138" display="https://rem52.ru/zashita-dlja-dereva/senezh/zashita-dlja-dereva-senezh-ekobio-5kg/"/>
    <hyperlink ref="O193" r:id="rId139" display="https://stroyrem-nn.ru/products/antiseptik-senezh-ekobio-10-kg"/>
    <hyperlink ref="AE193" r:id="rId140" display="https://isotop-nn.ru/catalog/osb_3_montazhnye_peny/antiseptik_senezh_ekobio/"/>
    <hyperlink ref="AH193" r:id="rId141" display="https://rem52.ru/zashita-dlja-dereva/senezh/zashita-dlja-dereva-senezh-ekobio-5kg/"/>
    <hyperlink ref="AK193" r:id="rId142" display="https://stroyrem-nn.ru/products/antiseptik-senezh-ekobio-10-kg"/>
    <hyperlink ref="I194" r:id="rId143" display="https://promsnab.me/catalog/lakokrasochnye_materialy/gruntovki/vinikor_061/"/>
    <hyperlink ref="L194" r:id="rId144" display="https://plkfarba.ru/product/vinikor-061/?yclid=17831455496159363071"/>
    <hyperlink ref="I195" r:id="rId145" display="https://lemanapro.ru/product/spc-plitka-grigio-classica-43-klass-tolshchina-4-mm-30692-m-88010968/?ysclid=mdn57xbsl6138406720&amp;utm_referrer=https%3A%2F%2Fya.ru%2Fsearch%2F%3Ftext%3D%25D0%259B%25D0%25B0%25D0%25BC%25D0%25B8%25D0%25BD%25D0%25B0%25D1%2582%2BGrigio%2BClassica%2B%2B%25D0%25BA%25D0%25BB%25D0%25B0%25D1%2581%25D1%2581%2B1218%25D1%2585180%25D1%25854%2B%25D0%25BC%25D0%25BC%2B%25D0%25BA%25D0%25BE%25D1%2580%25D0%25B8%25D1%2587%25D0%25BD%25D0%25B5%25D0%25B2%25D1%258B%25D0%25B9%26lr%3D2"/>
    <hyperlink ref="L195" r:id="rId146" display="https://santreyd.ru/product/88010968-pvh-plitka-grigio-classica-43-klass-tolschina-4-mm-3-0692-m-stlm-0076518-santreyd/"/>
    <hyperlink ref="O195" r:id="rId147" display="https://www.stroyportal.ru/catalog/section-vinilovaya-plitka-1482/spc-plitka-grigio-classica-43-klass-tolshchina-4-m-708423072/?ysclid=mdn59uq05z385321196"/>
    <hyperlink ref="AE195" r:id="rId148" display="https://lemanapro.ru/product/spc-plitka-grigio-classica-43-klass-tolshchina-4-mm-30692-m-88010968/?ysclid=mdn57xbsl6138406720&amp;utm_referrer=https%3A%2F%2Fya.ru%2Fsearch%2F%3Ftext%3D%25D0%259B%25D0%25B0%25D0%25BC%25D0%25B8%25D0%25BD%25D0%25B0%25D1%2582%2BGrigio%2BClassica%2B%2B%25D0%25BA%25D0%25BB%25D0%25B0%25D1%2581%25D1%2581%2B1218%25D1%2585180%25D1%25854%2B%25D0%25BC%25D0%25BC%2B%25D0%25BA%25D0%25BE%25D1%2580%25D0%25B8%25D1%2587%25D0%25BD%25D0%25B5%25D0%25B2%25D1%258B%25D0%25B9%26lr%3D2"/>
    <hyperlink ref="AH195" r:id="rId149" display="https://santreyd.ru/product/88010968-pvh-plitka-grigio-classica-43-klass-tolschina-4-mm-3-0692-m-stlm-0076518-santreyd/"/>
    <hyperlink ref="AK195" r:id="rId150" display="https://www.stroyportal.ru/catalog/section-vinilovaya-plitka-1482/spc-plitka-grigio-classica-43-klass-tolshchina-4-m-708423072/?ysclid=mdn59uq05z385321196"/>
    <hyperlink ref="I196" r:id="rId151" display="https://www.maxidom.ru/catalog/laki-spetsialnye/1001162574/"/>
    <hyperlink ref="L196" r:id="rId152" display="https://order-nn.ru/kmo/catalog/6000/450094"/>
    <hyperlink ref="O196" r:id="rId153" display="https://banapal.ru/lak-dlya-dereva-na-vodnoj-osnove-koleruemyj-pinotex-lacker-aqua-10-matovyj1-l-5254104/"/>
    <hyperlink ref="AE196" r:id="rId154" display="https://www.maxidom.ru/catalog/laki-spetsialnye/1001162574/"/>
    <hyperlink ref="AH196" r:id="rId155" display="https://order-nn.ru/kmo/catalog/6000/450094"/>
    <hyperlink ref="AK196" r:id="rId156" display="https://banapal.ru/lak-dlya-dereva-na-vodnoj-osnove-koleruemyj-pinotex-lacker-aqua-10-matovyj1-l-5254104/"/>
    <hyperlink ref="I197" r:id="rId157" display="https://www.samotsvet.com/catalog/dlya_naruzhnykh_rabot_2/pinotex_focus_aqua_zashchitnaya_propitka_dlya_derevyannykh_zaborov_i_sadovykh_stroeniy/?ysclid=mdn5nsdsj0390305188"/>
    <hyperlink ref="L197" r:id="rId158" display="http://pinotik.ru/products/pin-focus-zeleniy-les"/>
    <hyperlink ref="O197" r:id="rId159" display="https://www.edkm.ru/pinotex-focus-aqua-pinoteks-fokus-akva-zashchitnaya-propitka-dlya-derevyannyh-zaborov-i-sadovyh-stroenij-9-l/"/>
    <hyperlink ref="AE197" r:id="rId160" display="https://www.samotsvet.com/catalog/dlya_naruzhnykh_rabot_2/pinotex_focus_aqua_zashchitnaya_propitka_dlya_derevyannykh_zaborov_i_sadovykh_stroeniy/?ysclid=mdn5nsdsj0390305188"/>
    <hyperlink ref="AH197" r:id="rId161" display="http://pinotik.ru/products/pin-focus-zeleniy-les"/>
    <hyperlink ref="AK197" r:id="rId162" display="https://www.edkm.ru/pinotex-focus-aqua-pinoteks-fokus-akva-zashchitnaya-propitka-dlya-derevyannyh-zaborov-i-sadovyh-stroenij-9-l/"/>
    <hyperlink ref="I198" r:id="rId163" display="https://s-stroy.ru/product/shpatlevka_gipsovaya_ek_k200_20_kg/"/>
    <hyperlink ref="L198" r:id="rId164" display="https://nnv.saturn.net/product/shpaklevka-dlya-bolshogo-obema-rabot-ek-k-200-20-kg/"/>
    <hyperlink ref="O198" r:id="rId165" display="https://ardinn.ru/catalog/sukhie-smesi/shpatlevki/universalnaya-gipsovaya-shpatlevka-ek-k200-line/?oid=107029&amp;yclid=8396479760764239871"/>
    <hyperlink ref="L199" r:id="rId166" display="https://stroybaza-nn.ru/catalog/shpaklevka_shpatlevka/shpaklevka_tsementnaya_ek_vh30_20_kg/"/>
    <hyperlink ref="O199" r:id="rId167" display="https://nizhniy-novgorod.arttn.ru/catalog/seraya-tsementnaya-shpatlevka-ek-vh30-gray-20-kg/"/>
    <hyperlink ref="I200" r:id="rId168" display="https://www.virage24.ru/product/gruntovka-betonkontakt-3kg-cerezit-311108?utm_referrer=https://yandex.ru/products/search?text=%25D0%2593%25D1%2580%25D1%2583%25D0%25BD%25D1%2582%25D0%25BE%25D0%25B2%25D0%25BA%25D0%25B0%2520%25D0%25B0%25D0%25BA%25D1%2580%25D0%25B8%25D0%25BB%25D0%25BE%25D0%25B2%25D0%25B0%25D1%258F%2520%25D0%25B4%25D0%25BB%25D1%258F%2520%25D0%25B2%25D0%25BD%25D1%2583%25D1%2582%25D1%2580%25D0%25B5%25D0%25BD%25D0%25BD%25D0%25B8%25D1%2585%2520%25D0%25B8%2520%25D0%25BD%25D0%25B0%25D1%2580%25D1%2583%25D0%25B6%25D0%25BD%25D1%258B%25D1%2585%2520%25D1%2580%25D0%25B0%25D0%25B1%25D0%25BE%25D1%2582%2520%25D0%2591%25D0%25B5%25D1%2582%25D0%25BE%25D0%25BD%25D0%25BE%25D0%25BA%25D0%25BE%25D0%25BD%25D1%2582%25D0%25B0%25D0%25BA%25D1%2582%2520%25D0%25A1%25D0%25A219%2520Ceresit%25203%25D0%25BA%25D0%25B3"/>
    <hyperlink ref="L200" r:id="rId169" display="https://glavsnab.net/gruntovka-betonkontakt-ceresit-st19-3kg-morozostoykaya.html?ysclid=mc1xjkqay6603894147"/>
    <hyperlink ref="O200" r:id="rId170" display="https://stroyrem-nn.ru/products/gruntovka-betonkontakt-ceresit-ct-19-3-kg"/>
    <hyperlink ref="I201" r:id="rId171" display="https://koop01.ru/shop/ек-тт30-цементная-штукатурка-25-кг/"/>
    <hyperlink ref="L201" r:id="rId172" display="https://www.tsmnn.ru/catalog/stroymaterialy/sukhie-smesi/shtukaturka/shtukaturka-tsementnaya-ek-tt30-25kg/?yclid=6480404912259727359"/>
    <hyperlink ref="O201" r:id="rId173" display="https://gelios52.ru/stroymaterialy/shtukaturnye-i-stroitelnye-smesi/shtukaturka-yek-tt-30-25kg/"/>
    <hyperlink ref="I202" r:id="rId174" display="https://mp-stroy24.ru/catalog/p/suhie-smesi-dlya-ustrojstva-polov81/pol_nalivnoj_starateli_bystrotverdeyushhij_20_kg_2017776/"/>
    <hyperlink ref="L202" r:id="rId175" display="https://globalsnab.com/catalog/nalivnoy_pol/nalivnoy_pol_starateli_bystrotverdeyushchiy_20kg/"/>
    <hyperlink ref="O202" r:id="rId176" display="https://kant-stroy.ru/catalog/p/suhie-smesi-dlya-ustrojstva-polov2/pol_nalivnoj_starateli_bystrotverdeyushhij_20_kg_1632658/?ysclid=mc4hv87zx9969217144"/>
    <hyperlink ref="I203" r:id="rId177" display="https://kraski-dl.ru/product/lak-tikkurila-evro-kiri-euro-kiri-parketnyj-alkidno-uretanovyj-glyanczevyj-bazis-ep-9l-tikkurila/"/>
    <hyperlink ref="L203" r:id="rId178" display="https://www.samotsvet.com/catalog/dlya_parketa_i_derevyanogo_pola/tikkurila_euro_kiri_lak_parketnyy_polumatovyy/"/>
    <hyperlink ref="O203" r:id="rId179" display="https://glavsnab.net/lak-parketniy-tikkurila-euro-kiri-ep-polumatoviy-9-l.html"/>
    <hyperlink ref="I207" r:id="rId180" display="https://www.etm.ru/cat/nn/1301544"/>
    <hyperlink ref="L207" r:id="rId181" display="https://rs24.ru/product/2992673"/>
    <hyperlink ref="O207" r:id="rId182" display="https://www.promrukav.ru/catalog/ankery/anker-klinovoy-usilennyy-m8kh80-50-sht-up-promrukav/"/>
    <hyperlink ref="I208" r:id="rId183" display="https://www.toledo24.pro/products/usilennyy-klinovoy-anker-m10kh100-dkc-cm481001-kratno-25/"/>
    <hyperlink ref="L208" r:id="rId184" display="https://rs24.ru/product/432288"/>
    <hyperlink ref="O208" r:id="rId185" display="https://www.chipdip.ru/product0/8007141996"/>
    <hyperlink ref="I209" r:id="rId186" display="https://lemanapro.ru/product/zabivnoy-anker-m12x40-mm-10-sht-89415168/?ysclid=mdo6wytay7544772704&amp;utm_referrer=https%3A%2F%2Fya.ru%2Fsearch%2F%3Ftext%3D%25D0%2590%25D0%25BD%25D0%25BA%25D0%25B5%25D1%2580%2B%25D0%25B7%25D0%25B0%25D0%25B1%25D0%25B8%25D0%25B2%25D0%25BD%25D0%25BE%25D0%25B9%2B%25D0%259C12*40%26lr%3D2"/>
    <hyperlink ref="L209" r:id="rId187" display="https://electroguru.ru/ankeri/lider/54551/?ysclid=mdo6zzy37o896334298"/>
    <hyperlink ref="O209" r:id="rId188" display="https://www.materik-m.ru/shop/anker_zabivnoy_latunnyy_m12_40sht_up/"/>
    <hyperlink ref="I213" r:id="rId189" display="https://snabline.com/shop/product/himicheskij-anker-stalmax-te100-epoksidnyj-450ml-artikul-12056"/>
    <hyperlink ref="L213" r:id="rId190" display="https://1001krep.ru/himicheskij-anker-epoksidnyj-stalmax-te100-450-ml-artikul-12056?ysclid=mc5susp8vr839881165"/>
    <hyperlink ref="O213" r:id="rId191" display="https://stalmax.ru/ankery-himicheskie/him-anker-te100-450ml-epoksidnyj-art-12056?ysclid=mc5suma0o2675630097"/>
    <hyperlink ref="I215" r:id="rId192" display="https://www.bestceramic.ru/goods/vyaz_gp_seryy_594x147"/>
    <hyperlink ref="L215" r:id="rId193" display="https://napolnye-istorii.ru/catalog/p/plitka-keramogranit-mozaika-kamen43/keramogranit_beryoza_ceramica_vyaz_gp_seryj_14-7x59-4_sm_2280441/"/>
    <hyperlink ref="O215" r:id="rId194" display="https://lemanapro.ru/product/keramogranit-beryoza-ceramica-vyaz-gp-16585-seryy-597x148sm-90568663/?ysclid=mc93qnkofw960021605&amp;utm_referrer=https%3A%2F%2Fya.ru%2Fsearch%2F%3Ftext%3D%25D0%259F%25D0%25BB%25D0%25B8%25D1%2582%25D0%25BA%25D0%25B0%2B%25D0%25BD%25D0%25B0%25D0%25BF%25D0%25BE%25D0%25BB%25D1%258C%25D0%25BD%25D0%25B0%25D1%258F%2B%25D0%25BD%25D0%25B5%25D1%2581%25D0%25BA%25D0%25BE%25D0%25BB%25D1%258C%25D0%25B7%25D1%258F%25D1%2589%25D0%25B0%25D1%258F%2B%25D0%259A%25D0%25B5%25D1%2580%25D0%25B0%25D0%25BC%25D0%25BE%25D0%25B3%25D1%2580%25D0%25B0%25D0%25BD%25D0%25B8%25D1%2582%2B%25D0%2592%25D0%25AF%25D0%2597%2BGP%2B16585%2B%25D0%25A1%25D0%2595%25D0%25A0%25D0%25AB%25D0%2599%2B59%252C7%25D1%258514%252C8%25D1%2581%25D0%25BC%26lr%3D20042%26clid%3D2714390%26win%3D632"/>
    <hyperlink ref="I216" r:id="rId195" display="https://bnk-sm.ru/shop/product/zaklepka-vytyazhnaya-4.8x12-mm-nerzhaveyushchaya-stal"/>
    <hyperlink ref="L216" r:id="rId196" display="https://formula-krepega.ru/catalog/zaklyepki/vytyazhnye/nerzhaveyushchie/1228/?ysclid=memivwmh79432379705&amp;utm_referrer=https%3A%2F%2Fya.ru%2Fsearch%2F%3Ftext%3D%25D0%2597%25D0%25B0%25D0%25BA%25D0%25BB%25D0%25B5%25D0%25BF%25D0%25BA%25D0%25B0%2B%25D0%25B2%25D1%258B%25D1%2582%25D1%258F%25D0%25B6%25D0%25BD%25D0%25B0%25D1%258F%2B4%252C8%2A12%2B%25D0%25B8%25D0%25B7%2B%25D0%25BD%25D0%25B5%25D1%2580%25D0%25B6%25D0%25B0%25D0%25B2%25D0%25B5%25D1%258E%25D1%2589%25D0%25B5%25D0%25B9%2B%25D1%2581%25D1%2582%25D0%25B0%25D0%25BB%25D0%25B8%2B0%252C8%2A18%25D0%259D10%28AISI%2B%25C2%25A0304%253B%2B%25D0%25902%29%26lr%3D2"/>
    <hyperlink ref="O216" r:id="rId197" display="https://centerkrep.ru/krepezh/bolty-i-shpilki/zaklepki-vytyazhnye/zaklepka-vytyazhnaya-din7337-a2-4-8x12-nerzhaveyushchaya-stal/?ysclid=memj24s9e8970276105"/>
    <hyperlink ref="L217" r:id="rId198" location="characteristics" display="https://www.vseinstrumenti.ru/product/gibridnyj-klej-germetik-soudal-fiks-all-flexi-belyj-117383-935819/#characteristics"/>
    <hyperlink ref="O217" r:id="rId199" display="https://cmm-k.ru/catalog/germetiki_i_klei/gibridnye_ms_polimernye_/163488/?ysclid=mdx38vgx2u372262061"/>
    <hyperlink ref="AE218" r:id="rId200" display="https://www.vent-style.ru/goods/typhoon-150-2sp-kanalnyy-ventilyator?yclid=4984175753823518719"/>
    <hyperlink ref="AE219" r:id="rId201" display="https://www.etm.ru/cat/nn/2999936"/>
    <hyperlink ref="AH219" r:id="rId202" display="https://lemanapro.ru/product/troynik-dlya-kruglyh-vozduhovodov-ore-d160-mm-ocinkovannyy-metall-82509329/"/>
    <hyperlink ref="L220" r:id="rId203" display="https://rmio.ru/catalog/otvod_90_160_mm_dlya_kruglykh_vozdukhovodov/?ysclid=melfab5ibo791470992"/>
    <hyperlink ref="AE220" r:id="rId204" display="https://www.vent-style.ru/goods/ugol-90-otvod-f160-iz-ocinkovannoj-stali?yclid=240437176694996991"/>
    <hyperlink ref="AH220" r:id="rId205" display="https://rmio.ru/catalog/otvod_90_160_mm_dlya_kruglykh_vozdukhovodov/"/>
    <hyperlink ref="L221" r:id="rId206" display="https://rmio.ru/catalog/otvod_90_100_mm_dlya_kruglykh_vozdukhovodov/?ysclid=melfgvtmfo935744238"/>
    <hyperlink ref="AE221" r:id="rId207" display="https://rmio.ru/catalog/otvod_90_100_mm_dlya_kruglykh_vozdukhovodov/"/>
    <hyperlink ref="L222" r:id="rId208" display="https://ppk-levsha.ru/collection/katalog-1-7b4a51/product/truba-vitaya-d-160-3-m-otsinkovka"/>
    <hyperlink ref="AE222" r:id="rId209" display="https://ppk-levsha.ru/collection/katalog-1-7b4a51/product/truba-vitaya-d-160-3-m-otsinkovka"/>
    <hyperlink ref="L223" r:id="rId210" display="https://www.vent-style.ru/goods/vozduxovod-truba-f-100-1m-iz-ocinkovannoj-stali"/>
    <hyperlink ref="AE223" r:id="rId211" display="https://myvent.ru/product/vozduhovod-spiralno-navivnoj-100mm-3m-iz-ocinkovannoj-stali/"/>
    <hyperlink ref="I225" r:id="rId212" display="https://nizhnij-novgorod.dushevoi.ru/products/dushevaya-sistema-haiba-hb2413-khrom-318749-ware/"/>
    <hyperlink ref="L225" r:id="rId213" display="https://smesx.ru/catalog/dushi_paneli_garnitury/dushevye_sistemy/dushevaya_sistema_dlya_dusha_haiba_hb2413_bez_izliva/?ysclid=mdqzkqvqnt830634747"/>
    <hyperlink ref="O225" r:id="rId214" display="https://spb.santehnica.ru/product/298091.html?ysclid=mdr0hrvg2h994265023"/>
    <hyperlink ref="AE226" r:id="rId215" display="https://www.dkcmarket.ru/r5stx0432.html"/>
    <hyperlink ref="AH226" r:id="rId216" display="https://www.etm.ru/cat/nn/6819836"/>
    <hyperlink ref="I227" r:id="rId217" display="https://bonpet.tech/product/avr-k-63-2-1"/>
    <hyperlink ref="L227" r:id="rId218" display="https://piris.ru/product/avr-prs-k-2-1-63-andeli"/>
    <hyperlink ref="O227" r:id="rId219" display="https://sankt-peterburg.der-com.ru/product/avr/shkaf-avr-63a-02-01-iek-na-baze-silovykh-kontaktorov-iek/"/>
    <hyperlink ref="AE227" r:id="rId220" display="https://bonpet.tech/product/avr-k-63-2-1"/>
    <hyperlink ref="AH227" r:id="rId221" display="https://piris.ru/product/avr-prs-k-2-1-63-andeli"/>
    <hyperlink ref="AK227" r:id="rId222" display="https://sankt-peterburg.der-com.ru/product/avr/shkaf-avr-63a-02-01-iek-na-baze-silovykh-kontaktorov-iek/"/>
    <hyperlink ref="O228" r:id="rId223" display="https://www.skm-electro.ru/catalog/shkafy-boksy-aksessuary/shkafy-napolnye/shkafy-napolnye-dkc/53611/"/>
    <hyperlink ref="AE228" r:id="rId224" display="https://www.skm-electro.ru/catalog/shkafy-boksy-aksessuary/shkafy-napolnye/shkafy-napolnye-dkc/53611/"/>
    <hyperlink ref="AH228" r:id="rId225" display="https://www.sin-el.ru/list_r5stmf43.html?ysclid=mebeiyvnkz807562174"/>
    <hyperlink ref="AK228" r:id="rId226" display="https://volt-market.com/catalog/shchitovoe-oborudovanie-i-aksessuary/elementy-komplektatsii-shkafov/plastrony-i-perednie-paneli/rama-plastronnoy-sistemy-vkhsh-400kh300-mm-dkc/"/>
    <hyperlink ref="AE229" r:id="rId227" display="https://www.etm.ru/cat/nn/2347540?utm_source=yandex&amp;utm_medium=cpc&amp;utm_campaign=Brend_DKC_SHHitovoe_oborudovanie_55_DSA_RF_119200195&amp;utm_content=brand-dkc_5561694353_dynamic_places&amp;utm_term=---autotargeting&amp;yclid=14581724295737114623"/>
    <hyperlink ref="AH229" r:id="rId228" display="https://dkc-msk.ru/products/rama-plastronnoy-sistemy-400kh300-dkc-r5stmf43-r5stmf43/?ysclid=mebelgjkrj945344651"/>
    <hyperlink ref="I230" r:id="rId229" display="https://incom-elektro.ru/p-kronshteyn-dlya-nastennogo-krepleniya-dlya-navesnykh-i-klemmnykh-korpusov-up-4-sht-dkc-r5a55r/"/>
    <hyperlink ref="L230" r:id="rId230" display="https://elektrokontinent.ru/e-kronshteyn_dlya_nastennogo_krepleniya_dlya_navesnykh_i_klemmnykh_korpusov_up_4_sht_dkc_r5a55r/"/>
    <hyperlink ref="O230" r:id="rId231" display="https://union-el.ru/shop/goods/kronshteyn_dlya_nastennogo_krepleniya_dlya_navesnyih_i_klemmnyih_korpusov_up4_sht_DKC_R5A55R-107277"/>
    <hyperlink ref="AE230" r:id="rId232" display="https://incom-elektro.ru/p-kronshteyn-dlya-nastennogo-krepleniya-dlya-navesnykh-i-klemmnykh-korpusov-up-4-sht-dkc-r5a55r/"/>
    <hyperlink ref="AH230" r:id="rId233" display="https://elektrokontinent.ru/e-kronshteyn_dlya_nastennogo_krepleniya_dlya_navesnykh_i_klemmnykh_korpusov_up_4_sht_dkc_r5a55r/"/>
    <hyperlink ref="AK230" r:id="rId234" display="https://union-el.ru/shop/goods/kronshteyn_dlya_nastennogo_krepleniya_dlya_navesnyih_i_klemmnyih_korpusov_up4_sht_DKC_R5A55R-107277"/>
    <hyperlink ref="O231" r:id="rId235" display="https://www.etm.ru/cat/nn/9830764"/>
    <hyperlink ref="AE231" r:id="rId236" display="https://www.etm.ru/cat/nn/9830764"/>
    <hyperlink ref="AH231" r:id="rId237" display="https://www.sin-el.ru/list_87512_dks.html?ysclid=mebexme5c5458471168"/>
    <hyperlink ref="AK231" r:id="rId238" display="https://dkc-msk.ru/products/klemmnyy-blok-2kh12mod-supporty-v-komplekte-s-krepezhom-87512/?ysclid=mebezseoqx785038025"/>
    <hyperlink ref="O232" r:id="rId239" display="https://ielectrik.ru/nizhnij-novgorod/product/dkc_lichinka_zamka_dlya_vkladysha_pod_klyuch_treugolnogo_profilya_8mm/?ysclid=mebf38iec630127050"/>
    <hyperlink ref="AE232" r:id="rId240" display="https://www.sin-el.ru/list_r5ce224_dks.html?ysclid=mebf113k86588243033"/>
    <hyperlink ref="AH232" r:id="rId241" display="https://v-energo.ru/katalog/dkc/dkc-ramblock/lichinka-zamka-dlya-vkladysha-pod-klyuch-treugolnogo-profilya-8mm.html"/>
    <hyperlink ref="AK232" r:id="rId242" display="https://ielectrik.ru/nizhnij-novgorod/product/dkc_lichinka_zamka_dlya_vkladysha_pod_klyuch_treugolnogo_profilya_8mm/?ysclid=mebf38iec630127050"/>
    <hyperlink ref="AE233" r:id="rId243" display="https://www.sin-el.ru/list_87165_dks.html?ysclid=mebf4mrhwe283528390"/>
    <hyperlink ref="AH233" r:id="rId244" display="https://www.nvo24.ru/catalog/korpusa_elektroshchitov/aksessuary_dlya_shkafov_i_boksov/zaglushka_na_4mod_ral7035_dlya_nastennykh_shchitkov_ip65_ip40_upak_40sht/?ysclid=mebf5ap0p0243045627"/>
    <hyperlink ref="AK233" r:id="rId245" display="https://ielectrik.ru/nizhnij-novgorod/product/dkc_zaglushka_na_4_modulya_ral7035_dlya_nastennyh_schitkov_ip65/?ysclid=mebf6dfikp654623115"/>
    <hyperlink ref="O234" r:id="rId246" display="https://al-teh.ru/search/179705/"/>
    <hyperlink ref="AE234" r:id="rId247" display="https://al-teh.ru/search/179705/"/>
    <hyperlink ref="AH234" r:id="rId248" display="https://www.ozon.ru/product/avtomaticheskiy-vyklyuchatel-chint-nb1-63-3p-32a-6ka-h-ka-c-179705-1230775027/"/>
    <hyperlink ref="AK234" r:id="rId249" display="https://www.chipdip.ru/product/nb1-63-3p-32a-6ka-h-ka-c-r-chint-9001124801"/>
    <hyperlink ref="AE235" r:id="rId250" display="https://al-teh.ru/product/avt-vykl-nb163-1p-16a-6ka-khka-c-db/"/>
    <hyperlink ref="AK235" r:id="rId251" display="https://www.ozon.ru/product/avtomaticheskiy-vyklyuchatel-chint-nb1-63-1p-16a-6ka-h-ka-c-179616-1227550971/"/>
    <hyperlink ref="I236" r:id="rId252" display="https://www.chipdip.ru/product0/8000840855"/>
    <hyperlink ref="L236" r:id="rId253" display="https://rs24.ru/product/143114"/>
    <hyperlink ref="O236" r:id="rId254" display="https://electric-spb.com/element-rozetka-2-m-op-etyud-16a-ip44-250v-zashch-shtorki-s-zazeml-bel-sche-pa16-244b.html?ysclid=mdpmyob1ae71533062"/>
    <hyperlink ref="I237" r:id="rId255" display="https://spb.ledpremium.ru/catalog/rozetki_220_volt/rozetka_1_m_op_etyud_16a_s_zashch_kryshkoy_zashch_shtorki_s_zazeml_ip44_bel_sche_pa16_044b/?r1=yandext&amp;r2=&amp;offer-id=462617&amp;utm_source=yandex_search_sp&amp;utm_medium=Электротехника&amp;utm_campaign=Электроустановочные+изделия&amp;utm_content=Розетки+и+выключатели&amp;utm_term=Розетка+1-м+ОП+Этюд+16А+IP44+250В+с+заземл+защ+шторки+с+крышкой+бел+SE+PA16-044B"/>
    <hyperlink ref="L237" r:id="rId256" display="https://www.chipdip.ru/product0/8000846053"/>
    <hyperlink ref="O237" r:id="rId257" display="https://rs24.ru/product/2251"/>
    <hyperlink ref="AE237" r:id="rId258" display="https://www.chipdip.ru/product/rozetka-1-m-op-etyud-systeme-electric-8000846053"/>
    <hyperlink ref="I246" r:id="rId259" display="https://mircli.ru/IVigo-EPK4590M20/"/>
    <hyperlink ref="L246" r:id="rId260" display="https://ivigo-rus.ru/epk-4590-m20-2000w-manual/?ysclid=mdplhdob91656208830"/>
    <hyperlink ref="O246" r:id="rId261" display="https://www.vseinstrumenti.ru/product/konvektor-ivigo-epk4590m20-8373-5529211/?ysclid=mdplgb7fdp508280711&amp;utm_referrer=https://ya.ru/search/?text=%25D0%259A%25D0%25BE%25D0%25BD%25D0%25B2%25D0%25B5%25D0%25BA%25D1%2582%25D0%25BE%25D1%2580%25C2%25A02%2B%2B%25D0%25BA%25D0%2592%25D1%2582%25C2%25A0iVigo%2BEPK4590M20%2B%25D1%2581%2B%25D0%25B4%25D0%25B0%25D1%2582%25D1%2587%25D0%25B8%25D0%25BA%25D0%25BE%25D0%25BC%2B%25D0%25BE%25D1%2582%25D0%25BA%25D0%25BB%25D1%258E%25D1%2587%25D0%25B5%25D0%25BD%25D0%25B8%25D1%258F%2B%25D0%25BF%25D1%2580%25D0%25B8%2B%25D0%25BE%25D0%25BF%25D1%2580%25D0%25BE%25D0%25BA%25D0%25B8%25D0%25B4%25D1%258B%25D0%25B2%25D0%25B0%25D0%25BD%25D0%25B8%25D0%25B8%25C2%25A0%26lr=2"/>
    <hyperlink ref="AE246" r:id="rId262" display="https://mircli.ru/IVigo-EPK4590M20/"/>
    <hyperlink ref="I258" r:id="rId263" display="https://www.tophouse.ru/price/soudaflex-40-fc-tyomno-seryiy-ral-7015-600ml-poliuretanovyiy-kley-germetik-soudal-54929/?ysclid=mdomnxygmr297514911"/>
    <hyperlink ref="L258" r:id="rId264" display="https://tdstroitel.ru/lakokrasochnye-izdeliya/peny-klei-germetiki-silikony/germetiki-silikony/germetiki-poliuretanovye/germetik-poliuretanovyy-soudaflex-40fc-seryy-600ml-12/?utm_referrer=https%3A%2F%2Fya.ru%2Fsearch%2F%3Ftext%3D%25D0%2593%25D0%25B5%25D1%2580%25D0%25BC%25D0%25B5%25D1%2582%25D0%25B8%25D0%25BA%2B%25D0%25BA%25D0%25BB%25D0%25B5%25D0%25B5%25D0%25B2%25D0%25BE%25D0%25B9%2B%25D0%25BF%25D0%25BE%25D0%25BB%25D0%25B8%25D1%2583%25D1%2580%25D0%25B5%25D1%2582%25D0%25B0%25D0%25BD%25D0%25BE%25D0%25B2%25D1%258B%25D0%25B9%2B%25D1%2583%25D0%25BD%25D0%25B8%25D0%25B2%25D0%25B5%25D1%2580%25D1%2581%25D0%25B0%25D0%25BB%25D1%258C%25D0%25BD%25D1%258B%25D0%25B9%2BSoudaflex%2B40%2BFC%2B600%25D0%25BC%25D0%25BB%2B%25D1%2581%25D0%25B5%25D1%2580%25D1%258B%25D0%25B9%26lr%3D2"/>
    <hyperlink ref="I259" r:id="rId265" display="https://vbh24.ru/catalog/view.php?ID=MS902.9016.67.00&amp;ysclid=mdokr8ok6y579501152"/>
    <hyperlink ref="L259" r:id="rId266" display="https://www.tbmmarket.ru/dvernye-komplektuyuschie/furnitura/petli/med006107/?ysclid=mdokpm0dla216636170"/>
    <hyperlink ref="O259" r:id="rId267" display="https://spb.pro1oo.ru/dvernaya-furnitura/dvernye-petli/petlya-dvernaya-medos-dvuhsekcionnaya-67-mm-belaya-ral9016-dlya-alyuminievyh-dverey-jocker-alu?ysclid=mdokowdc8j433396166"/>
    <hyperlink ref="I260" r:id="rId268" display="https://www.vseinstrumenti.ru/product/sredstvo-dlya-ochistki-fasadov-zdanij-ot-vysolov-neomid-1-l-n-550-1-k1-2-902374/?utm_source=yandex&amp;utm_medium=cpc&amp;utm_campaign=36617871%7Cdsa_13_na_nashi-fid_rf&amp;utm_content=1852689750071244785&amp;utm_term=ST:search%7CS:none%7CAP:no%7CPT:premium%7CP:2%7CDT:desktop%7CRI:2%7CCI:36617871%7CGI:5488734198%7CPI:52956497435%7CAI:1852689750071244785%7CRT:52956497435%7CKW:---autotargeting%7CRN:Санкт-Петербург&amp;yclid=14050859826807832575"/>
    <hyperlink ref="L260" r:id="rId269" display="https://www.bafus.ru/product/neomid-550-antisol-dlya-udaleniya-vysolov-mineralnyh-i-fosfatnyh-1-l/"/>
    <hyperlink ref="O260" r:id="rId270" display="https://vertical.ru/product/antisol-dlya-fasadov-zdaniy-neomid-550-1-l/"/>
    <hyperlink ref="AE262" r:id="rId271" display="https://nnv.saturn.net/product/germetik-bitumno-kauchukoviy-tytan-dlya-krovli-cherniy-031-l/"/>
  </hyperlinks>
  <printOptions headings="false" gridLines="false" gridLinesSet="true" horizontalCentered="false" verticalCentered="false"/>
  <pageMargins left="0.25" right="0.25" top="0.75" bottom="0.75" header="0.511811023622047" footer="0.511811023622047"/>
  <pageSetup paperSize="9" scale="35" fitToWidth="1" fitToHeight="1" pageOrder="downThenOver" orientation="landscape" blackAndWhite="false" draft="false" cellComments="none" horizontalDpi="300" verticalDpi="300" copies="1"/>
  <headerFooter differentFirst="false" differentOddEven="false">
    <oddHeader/>
    <oddFooter/>
  </headerFooter>
  <drawing r:id="rId27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pageSetUpPr fitToPage="true"/>
  </sheetPr>
  <dimension ref="A1:BI57"/>
  <sheetViews>
    <sheetView showFormulas="false" showGridLines="true" showRowColHeaders="true" showZeros="true" rightToLeft="false" tabSelected="false" showOutlineSymbols="true" defaultGridColor="true" view="normal" topLeftCell="A22" colorId="64" zoomScale="88" zoomScaleNormal="88" zoomScalePageLayoutView="100" workbookViewId="0">
      <selection pane="topLeft" activeCell="M23" activeCellId="0" sqref="E1:BS1048576"/>
    </sheetView>
  </sheetViews>
  <sheetFormatPr defaultColWidth="9.1484375" defaultRowHeight="15" zeroHeight="false" outlineLevelRow="0" outlineLevelCol="1"/>
  <cols>
    <col collapsed="false" customWidth="true" hidden="false" outlineLevel="0" max="1" min="1" style="1" width="13.42"/>
    <col collapsed="false" customWidth="true" hidden="false" outlineLevel="0" max="2" min="2" style="1" width="30.29"/>
    <col collapsed="false" customWidth="true" hidden="false" outlineLevel="0" max="3" min="3" style="1" width="8.29"/>
    <col collapsed="false" customWidth="true" hidden="false" outlineLevel="0" max="4" min="4" style="1" width="11.57"/>
    <col collapsed="false" customWidth="true" hidden="false" outlineLevel="0" max="5" min="5" style="1" width="13.42"/>
    <col collapsed="false" customWidth="true" hidden="false" outlineLevel="0" max="7" min="6" style="1" width="17.42"/>
    <col collapsed="false" customWidth="true" hidden="false" outlineLevel="0" max="8" min="8" style="1" width="31.71"/>
    <col collapsed="false" customWidth="true" hidden="true" outlineLevel="1" max="11" min="9" style="1" width="16.29"/>
    <col collapsed="false" customWidth="true" hidden="true" outlineLevel="1" max="12" min="12" style="1" width="4"/>
    <col collapsed="false" customWidth="true" hidden="false" outlineLevel="0" max="13" min="13" style="1" width="16.84"/>
    <col collapsed="false" customWidth="true" hidden="true" outlineLevel="0" max="14" min="14" style="1" width="17.57"/>
    <col collapsed="false" customWidth="true" hidden="true" outlineLevel="1" max="15" min="15" style="1" width="16.29"/>
    <col collapsed="false" customWidth="true" hidden="true" outlineLevel="1" max="16" min="16" style="1" width="18.29"/>
    <col collapsed="false" customWidth="true" hidden="true" outlineLevel="1" max="18" min="17" style="1" width="17.29"/>
    <col collapsed="false" customWidth="true" hidden="false" outlineLevel="1" max="19" min="19" style="1" width="17.29"/>
    <col collapsed="false" customWidth="true" hidden="false" outlineLevel="0" max="20" min="20" style="1" width="18.14"/>
    <col collapsed="false" customWidth="true" hidden="true" outlineLevel="0" max="21" min="21" style="1" width="19.42"/>
    <col collapsed="false" customWidth="true" hidden="false" outlineLevel="0" max="22" min="22" style="1" width="17.86"/>
    <col collapsed="false" customWidth="true" hidden="true" outlineLevel="1" max="23" min="23" style="1" width="17.29"/>
    <col collapsed="false" customWidth="true" hidden="true" outlineLevel="1" max="24" min="24" style="1" width="17.57"/>
    <col collapsed="false" customWidth="true" hidden="true" outlineLevel="1" max="26" min="25" style="1" width="16.14"/>
    <col collapsed="false" customWidth="true" hidden="false" outlineLevel="0" max="27" min="27" style="1" width="16.29"/>
    <col collapsed="false" customWidth="true" hidden="false" outlineLevel="0" max="28" min="28" style="1" width="17.42"/>
    <col collapsed="false" customWidth="true" hidden="true" outlineLevel="1" max="32" min="29" style="1" width="16.29"/>
    <col collapsed="false" customWidth="true" hidden="false" outlineLevel="0" max="33" min="33" style="1" width="16.29"/>
    <col collapsed="false" customWidth="true" hidden="false" outlineLevel="0" max="34" min="34" style="1" width="17.57"/>
    <col collapsed="false" customWidth="true" hidden="true" outlineLevel="1" max="35" min="35" style="1" width="15.29"/>
    <col collapsed="false" customWidth="true" hidden="true" outlineLevel="1" max="36" min="36" style="1" width="17.57"/>
    <col collapsed="false" customWidth="true" hidden="true" outlineLevel="1" max="38" min="37" style="1" width="18.14"/>
    <col collapsed="false" customWidth="true" hidden="false" outlineLevel="0" max="39" min="39" style="1" width="16.29"/>
    <col collapsed="false" customWidth="true" hidden="false" outlineLevel="0" max="41" min="40" style="1" width="20.57"/>
    <col collapsed="false" customWidth="true" hidden="true" outlineLevel="0" max="42" min="42" style="1" width="23.42"/>
    <col collapsed="false" customWidth="true" hidden="true" outlineLevel="0" max="43" min="43" style="1" width="12.86"/>
    <col collapsed="false" customWidth="true" hidden="true" outlineLevel="0" max="44" min="44" style="1" width="16"/>
    <col collapsed="false" customWidth="true" hidden="true" outlineLevel="0" max="45" min="45" style="1" width="18.29"/>
  </cols>
  <sheetData>
    <row r="1" s="2" customFormat="true" ht="12.75" hidden="false" customHeight="false" outlineLevel="0" collapsed="false">
      <c r="A1" s="238"/>
      <c r="B1" s="15"/>
      <c r="C1" s="15"/>
      <c r="D1" s="15"/>
      <c r="E1" s="15"/>
      <c r="F1" s="239"/>
      <c r="G1" s="239"/>
      <c r="H1" s="15"/>
      <c r="I1" s="15"/>
      <c r="J1" s="15"/>
      <c r="K1" s="15"/>
      <c r="L1" s="15"/>
      <c r="M1" s="239"/>
      <c r="N1" s="15"/>
      <c r="O1" s="15"/>
      <c r="P1" s="15"/>
      <c r="Q1" s="15"/>
      <c r="R1" s="15"/>
      <c r="S1" s="239"/>
    </row>
    <row r="2" s="2" customFormat="true" ht="12.75" hidden="false" customHeight="false" outlineLevel="0" collapsed="false">
      <c r="A2" s="238"/>
      <c r="B2" s="15"/>
      <c r="C2" s="15"/>
      <c r="D2" s="15"/>
      <c r="E2" s="15"/>
      <c r="F2" s="239"/>
      <c r="G2" s="239"/>
      <c r="H2" s="15"/>
      <c r="I2" s="15"/>
      <c r="J2" s="15"/>
      <c r="K2" s="15"/>
      <c r="L2" s="15"/>
      <c r="M2" s="239"/>
      <c r="N2" s="15"/>
      <c r="O2" s="15"/>
      <c r="P2" s="15"/>
      <c r="Q2" s="15"/>
      <c r="R2" s="15"/>
      <c r="S2" s="239"/>
    </row>
    <row r="3" s="2" customFormat="true" ht="18.75" hidden="false" customHeight="true" outlineLevel="0" collapsed="false">
      <c r="A3" s="240"/>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row>
    <row r="4" s="2" customFormat="true" ht="17.25" hidden="false" customHeight="true" outlineLevel="0" collapsed="false">
      <c r="A4" s="241"/>
      <c r="B4" s="242"/>
      <c r="C4" s="242"/>
      <c r="D4" s="242"/>
      <c r="E4" s="242"/>
      <c r="F4" s="243"/>
      <c r="G4" s="243"/>
      <c r="H4" s="242"/>
      <c r="I4" s="242"/>
      <c r="J4" s="242"/>
      <c r="K4" s="242"/>
      <c r="L4" s="242"/>
      <c r="M4" s="243"/>
      <c r="N4" s="242"/>
      <c r="O4" s="242"/>
      <c r="P4" s="242"/>
      <c r="Q4" s="242"/>
      <c r="R4" s="242"/>
      <c r="S4" s="243"/>
      <c r="T4" s="10"/>
    </row>
    <row r="5" s="15" customFormat="true" ht="28.5" hidden="false" customHeight="true" outlineLevel="0" collapsed="false">
      <c r="A5" s="14" t="s">
        <v>714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row>
    <row r="6" s="15" customFormat="true" ht="12.75" hidden="false" customHeight="false" outlineLevel="0" collapsed="false">
      <c r="A6" s="238"/>
      <c r="F6" s="239"/>
      <c r="G6" s="239"/>
      <c r="M6" s="239"/>
      <c r="S6" s="239"/>
    </row>
    <row r="7" s="15" customFormat="true" ht="27" hidden="false" customHeight="true" outlineLevel="0" collapsed="false">
      <c r="A7" s="244" t="s">
        <v>4</v>
      </c>
      <c r="B7" s="245" t="s">
        <v>715</v>
      </c>
      <c r="C7" s="244" t="s">
        <v>8</v>
      </c>
      <c r="D7" s="244" t="s">
        <v>9</v>
      </c>
      <c r="E7" s="246"/>
      <c r="F7" s="246"/>
      <c r="G7" s="246"/>
      <c r="H7" s="246"/>
      <c r="I7" s="246"/>
      <c r="J7" s="246"/>
      <c r="K7" s="246"/>
      <c r="L7" s="246"/>
      <c r="M7" s="246"/>
      <c r="N7" s="246"/>
      <c r="O7" s="246"/>
      <c r="P7" s="246"/>
      <c r="Q7" s="246"/>
      <c r="R7" s="246"/>
      <c r="S7" s="246"/>
      <c r="T7" s="246"/>
      <c r="U7" s="247" t="s">
        <v>716</v>
      </c>
      <c r="V7" s="248" t="s">
        <v>717</v>
      </c>
      <c r="W7" s="248"/>
      <c r="X7" s="248"/>
      <c r="Y7" s="248"/>
      <c r="Z7" s="248"/>
      <c r="AA7" s="248"/>
      <c r="AB7" s="248"/>
      <c r="AC7" s="248"/>
      <c r="AD7" s="248"/>
      <c r="AE7" s="248"/>
      <c r="AF7" s="248"/>
      <c r="AG7" s="248"/>
      <c r="AH7" s="248"/>
      <c r="AI7" s="248"/>
      <c r="AJ7" s="248"/>
      <c r="AK7" s="248"/>
      <c r="AL7" s="248"/>
      <c r="AM7" s="248"/>
      <c r="AN7" s="249" t="s">
        <v>718</v>
      </c>
      <c r="AO7" s="250" t="s">
        <v>719</v>
      </c>
      <c r="AP7" s="251" t="s">
        <v>15</v>
      </c>
    </row>
    <row r="8" s="15" customFormat="true" ht="30.75" hidden="false" customHeight="true" outlineLevel="0" collapsed="false">
      <c r="A8" s="244"/>
      <c r="B8" s="244"/>
      <c r="C8" s="244"/>
      <c r="D8" s="244"/>
      <c r="E8" s="252" t="s">
        <v>720</v>
      </c>
      <c r="F8" s="252"/>
      <c r="G8" s="253"/>
      <c r="H8" s="252" t="s">
        <v>721</v>
      </c>
      <c r="I8" s="252"/>
      <c r="J8" s="252"/>
      <c r="K8" s="252"/>
      <c r="L8" s="252"/>
      <c r="M8" s="252"/>
      <c r="N8" s="254"/>
      <c r="O8" s="254"/>
      <c r="P8" s="254"/>
      <c r="Q8" s="254"/>
      <c r="R8" s="254"/>
      <c r="S8" s="254"/>
      <c r="T8" s="254"/>
      <c r="U8" s="247"/>
      <c r="V8" s="252" t="s">
        <v>720</v>
      </c>
      <c r="W8" s="252"/>
      <c r="X8" s="252"/>
      <c r="Y8" s="252"/>
      <c r="Z8" s="252"/>
      <c r="AA8" s="252"/>
      <c r="AB8" s="252" t="s">
        <v>722</v>
      </c>
      <c r="AC8" s="252"/>
      <c r="AD8" s="252"/>
      <c r="AE8" s="252"/>
      <c r="AF8" s="252"/>
      <c r="AG8" s="252"/>
      <c r="AH8" s="254" t="s">
        <v>723</v>
      </c>
      <c r="AI8" s="254"/>
      <c r="AJ8" s="254"/>
      <c r="AK8" s="254"/>
      <c r="AL8" s="254"/>
      <c r="AM8" s="254"/>
      <c r="AN8" s="249"/>
      <c r="AO8" s="250"/>
      <c r="AP8" s="251"/>
    </row>
    <row r="9" customFormat="false" ht="129" hidden="false" customHeight="true" outlineLevel="0" collapsed="false">
      <c r="A9" s="244"/>
      <c r="B9" s="245"/>
      <c r="C9" s="244"/>
      <c r="D9" s="244"/>
      <c r="E9" s="255" t="s">
        <v>724</v>
      </c>
      <c r="F9" s="256" t="s">
        <v>725</v>
      </c>
      <c r="G9" s="257" t="s">
        <v>14</v>
      </c>
      <c r="H9" s="258" t="s">
        <v>726</v>
      </c>
      <c r="I9" s="258" t="s">
        <v>727</v>
      </c>
      <c r="J9" s="259" t="s">
        <v>728</v>
      </c>
      <c r="K9" s="260" t="s">
        <v>729</v>
      </c>
      <c r="L9" s="260" t="s">
        <v>730</v>
      </c>
      <c r="M9" s="261" t="s">
        <v>731</v>
      </c>
      <c r="N9" s="258" t="s">
        <v>732</v>
      </c>
      <c r="O9" s="258" t="s">
        <v>727</v>
      </c>
      <c r="P9" s="259" t="s">
        <v>728</v>
      </c>
      <c r="Q9" s="260" t="s">
        <v>729</v>
      </c>
      <c r="R9" s="260" t="s">
        <v>730</v>
      </c>
      <c r="S9" s="257" t="s">
        <v>14</v>
      </c>
      <c r="T9" s="260" t="s">
        <v>733</v>
      </c>
      <c r="U9" s="247"/>
      <c r="V9" s="258" t="s">
        <v>732</v>
      </c>
      <c r="W9" s="258" t="s">
        <v>727</v>
      </c>
      <c r="X9" s="259" t="s">
        <v>728</v>
      </c>
      <c r="Y9" s="260" t="s">
        <v>729</v>
      </c>
      <c r="Z9" s="260" t="s">
        <v>730</v>
      </c>
      <c r="AA9" s="260" t="s">
        <v>734</v>
      </c>
      <c r="AB9" s="258" t="s">
        <v>732</v>
      </c>
      <c r="AC9" s="258" t="s">
        <v>727</v>
      </c>
      <c r="AD9" s="259" t="s">
        <v>728</v>
      </c>
      <c r="AE9" s="260" t="s">
        <v>729</v>
      </c>
      <c r="AF9" s="260" t="s">
        <v>730</v>
      </c>
      <c r="AG9" s="260" t="s">
        <v>734</v>
      </c>
      <c r="AH9" s="258" t="s">
        <v>732</v>
      </c>
      <c r="AI9" s="258" t="s">
        <v>727</v>
      </c>
      <c r="AJ9" s="259" t="s">
        <v>728</v>
      </c>
      <c r="AK9" s="260" t="s">
        <v>729</v>
      </c>
      <c r="AL9" s="260" t="s">
        <v>730</v>
      </c>
      <c r="AM9" s="260" t="s">
        <v>734</v>
      </c>
      <c r="AN9" s="249"/>
      <c r="AO9" s="250"/>
      <c r="AP9" s="251"/>
      <c r="AQ9" s="262" t="s">
        <v>735</v>
      </c>
      <c r="AR9" s="262" t="s">
        <v>736</v>
      </c>
      <c r="AS9" s="262" t="s">
        <v>737</v>
      </c>
      <c r="AT9" s="15"/>
      <c r="AU9" s="15"/>
      <c r="AV9" s="15"/>
      <c r="AW9" s="15"/>
      <c r="AX9" s="15"/>
      <c r="AY9" s="15"/>
      <c r="AZ9" s="15"/>
      <c r="BA9" s="15"/>
      <c r="BB9" s="15"/>
      <c r="BC9" s="15"/>
      <c r="BD9" s="15"/>
      <c r="BE9" s="15"/>
      <c r="BF9" s="15"/>
      <c r="BG9" s="15"/>
      <c r="BH9" s="15"/>
      <c r="BI9" s="15"/>
    </row>
    <row r="10" s="44" customFormat="true" ht="12.75" hidden="false" customHeight="false" outlineLevel="0" collapsed="false">
      <c r="A10" s="263" t="n">
        <v>1</v>
      </c>
      <c r="B10" s="264" t="n">
        <v>2</v>
      </c>
      <c r="C10" s="263" t="n">
        <v>3</v>
      </c>
      <c r="D10" s="264" t="n">
        <v>4</v>
      </c>
      <c r="E10" s="263" t="n">
        <v>5</v>
      </c>
      <c r="F10" s="264" t="n">
        <v>6</v>
      </c>
      <c r="G10" s="263" t="n">
        <v>7</v>
      </c>
      <c r="H10" s="264" t="n">
        <v>8</v>
      </c>
      <c r="I10" s="263" t="n">
        <v>9</v>
      </c>
      <c r="J10" s="264" t="n">
        <v>10</v>
      </c>
      <c r="K10" s="263" t="n">
        <v>11</v>
      </c>
      <c r="L10" s="264" t="n">
        <v>12</v>
      </c>
      <c r="M10" s="263" t="n">
        <v>13</v>
      </c>
      <c r="N10" s="264" t="n">
        <v>14</v>
      </c>
      <c r="O10" s="263" t="n">
        <v>15</v>
      </c>
      <c r="P10" s="264" t="n">
        <v>16</v>
      </c>
      <c r="Q10" s="263" t="n">
        <v>17</v>
      </c>
      <c r="R10" s="264" t="n">
        <v>18</v>
      </c>
      <c r="S10" s="263" t="n">
        <v>19</v>
      </c>
      <c r="T10" s="265" t="n">
        <v>20</v>
      </c>
      <c r="U10" s="45" t="n">
        <v>21</v>
      </c>
      <c r="V10" s="265" t="n">
        <v>22</v>
      </c>
      <c r="W10" s="45" t="n">
        <v>23</v>
      </c>
      <c r="X10" s="265" t="n">
        <v>24</v>
      </c>
      <c r="Y10" s="45" t="n">
        <v>25</v>
      </c>
      <c r="Z10" s="265" t="n">
        <v>26</v>
      </c>
      <c r="AA10" s="45" t="n">
        <v>27</v>
      </c>
      <c r="AB10" s="265" t="n">
        <v>28</v>
      </c>
      <c r="AC10" s="45" t="n">
        <v>29</v>
      </c>
      <c r="AD10" s="265" t="n">
        <v>30</v>
      </c>
      <c r="AE10" s="45" t="n">
        <v>31</v>
      </c>
      <c r="AF10" s="265" t="n">
        <v>32</v>
      </c>
      <c r="AG10" s="45" t="n">
        <v>33</v>
      </c>
      <c r="AH10" s="265" t="n">
        <v>34</v>
      </c>
      <c r="AI10" s="45" t="n">
        <v>35</v>
      </c>
      <c r="AJ10" s="265" t="n">
        <v>36</v>
      </c>
      <c r="AK10" s="45" t="n">
        <v>37</v>
      </c>
      <c r="AL10" s="265" t="n">
        <v>38</v>
      </c>
      <c r="AM10" s="45" t="n">
        <v>39</v>
      </c>
      <c r="AN10" s="265" t="n">
        <v>40</v>
      </c>
      <c r="AO10" s="45" t="n">
        <v>41</v>
      </c>
      <c r="AP10" s="266" t="n">
        <v>44</v>
      </c>
    </row>
    <row r="11" s="43" customFormat="true" ht="38.25" hidden="false" customHeight="false" outlineLevel="0" collapsed="false">
      <c r="A11" s="200" t="n">
        <v>1</v>
      </c>
      <c r="B11" s="110" t="s">
        <v>130</v>
      </c>
      <c r="C11" s="110" t="s">
        <v>326</v>
      </c>
      <c r="D11" s="111" t="n">
        <v>6</v>
      </c>
      <c r="E11" s="119" t="s">
        <v>738</v>
      </c>
      <c r="F11" s="132" t="n">
        <f aca="false">589/1.2</f>
        <v>490.833333333333</v>
      </c>
      <c r="G11" s="132" t="n">
        <f aca="false">F11*D11</f>
        <v>2945</v>
      </c>
      <c r="H11" s="119" t="s">
        <v>739</v>
      </c>
      <c r="I11" s="267"/>
      <c r="J11" s="268"/>
      <c r="K11" s="267"/>
      <c r="L11" s="268"/>
      <c r="M11" s="269" t="n">
        <f aca="false">100.8*8.13</f>
        <v>819.504</v>
      </c>
      <c r="N11" s="119"/>
      <c r="O11" s="267"/>
      <c r="P11" s="268"/>
      <c r="Q11" s="267"/>
      <c r="R11" s="268"/>
      <c r="S11" s="132" t="n">
        <f aca="false">D11*M11</f>
        <v>4917.024</v>
      </c>
      <c r="T11" s="268" t="s">
        <v>740</v>
      </c>
      <c r="U11" s="270"/>
      <c r="V11" s="271"/>
      <c r="W11" s="267"/>
      <c r="X11" s="268"/>
      <c r="Y11" s="119"/>
      <c r="Z11" s="268"/>
      <c r="AA11" s="272"/>
      <c r="AB11" s="271"/>
      <c r="AC11" s="267"/>
      <c r="AD11" s="268"/>
      <c r="AE11" s="119"/>
      <c r="AF11" s="268"/>
      <c r="AG11" s="268"/>
      <c r="AH11" s="271"/>
      <c r="AI11" s="267"/>
      <c r="AJ11" s="268"/>
      <c r="AK11" s="119"/>
      <c r="AL11" s="268"/>
      <c r="AM11" s="268"/>
      <c r="AN11" s="270" t="n">
        <f aca="false">(AM11+AG11+AA11)/3</f>
        <v>0</v>
      </c>
      <c r="AO11" s="270" t="n">
        <f aca="false">AG11</f>
        <v>0</v>
      </c>
      <c r="AP11" s="273"/>
      <c r="AQ11" s="274" t="e">
        <f aca="false">(AA11-AN11)/AA11</f>
        <v>#DIV/0!</v>
      </c>
      <c r="AR11" s="274" t="e">
        <f aca="false">(AG11-AN11)/AG11</f>
        <v>#DIV/0!</v>
      </c>
      <c r="AS11" s="274" t="e">
        <f aca="false">(AM11-AN11)/AM11</f>
        <v>#DIV/0!</v>
      </c>
    </row>
    <row r="12" s="43" customFormat="true" ht="51" hidden="false" customHeight="false" outlineLevel="0" collapsed="false">
      <c r="A12" s="200" t="n">
        <v>2</v>
      </c>
      <c r="B12" s="110" t="s">
        <v>741</v>
      </c>
      <c r="C12" s="110" t="s">
        <v>31</v>
      </c>
      <c r="D12" s="111" t="n">
        <v>6</v>
      </c>
      <c r="E12" s="119" t="s">
        <v>742</v>
      </c>
      <c r="F12" s="132" t="n">
        <f aca="false">534/25/1.2</f>
        <v>17.8</v>
      </c>
      <c r="G12" s="132" t="n">
        <f aca="false">D12*F12</f>
        <v>106.8</v>
      </c>
      <c r="H12" s="119" t="s">
        <v>743</v>
      </c>
      <c r="I12" s="267"/>
      <c r="J12" s="268"/>
      <c r="K12" s="267"/>
      <c r="L12" s="268"/>
      <c r="M12" s="269" t="n">
        <f aca="false">2.82*8.13</f>
        <v>22.9266</v>
      </c>
      <c r="N12" s="119"/>
      <c r="O12" s="267"/>
      <c r="P12" s="268"/>
      <c r="Q12" s="267"/>
      <c r="R12" s="268"/>
      <c r="S12" s="132" t="n">
        <f aca="false">D12*M12</f>
        <v>137.5596</v>
      </c>
      <c r="T12" s="268" t="s">
        <v>740</v>
      </c>
      <c r="U12" s="270"/>
      <c r="V12" s="119" t="s">
        <v>744</v>
      </c>
      <c r="W12" s="267"/>
      <c r="X12" s="268"/>
      <c r="Y12" s="119"/>
      <c r="Z12" s="268"/>
      <c r="AA12" s="132" t="n">
        <f aca="false">900/25/1.2</f>
        <v>30</v>
      </c>
      <c r="AB12" s="119" t="s">
        <v>745</v>
      </c>
      <c r="AC12" s="267"/>
      <c r="AD12" s="268"/>
      <c r="AE12" s="119"/>
      <c r="AF12" s="268"/>
      <c r="AG12" s="132" t="n">
        <f aca="false">860/25/1.2</f>
        <v>28.6666666666667</v>
      </c>
      <c r="AH12" s="271"/>
      <c r="AI12" s="267"/>
      <c r="AJ12" s="268"/>
      <c r="AK12" s="119"/>
      <c r="AL12" s="268"/>
      <c r="AM12" s="268"/>
      <c r="AN12" s="270" t="n">
        <f aca="false">(AM12+AG12+AA12)/3</f>
        <v>19.5555555555556</v>
      </c>
      <c r="AO12" s="270" t="n">
        <f aca="false">AG12</f>
        <v>28.6666666666667</v>
      </c>
      <c r="AP12" s="273"/>
      <c r="AQ12" s="274" t="n">
        <f aca="false">(AA12-AN12)/AA12</f>
        <v>0.348148148148148</v>
      </c>
      <c r="AR12" s="274" t="n">
        <f aca="false">(AG12-AN12)/AG12</f>
        <v>0.317829457364341</v>
      </c>
      <c r="AS12" s="274" t="e">
        <f aca="false">(AM12-AN12)/AM12</f>
        <v>#DIV/0!</v>
      </c>
    </row>
    <row r="13" s="43" customFormat="true" ht="51.75" hidden="false" customHeight="true" outlineLevel="0" collapsed="false">
      <c r="A13" s="200" t="n">
        <v>3</v>
      </c>
      <c r="B13" s="110" t="s">
        <v>746</v>
      </c>
      <c r="C13" s="110" t="s">
        <v>326</v>
      </c>
      <c r="D13" s="111" t="n">
        <v>42.5</v>
      </c>
      <c r="E13" s="119" t="s">
        <v>747</v>
      </c>
      <c r="F13" s="132" t="n">
        <f aca="false">450/1.2</f>
        <v>375</v>
      </c>
      <c r="G13" s="132" t="n">
        <f aca="false">D13*F13</f>
        <v>15937.5</v>
      </c>
      <c r="H13" s="119" t="s">
        <v>748</v>
      </c>
      <c r="I13" s="267"/>
      <c r="J13" s="268"/>
      <c r="K13" s="267"/>
      <c r="L13" s="268"/>
      <c r="M13" s="269" t="n">
        <f aca="false">85.6*8.13</f>
        <v>695.928</v>
      </c>
      <c r="N13" s="119"/>
      <c r="O13" s="267"/>
      <c r="P13" s="268"/>
      <c r="Q13" s="267"/>
      <c r="R13" s="268"/>
      <c r="S13" s="132" t="n">
        <f aca="false">D13*M13</f>
        <v>29576.94</v>
      </c>
      <c r="T13" s="268" t="s">
        <v>740</v>
      </c>
      <c r="U13" s="270"/>
      <c r="V13" s="271" t="s">
        <v>749</v>
      </c>
      <c r="W13" s="267"/>
      <c r="X13" s="268"/>
      <c r="Y13" s="119"/>
      <c r="Z13" s="268"/>
      <c r="AA13" s="132" t="n">
        <f aca="false">1300/1.2/5</f>
        <v>216.666666666667</v>
      </c>
      <c r="AB13" s="271" t="s">
        <v>750</v>
      </c>
      <c r="AC13" s="267"/>
      <c r="AD13" s="268"/>
      <c r="AE13" s="119"/>
      <c r="AF13" s="268"/>
      <c r="AG13" s="132" t="n">
        <f aca="false">180/1.2</f>
        <v>150</v>
      </c>
      <c r="AH13" s="271"/>
      <c r="AI13" s="267"/>
      <c r="AJ13" s="268"/>
      <c r="AK13" s="119"/>
      <c r="AL13" s="268"/>
      <c r="AM13" s="268"/>
      <c r="AN13" s="270" t="n">
        <f aca="false">(AM13+AG13+AA13)/3</f>
        <v>122.222222222222</v>
      </c>
      <c r="AO13" s="270" t="n">
        <f aca="false">AG13</f>
        <v>150</v>
      </c>
      <c r="AP13" s="273"/>
      <c r="AQ13" s="274" t="n">
        <f aca="false">(AA13-AN13)/AA13</f>
        <v>0.435897435897436</v>
      </c>
      <c r="AR13" s="274" t="n">
        <f aca="false">(AG13-AN13)/AG13</f>
        <v>0.185185185185185</v>
      </c>
      <c r="AS13" s="274" t="e">
        <f aca="false">(AM13-AN13)/AM13</f>
        <v>#DIV/0!</v>
      </c>
    </row>
    <row r="14" s="43" customFormat="true" ht="62.25" hidden="false" customHeight="true" outlineLevel="0" collapsed="false">
      <c r="A14" s="200" t="n">
        <v>4</v>
      </c>
      <c r="B14" s="110" t="s">
        <v>751</v>
      </c>
      <c r="C14" s="110" t="s">
        <v>326</v>
      </c>
      <c r="D14" s="111" t="n">
        <v>21</v>
      </c>
      <c r="E14" s="119" t="s">
        <v>742</v>
      </c>
      <c r="F14" s="132" t="n">
        <f aca="false">750/1.2</f>
        <v>625</v>
      </c>
      <c r="G14" s="132" t="n">
        <f aca="false">D14*F14</f>
        <v>13125</v>
      </c>
      <c r="H14" s="119" t="s">
        <v>752</v>
      </c>
      <c r="I14" s="267"/>
      <c r="J14" s="268"/>
      <c r="K14" s="267"/>
      <c r="L14" s="268"/>
      <c r="M14" s="269" t="n">
        <f aca="false">149.51/1.35*8.13</f>
        <v>900.382444444444</v>
      </c>
      <c r="N14" s="119"/>
      <c r="O14" s="267"/>
      <c r="P14" s="268"/>
      <c r="Q14" s="267"/>
      <c r="R14" s="268"/>
      <c r="S14" s="132" t="n">
        <f aca="false">D14*M14</f>
        <v>18908.0313333333</v>
      </c>
      <c r="T14" s="268" t="s">
        <v>740</v>
      </c>
      <c r="U14" s="270"/>
      <c r="V14" s="119" t="s">
        <v>744</v>
      </c>
      <c r="W14" s="267"/>
      <c r="X14" s="268"/>
      <c r="Y14" s="119"/>
      <c r="Z14" s="268"/>
      <c r="AA14" s="132" t="n">
        <f aca="false">850/1.2</f>
        <v>708.333333333333</v>
      </c>
      <c r="AB14" s="119" t="s">
        <v>745</v>
      </c>
      <c r="AC14" s="267"/>
      <c r="AD14" s="268"/>
      <c r="AE14" s="119"/>
      <c r="AF14" s="268"/>
      <c r="AG14" s="132" t="n">
        <f aca="false">800/1.2</f>
        <v>666.666666666667</v>
      </c>
      <c r="AH14" s="271"/>
      <c r="AI14" s="267"/>
      <c r="AJ14" s="268"/>
      <c r="AK14" s="119"/>
      <c r="AL14" s="268"/>
      <c r="AM14" s="268"/>
      <c r="AN14" s="270" t="n">
        <f aca="false">(AM14+AG14+AA14)/3</f>
        <v>458.333333333333</v>
      </c>
      <c r="AO14" s="270" t="n">
        <f aca="false">AG14</f>
        <v>666.666666666667</v>
      </c>
      <c r="AP14" s="273"/>
      <c r="AQ14" s="274" t="n">
        <f aca="false">(AA14-AN14)/AA14</f>
        <v>0.352941176470588</v>
      </c>
      <c r="AR14" s="274" t="n">
        <f aca="false">(AG14-AN14)/AG14</f>
        <v>0.3125</v>
      </c>
      <c r="AS14" s="274" t="e">
        <f aca="false">(AM14-AN14)/AM14</f>
        <v>#DIV/0!</v>
      </c>
    </row>
    <row r="15" s="43" customFormat="true" ht="62.25" hidden="false" customHeight="true" outlineLevel="0" collapsed="false">
      <c r="A15" s="200" t="n">
        <v>5</v>
      </c>
      <c r="B15" s="110" t="s">
        <v>753</v>
      </c>
      <c r="C15" s="110" t="s">
        <v>326</v>
      </c>
      <c r="D15" s="111" t="n">
        <v>106.3</v>
      </c>
      <c r="E15" s="119" t="s">
        <v>742</v>
      </c>
      <c r="F15" s="132" t="n">
        <f aca="false">648/1.2</f>
        <v>540</v>
      </c>
      <c r="G15" s="132" t="n">
        <f aca="false">D15*F15</f>
        <v>57402</v>
      </c>
      <c r="H15" s="119" t="s">
        <v>752</v>
      </c>
      <c r="I15" s="267"/>
      <c r="J15" s="268"/>
      <c r="K15" s="267"/>
      <c r="L15" s="268"/>
      <c r="M15" s="269" t="n">
        <f aca="false">149.51/1.35*8.13</f>
        <v>900.382444444444</v>
      </c>
      <c r="N15" s="119"/>
      <c r="O15" s="267"/>
      <c r="P15" s="268"/>
      <c r="Q15" s="267"/>
      <c r="R15" s="268"/>
      <c r="S15" s="132" t="n">
        <f aca="false">D15*M15</f>
        <v>95710.6538444444</v>
      </c>
      <c r="T15" s="268" t="s">
        <v>740</v>
      </c>
      <c r="U15" s="270"/>
      <c r="V15" s="119" t="s">
        <v>744</v>
      </c>
      <c r="W15" s="267"/>
      <c r="X15" s="268"/>
      <c r="Y15" s="119"/>
      <c r="Z15" s="268"/>
      <c r="AA15" s="132" t="n">
        <f aca="false">850/1.2</f>
        <v>708.333333333333</v>
      </c>
      <c r="AB15" s="119" t="s">
        <v>745</v>
      </c>
      <c r="AC15" s="267"/>
      <c r="AD15" s="268"/>
      <c r="AE15" s="119"/>
      <c r="AF15" s="268"/>
      <c r="AG15" s="132" t="n">
        <f aca="false">800/1.2</f>
        <v>666.666666666667</v>
      </c>
      <c r="AH15" s="271"/>
      <c r="AI15" s="267"/>
      <c r="AJ15" s="268"/>
      <c r="AK15" s="119"/>
      <c r="AL15" s="268"/>
      <c r="AM15" s="268"/>
      <c r="AN15" s="270" t="n">
        <f aca="false">(AM15+AG15+AA15)/3</f>
        <v>458.333333333333</v>
      </c>
      <c r="AO15" s="270" t="n">
        <f aca="false">AG15</f>
        <v>666.666666666667</v>
      </c>
      <c r="AP15" s="273"/>
      <c r="AQ15" s="274" t="n">
        <f aca="false">(AA15-AN15)/AA15</f>
        <v>0.352941176470588</v>
      </c>
      <c r="AR15" s="274" t="n">
        <f aca="false">(AG15-AN15)/AG15</f>
        <v>0.3125</v>
      </c>
      <c r="AS15" s="274" t="e">
        <f aca="false">(AM15-AN15)/AM15</f>
        <v>#DIV/0!</v>
      </c>
    </row>
    <row r="16" s="43" customFormat="true" ht="62.25" hidden="false" customHeight="true" outlineLevel="0" collapsed="false">
      <c r="A16" s="200" t="n">
        <v>6</v>
      </c>
      <c r="B16" s="110" t="s">
        <v>754</v>
      </c>
      <c r="C16" s="110" t="s">
        <v>326</v>
      </c>
      <c r="D16" s="111" t="n">
        <v>8.5</v>
      </c>
      <c r="E16" s="119" t="s">
        <v>742</v>
      </c>
      <c r="F16" s="132" t="n">
        <f aca="false">612/1.2</f>
        <v>510</v>
      </c>
      <c r="G16" s="132" t="n">
        <f aca="false">D16*F16</f>
        <v>4335</v>
      </c>
      <c r="H16" s="119" t="s">
        <v>752</v>
      </c>
      <c r="I16" s="267"/>
      <c r="J16" s="268"/>
      <c r="K16" s="267"/>
      <c r="L16" s="268"/>
      <c r="M16" s="269" t="n">
        <f aca="false">149.51/1.35*8.13</f>
        <v>900.382444444444</v>
      </c>
      <c r="N16" s="119"/>
      <c r="O16" s="267"/>
      <c r="P16" s="268"/>
      <c r="Q16" s="267"/>
      <c r="R16" s="268"/>
      <c r="S16" s="132" t="n">
        <f aca="false">D16*M16</f>
        <v>7653.25077777778</v>
      </c>
      <c r="T16" s="268" t="s">
        <v>740</v>
      </c>
      <c r="U16" s="270"/>
      <c r="V16" s="119" t="s">
        <v>744</v>
      </c>
      <c r="W16" s="267"/>
      <c r="X16" s="268"/>
      <c r="Y16" s="119"/>
      <c r="Z16" s="268"/>
      <c r="AA16" s="132" t="n">
        <f aca="false">850/1.2</f>
        <v>708.333333333333</v>
      </c>
      <c r="AB16" s="119" t="s">
        <v>745</v>
      </c>
      <c r="AC16" s="267"/>
      <c r="AD16" s="268"/>
      <c r="AE16" s="119"/>
      <c r="AF16" s="268"/>
      <c r="AG16" s="132" t="n">
        <f aca="false">800/1.2</f>
        <v>666.666666666667</v>
      </c>
      <c r="AH16" s="271"/>
      <c r="AI16" s="267"/>
      <c r="AJ16" s="268"/>
      <c r="AK16" s="119"/>
      <c r="AL16" s="268"/>
      <c r="AM16" s="268"/>
      <c r="AN16" s="270" t="n">
        <f aca="false">(AM16+AG16+AA16)/3</f>
        <v>458.333333333333</v>
      </c>
      <c r="AO16" s="270" t="n">
        <f aca="false">AG16</f>
        <v>666.666666666667</v>
      </c>
      <c r="AP16" s="273"/>
      <c r="AQ16" s="274" t="n">
        <f aca="false">(AA16-AN16)/AA16</f>
        <v>0.352941176470588</v>
      </c>
      <c r="AR16" s="274" t="n">
        <f aca="false">(AG16-AN16)/AG16</f>
        <v>0.3125</v>
      </c>
      <c r="AS16" s="274" t="e">
        <f aca="false">(AM16-AN16)/AM16</f>
        <v>#DIV/0!</v>
      </c>
    </row>
    <row r="17" s="43" customFormat="true" ht="62.25" hidden="false" customHeight="true" outlineLevel="0" collapsed="false">
      <c r="A17" s="200" t="n">
        <v>7</v>
      </c>
      <c r="B17" s="110" t="s">
        <v>755</v>
      </c>
      <c r="C17" s="110" t="s">
        <v>31</v>
      </c>
      <c r="D17" s="111" t="n">
        <v>6.5</v>
      </c>
      <c r="E17" s="119" t="s">
        <v>742</v>
      </c>
      <c r="F17" s="132" t="n">
        <f aca="false">648/1.2</f>
        <v>540</v>
      </c>
      <c r="G17" s="132" t="n">
        <f aca="false">D17*F17</f>
        <v>3510</v>
      </c>
      <c r="H17" s="119" t="s">
        <v>752</v>
      </c>
      <c r="I17" s="267"/>
      <c r="J17" s="268"/>
      <c r="K17" s="267"/>
      <c r="L17" s="268"/>
      <c r="M17" s="269" t="n">
        <f aca="false">149.51/1.35*8.13</f>
        <v>900.382444444444</v>
      </c>
      <c r="N17" s="119"/>
      <c r="O17" s="267"/>
      <c r="P17" s="268"/>
      <c r="Q17" s="267"/>
      <c r="R17" s="268"/>
      <c r="S17" s="132" t="n">
        <f aca="false">D17*M17</f>
        <v>5852.48588888889</v>
      </c>
      <c r="T17" s="268" t="s">
        <v>740</v>
      </c>
      <c r="U17" s="270"/>
      <c r="V17" s="119" t="s">
        <v>744</v>
      </c>
      <c r="W17" s="267"/>
      <c r="X17" s="268"/>
      <c r="Y17" s="119"/>
      <c r="Z17" s="268"/>
      <c r="AA17" s="132" t="n">
        <f aca="false">850/1.2</f>
        <v>708.333333333333</v>
      </c>
      <c r="AB17" s="119" t="s">
        <v>745</v>
      </c>
      <c r="AC17" s="267"/>
      <c r="AD17" s="268"/>
      <c r="AE17" s="119"/>
      <c r="AF17" s="268"/>
      <c r="AG17" s="132" t="n">
        <f aca="false">800/1.2</f>
        <v>666.666666666667</v>
      </c>
      <c r="AH17" s="271"/>
      <c r="AI17" s="267"/>
      <c r="AJ17" s="268"/>
      <c r="AK17" s="119"/>
      <c r="AL17" s="268"/>
      <c r="AM17" s="268"/>
      <c r="AN17" s="270" t="n">
        <f aca="false">(AM17+AG17+AA17)/3</f>
        <v>458.333333333333</v>
      </c>
      <c r="AO17" s="270" t="n">
        <f aca="false">AG17</f>
        <v>666.666666666667</v>
      </c>
      <c r="AP17" s="273"/>
      <c r="AQ17" s="274" t="n">
        <f aca="false">(AA17-AN17)/AA17</f>
        <v>0.352941176470588</v>
      </c>
      <c r="AR17" s="274" t="n">
        <f aca="false">(AG17-AN17)/AG17</f>
        <v>0.3125</v>
      </c>
      <c r="AS17" s="274" t="e">
        <f aca="false">(AM17-AN17)/AM17</f>
        <v>#DIV/0!</v>
      </c>
    </row>
    <row r="18" s="43" customFormat="true" ht="62.25" hidden="false" customHeight="true" outlineLevel="0" collapsed="false">
      <c r="A18" s="200" t="n">
        <v>8</v>
      </c>
      <c r="B18" s="110" t="s">
        <v>756</v>
      </c>
      <c r="C18" s="110" t="s">
        <v>31</v>
      </c>
      <c r="D18" s="111" t="n">
        <v>2</v>
      </c>
      <c r="E18" s="119" t="s">
        <v>742</v>
      </c>
      <c r="F18" s="132" t="n">
        <f aca="false">612/1.2</f>
        <v>510</v>
      </c>
      <c r="G18" s="132" t="n">
        <f aca="false">D18*F18</f>
        <v>1020</v>
      </c>
      <c r="H18" s="119" t="s">
        <v>752</v>
      </c>
      <c r="I18" s="267"/>
      <c r="J18" s="268"/>
      <c r="K18" s="267"/>
      <c r="L18" s="268"/>
      <c r="M18" s="269" t="n">
        <f aca="false">149.51/1.35*8.13</f>
        <v>900.382444444444</v>
      </c>
      <c r="N18" s="119"/>
      <c r="O18" s="267"/>
      <c r="P18" s="268"/>
      <c r="Q18" s="267"/>
      <c r="R18" s="268"/>
      <c r="S18" s="132" t="n">
        <f aca="false">D18*M18</f>
        <v>1800.76488888889</v>
      </c>
      <c r="T18" s="268" t="s">
        <v>740</v>
      </c>
      <c r="U18" s="270"/>
      <c r="V18" s="119" t="s">
        <v>744</v>
      </c>
      <c r="W18" s="267"/>
      <c r="X18" s="268"/>
      <c r="Y18" s="119"/>
      <c r="Z18" s="268"/>
      <c r="AA18" s="132" t="n">
        <f aca="false">850/1.2</f>
        <v>708.333333333333</v>
      </c>
      <c r="AB18" s="119" t="s">
        <v>745</v>
      </c>
      <c r="AC18" s="267"/>
      <c r="AD18" s="268"/>
      <c r="AE18" s="119"/>
      <c r="AF18" s="268"/>
      <c r="AG18" s="132" t="n">
        <f aca="false">810/1.2</f>
        <v>675</v>
      </c>
      <c r="AH18" s="271"/>
      <c r="AI18" s="267"/>
      <c r="AJ18" s="268"/>
      <c r="AK18" s="119"/>
      <c r="AL18" s="268"/>
      <c r="AM18" s="268"/>
      <c r="AN18" s="270" t="n">
        <f aca="false">(AM18+AG18+AA18)/3</f>
        <v>461.111111111111</v>
      </c>
      <c r="AO18" s="270" t="n">
        <f aca="false">AG18</f>
        <v>675</v>
      </c>
      <c r="AP18" s="273"/>
      <c r="AQ18" s="274" t="n">
        <f aca="false">(AA18-AN18)/AA18</f>
        <v>0.349019607843137</v>
      </c>
      <c r="AR18" s="274" t="n">
        <f aca="false">(AG18-AN18)/AG18</f>
        <v>0.316872427983539</v>
      </c>
      <c r="AS18" s="274" t="e">
        <f aca="false">(AM18-AN18)/AM18</f>
        <v>#DIV/0!</v>
      </c>
    </row>
    <row r="19" s="43" customFormat="true" ht="81" hidden="false" customHeight="true" outlineLevel="0" collapsed="false">
      <c r="A19" s="200" t="n">
        <v>9</v>
      </c>
      <c r="B19" s="110" t="s">
        <v>757</v>
      </c>
      <c r="C19" s="110" t="s">
        <v>305</v>
      </c>
      <c r="D19" s="111" t="n">
        <v>360</v>
      </c>
      <c r="E19" s="119" t="s">
        <v>758</v>
      </c>
      <c r="F19" s="132" t="n">
        <f aca="false">13000/20/1.2</f>
        <v>541.666666666667</v>
      </c>
      <c r="G19" s="132" t="n">
        <f aca="false">D19*F19</f>
        <v>195000</v>
      </c>
      <c r="H19" s="119" t="s">
        <v>759</v>
      </c>
      <c r="I19" s="267"/>
      <c r="J19" s="268"/>
      <c r="K19" s="267"/>
      <c r="L19" s="268"/>
      <c r="M19" s="269" t="n">
        <f aca="false">67.1*8.13</f>
        <v>545.523</v>
      </c>
      <c r="N19" s="119"/>
      <c r="O19" s="267"/>
      <c r="P19" s="268"/>
      <c r="Q19" s="267"/>
      <c r="R19" s="268"/>
      <c r="S19" s="132" t="n">
        <f aca="false">D19*M19</f>
        <v>196388.28</v>
      </c>
      <c r="T19" s="268" t="s">
        <v>740</v>
      </c>
      <c r="U19" s="270"/>
      <c r="V19" s="271" t="s">
        <v>760</v>
      </c>
      <c r="W19" s="267"/>
      <c r="X19" s="268"/>
      <c r="Y19" s="119"/>
      <c r="Z19" s="268"/>
      <c r="AA19" s="132" t="n">
        <f aca="false">521/1.2</f>
        <v>434.166666666667</v>
      </c>
      <c r="AB19" s="271" t="s">
        <v>761</v>
      </c>
      <c r="AC19" s="267"/>
      <c r="AD19" s="268"/>
      <c r="AE19" s="119"/>
      <c r="AF19" s="268"/>
      <c r="AG19" s="132" t="n">
        <f aca="false">517.4/1.2</f>
        <v>431.166666666667</v>
      </c>
      <c r="AH19" s="271"/>
      <c r="AI19" s="267"/>
      <c r="AJ19" s="268"/>
      <c r="AK19" s="119"/>
      <c r="AL19" s="268"/>
      <c r="AM19" s="268"/>
      <c r="AN19" s="270" t="n">
        <f aca="false">(AM19+AG19+AA19)/3</f>
        <v>288.444444444444</v>
      </c>
      <c r="AO19" s="270" t="n">
        <f aca="false">AG19</f>
        <v>431.166666666667</v>
      </c>
      <c r="AP19" s="273"/>
      <c r="AQ19" s="274" t="n">
        <f aca="false">(AA19-AN19)/AA19</f>
        <v>0.335636596289187</v>
      </c>
      <c r="AR19" s="274" t="n">
        <f aca="false">(AG19-AN19)/AG19</f>
        <v>0.331014044581884</v>
      </c>
      <c r="AS19" s="274" t="e">
        <f aca="false">(AM19-AN19)/AM19</f>
        <v>#DIV/0!</v>
      </c>
    </row>
    <row r="20" s="43" customFormat="true" ht="68.25" hidden="false" customHeight="true" outlineLevel="0" collapsed="false">
      <c r="A20" s="200" t="n">
        <v>10</v>
      </c>
      <c r="B20" s="110" t="s">
        <v>762</v>
      </c>
      <c r="C20" s="110" t="s">
        <v>326</v>
      </c>
      <c r="D20" s="111" t="n">
        <v>19.2</v>
      </c>
      <c r="E20" s="119" t="s">
        <v>763</v>
      </c>
      <c r="F20" s="132" t="n">
        <f aca="false">1400/1.2</f>
        <v>1166.66666666667</v>
      </c>
      <c r="G20" s="132" t="n">
        <f aca="false">D20*F20</f>
        <v>22400</v>
      </c>
      <c r="H20" s="119" t="s">
        <v>764</v>
      </c>
      <c r="I20" s="267"/>
      <c r="J20" s="268"/>
      <c r="K20" s="267"/>
      <c r="L20" s="268"/>
      <c r="M20" s="269" t="n">
        <f aca="false">152.5*8.13</f>
        <v>1239.825</v>
      </c>
      <c r="N20" s="119"/>
      <c r="O20" s="267"/>
      <c r="P20" s="268"/>
      <c r="Q20" s="267"/>
      <c r="R20" s="268"/>
      <c r="S20" s="132" t="n">
        <f aca="false">D20*M20</f>
        <v>23804.64</v>
      </c>
      <c r="T20" s="268" t="s">
        <v>740</v>
      </c>
      <c r="U20" s="270"/>
      <c r="V20" s="271" t="s">
        <v>98</v>
      </c>
      <c r="W20" s="267"/>
      <c r="X20" s="268"/>
      <c r="Y20" s="119"/>
      <c r="Z20" s="268"/>
      <c r="AA20" s="132" t="n">
        <f aca="false">44800/1.2/18</f>
        <v>2074.07407407407</v>
      </c>
      <c r="AB20" s="271" t="s">
        <v>765</v>
      </c>
      <c r="AC20" s="267"/>
      <c r="AD20" s="268"/>
      <c r="AE20" s="119"/>
      <c r="AF20" s="268"/>
      <c r="AG20" s="132" t="n">
        <f aca="false">3640/1.2/0.8</f>
        <v>3791.66666666667</v>
      </c>
      <c r="AH20" s="271"/>
      <c r="AI20" s="267"/>
      <c r="AJ20" s="268"/>
      <c r="AK20" s="119"/>
      <c r="AL20" s="268"/>
      <c r="AM20" s="268"/>
      <c r="AN20" s="270" t="n">
        <f aca="false">(AM20+AG20+AA20)/3</f>
        <v>1955.24691358025</v>
      </c>
      <c r="AO20" s="270" t="n">
        <f aca="false">AG20</f>
        <v>3791.66666666667</v>
      </c>
      <c r="AP20" s="273"/>
      <c r="AQ20" s="274" t="n">
        <f aca="false">(AA20-AN20)/AA20</f>
        <v>0.0572916666666668</v>
      </c>
      <c r="AR20" s="274" t="n">
        <f aca="false">(AG20-AN20)/AG20</f>
        <v>0.484330484330484</v>
      </c>
      <c r="AS20" s="274" t="e">
        <f aca="false">(AM20-AN20)/AM20</f>
        <v>#DIV/0!</v>
      </c>
    </row>
    <row r="21" s="43" customFormat="true" ht="63.75" hidden="false" customHeight="true" outlineLevel="0" collapsed="false">
      <c r="A21" s="200" t="n">
        <v>11</v>
      </c>
      <c r="B21" s="110" t="s">
        <v>153</v>
      </c>
      <c r="C21" s="110" t="s">
        <v>766</v>
      </c>
      <c r="D21" s="111" t="n">
        <v>42</v>
      </c>
      <c r="E21" s="119" t="s">
        <v>767</v>
      </c>
      <c r="F21" s="132" t="n">
        <f aca="false">800/1.2</f>
        <v>666.666666666667</v>
      </c>
      <c r="G21" s="132" t="n">
        <f aca="false">D21*F21</f>
        <v>28000</v>
      </c>
      <c r="H21" s="119" t="s">
        <v>768</v>
      </c>
      <c r="I21" s="267"/>
      <c r="J21" s="268"/>
      <c r="K21" s="267"/>
      <c r="L21" s="268"/>
      <c r="M21" s="269" t="n">
        <f aca="false">50.39*8.13</f>
        <v>409.6707</v>
      </c>
      <c r="N21" s="119"/>
      <c r="O21" s="267"/>
      <c r="P21" s="268"/>
      <c r="Q21" s="267"/>
      <c r="R21" s="268"/>
      <c r="S21" s="132" t="n">
        <f aca="false">D21*M21</f>
        <v>17206.1694</v>
      </c>
      <c r="T21" s="268" t="s">
        <v>740</v>
      </c>
      <c r="U21" s="270"/>
      <c r="V21" s="271" t="s">
        <v>769</v>
      </c>
      <c r="W21" s="267"/>
      <c r="X21" s="268"/>
      <c r="Y21" s="119"/>
      <c r="Z21" s="268"/>
      <c r="AA21" s="132" t="n">
        <f aca="false">900/1.2</f>
        <v>750</v>
      </c>
      <c r="AB21" s="271" t="s">
        <v>770</v>
      </c>
      <c r="AC21" s="267"/>
      <c r="AD21" s="268"/>
      <c r="AE21" s="119"/>
      <c r="AF21" s="268"/>
      <c r="AG21" s="132" t="n">
        <f aca="false">811/1.2</f>
        <v>675.833333333333</v>
      </c>
      <c r="AH21" s="271"/>
      <c r="AI21" s="267"/>
      <c r="AJ21" s="268"/>
      <c r="AK21" s="119"/>
      <c r="AL21" s="268"/>
      <c r="AM21" s="268"/>
      <c r="AN21" s="270" t="n">
        <f aca="false">(AM21+AG21+AA21)/3</f>
        <v>475.277777777778</v>
      </c>
      <c r="AO21" s="270" t="n">
        <f aca="false">AG21</f>
        <v>675.833333333333</v>
      </c>
      <c r="AP21" s="273"/>
      <c r="AQ21" s="274" t="n">
        <f aca="false">(AA21-AN21)/AA21</f>
        <v>0.366296296296296</v>
      </c>
      <c r="AR21" s="274" t="n">
        <f aca="false">(AG21-AN21)/AG21</f>
        <v>0.296752979860255</v>
      </c>
      <c r="AS21" s="274" t="e">
        <f aca="false">(AM21-AN21)/AM21</f>
        <v>#DIV/0!</v>
      </c>
    </row>
    <row r="22" s="43" customFormat="true" ht="130.5" hidden="false" customHeight="true" outlineLevel="0" collapsed="false">
      <c r="A22" s="200" t="n">
        <v>12</v>
      </c>
      <c r="B22" s="110" t="s">
        <v>771</v>
      </c>
      <c r="C22" s="110" t="s">
        <v>257</v>
      </c>
      <c r="D22" s="275" t="n">
        <v>15</v>
      </c>
      <c r="E22" s="119" t="s">
        <v>772</v>
      </c>
      <c r="F22" s="132" t="n">
        <f aca="false">2940/1.2</f>
        <v>2450</v>
      </c>
      <c r="G22" s="132" t="n">
        <f aca="false">D22*F22</f>
        <v>36750</v>
      </c>
      <c r="H22" s="119" t="s">
        <v>773</v>
      </c>
      <c r="I22" s="267"/>
      <c r="J22" s="268"/>
      <c r="K22" s="267"/>
      <c r="L22" s="268"/>
      <c r="M22" s="269" t="n">
        <f aca="false">12577.54*8.13*0.14</f>
        <v>14315.756028</v>
      </c>
      <c r="N22" s="119"/>
      <c r="O22" s="267"/>
      <c r="P22" s="268"/>
      <c r="Q22" s="267"/>
      <c r="R22" s="268"/>
      <c r="S22" s="132" t="n">
        <f aca="false">M22</f>
        <v>14315.756028</v>
      </c>
      <c r="T22" s="268" t="s">
        <v>740</v>
      </c>
      <c r="U22" s="270"/>
      <c r="V22" s="271"/>
      <c r="W22" s="267"/>
      <c r="X22" s="268"/>
      <c r="Y22" s="119"/>
      <c r="Z22" s="268"/>
      <c r="AA22" s="272"/>
      <c r="AB22" s="271"/>
      <c r="AC22" s="267"/>
      <c r="AD22" s="268"/>
      <c r="AE22" s="119"/>
      <c r="AF22" s="268"/>
      <c r="AG22" s="268"/>
      <c r="AH22" s="271"/>
      <c r="AI22" s="267"/>
      <c r="AJ22" s="268"/>
      <c r="AK22" s="119"/>
      <c r="AL22" s="268"/>
      <c r="AM22" s="268"/>
      <c r="AN22" s="270" t="n">
        <f aca="false">(AM22+AG22+AA22)/3</f>
        <v>0</v>
      </c>
      <c r="AO22" s="270" t="n">
        <f aca="false">AG22</f>
        <v>0</v>
      </c>
      <c r="AP22" s="273"/>
      <c r="AQ22" s="274" t="e">
        <f aca="false">(AA22-AN22)/AA22</f>
        <v>#DIV/0!</v>
      </c>
      <c r="AR22" s="274" t="e">
        <f aca="false">(AG22-AN22)/AG22</f>
        <v>#DIV/0!</v>
      </c>
      <c r="AS22" s="274" t="e">
        <f aca="false">(AM22-AN22)/AM22</f>
        <v>#DIV/0!</v>
      </c>
    </row>
    <row r="23" s="43" customFormat="true" ht="81" hidden="false" customHeight="true" outlineLevel="0" collapsed="false">
      <c r="A23" s="200" t="n">
        <v>13</v>
      </c>
      <c r="B23" s="110" t="s">
        <v>184</v>
      </c>
      <c r="C23" s="110" t="s">
        <v>44</v>
      </c>
      <c r="D23" s="111" t="n">
        <v>5</v>
      </c>
      <c r="E23" s="271" t="s">
        <v>774</v>
      </c>
      <c r="F23" s="132" t="n">
        <f aca="false">193/1.2</f>
        <v>160.833333333333</v>
      </c>
      <c r="G23" s="132" t="n">
        <f aca="false">D23*F23</f>
        <v>804.166666666667</v>
      </c>
      <c r="H23" s="119" t="s">
        <v>775</v>
      </c>
      <c r="I23" s="267"/>
      <c r="J23" s="268"/>
      <c r="K23" s="267"/>
      <c r="L23" s="268"/>
      <c r="M23" s="269" t="n">
        <f aca="false">23.95*8.13</f>
        <v>194.7135</v>
      </c>
      <c r="N23" s="119"/>
      <c r="O23" s="267"/>
      <c r="P23" s="268"/>
      <c r="Q23" s="267"/>
      <c r="R23" s="268"/>
      <c r="S23" s="132" t="n">
        <f aca="false">D23*M23</f>
        <v>973.5675</v>
      </c>
      <c r="T23" s="268" t="s">
        <v>740</v>
      </c>
      <c r="U23" s="270"/>
      <c r="V23" s="271" t="s">
        <v>776</v>
      </c>
      <c r="W23" s="267"/>
      <c r="X23" s="268"/>
      <c r="Y23" s="119"/>
      <c r="Z23" s="268"/>
      <c r="AA23" s="132" t="n">
        <f aca="false">138/1.2</f>
        <v>115</v>
      </c>
      <c r="AB23" s="271" t="s">
        <v>777</v>
      </c>
      <c r="AC23" s="267"/>
      <c r="AD23" s="268"/>
      <c r="AE23" s="119"/>
      <c r="AF23" s="268"/>
      <c r="AG23" s="132" t="n">
        <f aca="false">220/1.2</f>
        <v>183.333333333333</v>
      </c>
      <c r="AH23" s="271"/>
      <c r="AI23" s="267"/>
      <c r="AJ23" s="268"/>
      <c r="AK23" s="119"/>
      <c r="AL23" s="268"/>
      <c r="AM23" s="268"/>
      <c r="AN23" s="270" t="n">
        <f aca="false">(AM23+AG23+AA23)/3</f>
        <v>99.4444444444445</v>
      </c>
      <c r="AO23" s="270" t="n">
        <f aca="false">AG23</f>
        <v>183.333333333333</v>
      </c>
      <c r="AP23" s="273"/>
      <c r="AQ23" s="274" t="n">
        <f aca="false">(AA23-AN23)/AA23</f>
        <v>0.135265700483092</v>
      </c>
      <c r="AR23" s="274" t="n">
        <f aca="false">(AG23-AN23)/AG23</f>
        <v>0.457575757575758</v>
      </c>
      <c r="AS23" s="274" t="e">
        <f aca="false">(AM23-AN23)/AM23</f>
        <v>#DIV/0!</v>
      </c>
    </row>
    <row r="24" s="43" customFormat="true" ht="81" hidden="false" customHeight="true" outlineLevel="0" collapsed="false">
      <c r="A24" s="200" t="n">
        <v>14</v>
      </c>
      <c r="B24" s="276"/>
      <c r="C24" s="277"/>
      <c r="D24" s="278"/>
      <c r="E24" s="272"/>
      <c r="F24" s="132"/>
      <c r="G24" s="132" t="n">
        <f aca="false">D24*F24</f>
        <v>0</v>
      </c>
      <c r="H24" s="119"/>
      <c r="I24" s="267"/>
      <c r="J24" s="268"/>
      <c r="K24" s="267"/>
      <c r="L24" s="268"/>
      <c r="M24" s="269"/>
      <c r="N24" s="119"/>
      <c r="O24" s="267"/>
      <c r="P24" s="268"/>
      <c r="Q24" s="267"/>
      <c r="R24" s="268"/>
      <c r="S24" s="132" t="n">
        <f aca="false">D24*M24</f>
        <v>0</v>
      </c>
      <c r="T24" s="268"/>
      <c r="U24" s="270"/>
      <c r="V24" s="271"/>
      <c r="W24" s="267"/>
      <c r="X24" s="268"/>
      <c r="Y24" s="119"/>
      <c r="Z24" s="268"/>
      <c r="AA24" s="272"/>
      <c r="AB24" s="271"/>
      <c r="AC24" s="267"/>
      <c r="AD24" s="268"/>
      <c r="AE24" s="119"/>
      <c r="AF24" s="268"/>
      <c r="AG24" s="268"/>
      <c r="AH24" s="271"/>
      <c r="AI24" s="267"/>
      <c r="AJ24" s="268"/>
      <c r="AK24" s="119"/>
      <c r="AL24" s="268"/>
      <c r="AM24" s="268"/>
      <c r="AN24" s="270" t="n">
        <f aca="false">(AM24+AG24+AA24)/3</f>
        <v>0</v>
      </c>
      <c r="AO24" s="270" t="n">
        <f aca="false">AG24</f>
        <v>0</v>
      </c>
      <c r="AP24" s="273"/>
      <c r="AQ24" s="274" t="e">
        <f aca="false">(AA24-AN24)/AA24</f>
        <v>#DIV/0!</v>
      </c>
      <c r="AR24" s="274" t="e">
        <f aca="false">(AG24-AN24)/AG24</f>
        <v>#DIV/0!</v>
      </c>
      <c r="AS24" s="274" t="e">
        <f aca="false">(AM24-AN24)/AM24</f>
        <v>#DIV/0!</v>
      </c>
    </row>
    <row r="25" s="43" customFormat="true" ht="81" hidden="false" customHeight="true" outlineLevel="0" collapsed="false">
      <c r="A25" s="200" t="n">
        <v>15</v>
      </c>
      <c r="B25" s="276"/>
      <c r="C25" s="277"/>
      <c r="D25" s="278"/>
      <c r="E25" s="272"/>
      <c r="F25" s="132"/>
      <c r="G25" s="132" t="n">
        <f aca="false">D25*F25</f>
        <v>0</v>
      </c>
      <c r="H25" s="119"/>
      <c r="I25" s="267"/>
      <c r="J25" s="268"/>
      <c r="K25" s="267"/>
      <c r="L25" s="268"/>
      <c r="M25" s="269"/>
      <c r="N25" s="119"/>
      <c r="O25" s="267"/>
      <c r="P25" s="268"/>
      <c r="Q25" s="267"/>
      <c r="R25" s="268"/>
      <c r="S25" s="132" t="n">
        <f aca="false">D25*M25</f>
        <v>0</v>
      </c>
      <c r="T25" s="268"/>
      <c r="U25" s="270"/>
      <c r="V25" s="271"/>
      <c r="W25" s="267"/>
      <c r="X25" s="268"/>
      <c r="Y25" s="119"/>
      <c r="Z25" s="268"/>
      <c r="AA25" s="272"/>
      <c r="AB25" s="271"/>
      <c r="AC25" s="267"/>
      <c r="AD25" s="268"/>
      <c r="AE25" s="119"/>
      <c r="AF25" s="268"/>
      <c r="AG25" s="268"/>
      <c r="AH25" s="271"/>
      <c r="AI25" s="267"/>
      <c r="AJ25" s="268"/>
      <c r="AK25" s="119"/>
      <c r="AL25" s="268"/>
      <c r="AM25" s="268"/>
      <c r="AN25" s="270" t="n">
        <f aca="false">(AM25+AG25+AA25)/3</f>
        <v>0</v>
      </c>
      <c r="AO25" s="270" t="n">
        <f aca="false">AG25</f>
        <v>0</v>
      </c>
      <c r="AP25" s="273"/>
      <c r="AQ25" s="274" t="e">
        <f aca="false">(AA25-AN25)/AA25</f>
        <v>#DIV/0!</v>
      </c>
      <c r="AR25" s="274" t="e">
        <f aca="false">(AG25-AN25)/AG25</f>
        <v>#DIV/0!</v>
      </c>
      <c r="AS25" s="274" t="e">
        <f aca="false">(AM25-AN25)/AM25</f>
        <v>#DIV/0!</v>
      </c>
    </row>
    <row r="26" s="43" customFormat="true" ht="81" hidden="false" customHeight="true" outlineLevel="0" collapsed="false">
      <c r="A26" s="200" t="n">
        <v>16</v>
      </c>
      <c r="B26" s="276"/>
      <c r="C26" s="277"/>
      <c r="D26" s="278"/>
      <c r="E26" s="272"/>
      <c r="F26" s="132"/>
      <c r="G26" s="132" t="n">
        <f aca="false">D26*F26</f>
        <v>0</v>
      </c>
      <c r="H26" s="119"/>
      <c r="I26" s="267"/>
      <c r="J26" s="268"/>
      <c r="K26" s="267"/>
      <c r="L26" s="268"/>
      <c r="M26" s="269"/>
      <c r="N26" s="119"/>
      <c r="O26" s="267"/>
      <c r="P26" s="268"/>
      <c r="Q26" s="267"/>
      <c r="R26" s="268"/>
      <c r="S26" s="132" t="n">
        <f aca="false">D26*M26</f>
        <v>0</v>
      </c>
      <c r="T26" s="268"/>
      <c r="U26" s="270"/>
      <c r="V26" s="271"/>
      <c r="W26" s="267"/>
      <c r="X26" s="268"/>
      <c r="Y26" s="119"/>
      <c r="Z26" s="268"/>
      <c r="AA26" s="272"/>
      <c r="AB26" s="271"/>
      <c r="AC26" s="267"/>
      <c r="AD26" s="268"/>
      <c r="AE26" s="119"/>
      <c r="AF26" s="268"/>
      <c r="AG26" s="268"/>
      <c r="AH26" s="271"/>
      <c r="AI26" s="267"/>
      <c r="AJ26" s="268"/>
      <c r="AK26" s="119"/>
      <c r="AL26" s="268"/>
      <c r="AM26" s="268"/>
      <c r="AN26" s="270" t="n">
        <f aca="false">(AM26+AG26+AA26)/3</f>
        <v>0</v>
      </c>
      <c r="AO26" s="270" t="n">
        <f aca="false">AG26</f>
        <v>0</v>
      </c>
      <c r="AP26" s="273"/>
      <c r="AQ26" s="274" t="e">
        <f aca="false">(AA26-AN26)/AA26</f>
        <v>#DIV/0!</v>
      </c>
      <c r="AR26" s="274" t="e">
        <f aca="false">(AG26-AN26)/AG26</f>
        <v>#DIV/0!</v>
      </c>
      <c r="AS26" s="274" t="e">
        <f aca="false">(AM26-AN26)/AM26</f>
        <v>#DIV/0!</v>
      </c>
    </row>
    <row r="27" s="43" customFormat="true" ht="81" hidden="false" customHeight="true" outlineLevel="0" collapsed="false">
      <c r="A27" s="200" t="n">
        <v>17</v>
      </c>
      <c r="B27" s="276"/>
      <c r="C27" s="277"/>
      <c r="D27" s="278"/>
      <c r="E27" s="272"/>
      <c r="F27" s="132"/>
      <c r="G27" s="132" t="n">
        <f aca="false">D27*F27</f>
        <v>0</v>
      </c>
      <c r="H27" s="119"/>
      <c r="I27" s="267"/>
      <c r="J27" s="268"/>
      <c r="K27" s="267"/>
      <c r="L27" s="268"/>
      <c r="M27" s="269"/>
      <c r="N27" s="119"/>
      <c r="O27" s="267"/>
      <c r="P27" s="268"/>
      <c r="Q27" s="267"/>
      <c r="R27" s="268"/>
      <c r="S27" s="132" t="n">
        <f aca="false">D27*M27</f>
        <v>0</v>
      </c>
      <c r="T27" s="268"/>
      <c r="U27" s="270"/>
      <c r="V27" s="271"/>
      <c r="W27" s="267"/>
      <c r="X27" s="268"/>
      <c r="Y27" s="119"/>
      <c r="Z27" s="268"/>
      <c r="AA27" s="272"/>
      <c r="AB27" s="271"/>
      <c r="AC27" s="267"/>
      <c r="AD27" s="268"/>
      <c r="AE27" s="119"/>
      <c r="AF27" s="268"/>
      <c r="AG27" s="268"/>
      <c r="AH27" s="271"/>
      <c r="AI27" s="267"/>
      <c r="AJ27" s="268"/>
      <c r="AK27" s="119"/>
      <c r="AL27" s="268"/>
      <c r="AM27" s="268"/>
      <c r="AN27" s="270" t="n">
        <f aca="false">(AM27+AG27+AA27)/3</f>
        <v>0</v>
      </c>
      <c r="AO27" s="270" t="n">
        <f aca="false">AG27</f>
        <v>0</v>
      </c>
      <c r="AP27" s="273"/>
      <c r="AQ27" s="274" t="e">
        <f aca="false">(AA27-AN27)/AA27</f>
        <v>#DIV/0!</v>
      </c>
      <c r="AR27" s="274" t="e">
        <f aca="false">(AG27-AN27)/AG27</f>
        <v>#DIV/0!</v>
      </c>
      <c r="AS27" s="274" t="e">
        <f aca="false">(AM27-AN27)/AM27</f>
        <v>#DIV/0!</v>
      </c>
    </row>
    <row r="28" s="43" customFormat="true" ht="81" hidden="false" customHeight="true" outlineLevel="0" collapsed="false">
      <c r="A28" s="200" t="n">
        <v>18</v>
      </c>
      <c r="B28" s="276"/>
      <c r="C28" s="277"/>
      <c r="D28" s="278"/>
      <c r="E28" s="272"/>
      <c r="F28" s="132"/>
      <c r="G28" s="132" t="n">
        <f aca="false">D28*F28</f>
        <v>0</v>
      </c>
      <c r="H28" s="119"/>
      <c r="I28" s="267"/>
      <c r="J28" s="268"/>
      <c r="K28" s="267"/>
      <c r="L28" s="268"/>
      <c r="M28" s="269"/>
      <c r="N28" s="119"/>
      <c r="O28" s="267"/>
      <c r="P28" s="268"/>
      <c r="Q28" s="267"/>
      <c r="R28" s="268"/>
      <c r="S28" s="132" t="n">
        <f aca="false">D28*M28</f>
        <v>0</v>
      </c>
      <c r="T28" s="268"/>
      <c r="U28" s="270"/>
      <c r="V28" s="271"/>
      <c r="W28" s="267"/>
      <c r="X28" s="268"/>
      <c r="Y28" s="119"/>
      <c r="Z28" s="268"/>
      <c r="AA28" s="272"/>
      <c r="AB28" s="271"/>
      <c r="AC28" s="267"/>
      <c r="AD28" s="268"/>
      <c r="AE28" s="119"/>
      <c r="AF28" s="268"/>
      <c r="AG28" s="268"/>
      <c r="AH28" s="271"/>
      <c r="AI28" s="267"/>
      <c r="AJ28" s="268"/>
      <c r="AK28" s="119"/>
      <c r="AL28" s="268"/>
      <c r="AM28" s="268"/>
      <c r="AN28" s="270" t="n">
        <f aca="false">(AM28+AG28+AA28)/3</f>
        <v>0</v>
      </c>
      <c r="AO28" s="270" t="n">
        <f aca="false">AG28</f>
        <v>0</v>
      </c>
      <c r="AP28" s="273"/>
      <c r="AQ28" s="274" t="e">
        <f aca="false">(AA28-AN28)/AA28</f>
        <v>#DIV/0!</v>
      </c>
      <c r="AR28" s="274" t="e">
        <f aca="false">(AG28-AN28)/AG28</f>
        <v>#DIV/0!</v>
      </c>
      <c r="AS28" s="274" t="e">
        <f aca="false">(AM28-AN28)/AM28</f>
        <v>#DIV/0!</v>
      </c>
    </row>
    <row r="29" s="43" customFormat="true" ht="81" hidden="false" customHeight="true" outlineLevel="0" collapsed="false">
      <c r="A29" s="200" t="n">
        <v>19</v>
      </c>
      <c r="B29" s="276"/>
      <c r="C29" s="277"/>
      <c r="D29" s="278"/>
      <c r="E29" s="272"/>
      <c r="F29" s="132"/>
      <c r="G29" s="132" t="n">
        <f aca="false">D29*F29</f>
        <v>0</v>
      </c>
      <c r="H29" s="119"/>
      <c r="I29" s="267"/>
      <c r="J29" s="268"/>
      <c r="K29" s="267"/>
      <c r="L29" s="268"/>
      <c r="M29" s="269"/>
      <c r="N29" s="119"/>
      <c r="O29" s="267"/>
      <c r="P29" s="268"/>
      <c r="Q29" s="267"/>
      <c r="R29" s="268"/>
      <c r="S29" s="132" t="n">
        <f aca="false">D29*M29</f>
        <v>0</v>
      </c>
      <c r="T29" s="268"/>
      <c r="U29" s="270"/>
      <c r="V29" s="271"/>
      <c r="W29" s="267"/>
      <c r="X29" s="268"/>
      <c r="Y29" s="119"/>
      <c r="Z29" s="268"/>
      <c r="AA29" s="272"/>
      <c r="AB29" s="271"/>
      <c r="AC29" s="267"/>
      <c r="AD29" s="268"/>
      <c r="AE29" s="119"/>
      <c r="AF29" s="268"/>
      <c r="AG29" s="268"/>
      <c r="AH29" s="271"/>
      <c r="AI29" s="267"/>
      <c r="AJ29" s="268"/>
      <c r="AK29" s="119"/>
      <c r="AL29" s="268"/>
      <c r="AM29" s="268"/>
      <c r="AN29" s="270" t="n">
        <f aca="false">(AM29+AG29+AA29)/3</f>
        <v>0</v>
      </c>
      <c r="AO29" s="270" t="n">
        <f aca="false">AG29</f>
        <v>0</v>
      </c>
      <c r="AP29" s="273"/>
      <c r="AQ29" s="274" t="e">
        <f aca="false">(AA29-AN29)/AA29</f>
        <v>#DIV/0!</v>
      </c>
      <c r="AR29" s="274" t="e">
        <f aca="false">(AG29-AN29)/AG29</f>
        <v>#DIV/0!</v>
      </c>
      <c r="AS29" s="274" t="e">
        <f aca="false">(AM29-AN29)/AM29</f>
        <v>#DIV/0!</v>
      </c>
    </row>
    <row r="30" s="43" customFormat="true" ht="81" hidden="false" customHeight="true" outlineLevel="0" collapsed="false">
      <c r="A30" s="200" t="n">
        <v>20</v>
      </c>
      <c r="B30" s="276"/>
      <c r="C30" s="277"/>
      <c r="D30" s="278"/>
      <c r="E30" s="272"/>
      <c r="F30" s="132"/>
      <c r="G30" s="132" t="n">
        <f aca="false">D30*F30</f>
        <v>0</v>
      </c>
      <c r="H30" s="119"/>
      <c r="I30" s="267"/>
      <c r="J30" s="268"/>
      <c r="K30" s="267"/>
      <c r="L30" s="268"/>
      <c r="M30" s="269"/>
      <c r="N30" s="119"/>
      <c r="O30" s="267"/>
      <c r="P30" s="268"/>
      <c r="Q30" s="267"/>
      <c r="R30" s="268"/>
      <c r="S30" s="132" t="n">
        <f aca="false">D30*M30</f>
        <v>0</v>
      </c>
      <c r="T30" s="268"/>
      <c r="U30" s="270"/>
      <c r="V30" s="271"/>
      <c r="W30" s="267"/>
      <c r="X30" s="268"/>
      <c r="Y30" s="119"/>
      <c r="Z30" s="268"/>
      <c r="AA30" s="272"/>
      <c r="AB30" s="271"/>
      <c r="AC30" s="267"/>
      <c r="AD30" s="268"/>
      <c r="AE30" s="119"/>
      <c r="AF30" s="268"/>
      <c r="AG30" s="268"/>
      <c r="AH30" s="271"/>
      <c r="AI30" s="267"/>
      <c r="AJ30" s="268"/>
      <c r="AK30" s="119"/>
      <c r="AL30" s="268"/>
      <c r="AM30" s="268"/>
      <c r="AN30" s="270" t="n">
        <f aca="false">(AM30+AG30+AA30)/3</f>
        <v>0</v>
      </c>
      <c r="AO30" s="270" t="n">
        <f aca="false">AG30</f>
        <v>0</v>
      </c>
      <c r="AP30" s="273"/>
      <c r="AQ30" s="274" t="e">
        <f aca="false">(AA30-AN30)/AA30</f>
        <v>#DIV/0!</v>
      </c>
      <c r="AR30" s="274" t="e">
        <f aca="false">(AG30-AN30)/AG30</f>
        <v>#DIV/0!</v>
      </c>
      <c r="AS30" s="274" t="e">
        <f aca="false">(AM30-AN30)/AM30</f>
        <v>#DIV/0!</v>
      </c>
    </row>
    <row r="31" s="43" customFormat="true" ht="81" hidden="false" customHeight="true" outlineLevel="0" collapsed="false">
      <c r="A31" s="200" t="n">
        <v>21</v>
      </c>
      <c r="B31" s="276"/>
      <c r="C31" s="277"/>
      <c r="D31" s="278"/>
      <c r="E31" s="272"/>
      <c r="F31" s="132"/>
      <c r="G31" s="132" t="n">
        <f aca="false">D31*F31</f>
        <v>0</v>
      </c>
      <c r="H31" s="119"/>
      <c r="I31" s="267"/>
      <c r="J31" s="268"/>
      <c r="K31" s="267"/>
      <c r="L31" s="268"/>
      <c r="M31" s="269"/>
      <c r="N31" s="119"/>
      <c r="O31" s="267"/>
      <c r="P31" s="268"/>
      <c r="Q31" s="267"/>
      <c r="R31" s="268"/>
      <c r="S31" s="132" t="n">
        <f aca="false">D31*M31</f>
        <v>0</v>
      </c>
      <c r="T31" s="268"/>
      <c r="U31" s="270"/>
      <c r="V31" s="271"/>
      <c r="W31" s="267"/>
      <c r="X31" s="268"/>
      <c r="Y31" s="119"/>
      <c r="Z31" s="268"/>
      <c r="AA31" s="272"/>
      <c r="AB31" s="271"/>
      <c r="AC31" s="267"/>
      <c r="AD31" s="268"/>
      <c r="AE31" s="119"/>
      <c r="AF31" s="268"/>
      <c r="AG31" s="268"/>
      <c r="AH31" s="271"/>
      <c r="AI31" s="267"/>
      <c r="AJ31" s="268"/>
      <c r="AK31" s="119"/>
      <c r="AL31" s="268"/>
      <c r="AM31" s="268"/>
      <c r="AN31" s="270" t="n">
        <f aca="false">(AM31+AG31+AA31)/3</f>
        <v>0</v>
      </c>
      <c r="AO31" s="270" t="n">
        <f aca="false">AG31</f>
        <v>0</v>
      </c>
      <c r="AP31" s="273"/>
      <c r="AQ31" s="274" t="e">
        <f aca="false">(AA31-AN31)/AA31</f>
        <v>#DIV/0!</v>
      </c>
      <c r="AR31" s="274" t="e">
        <f aca="false">(AG31-AN31)/AG31</f>
        <v>#DIV/0!</v>
      </c>
      <c r="AS31" s="274" t="e">
        <f aca="false">(AM31-AN31)/AM31</f>
        <v>#DIV/0!</v>
      </c>
    </row>
    <row r="32" s="43" customFormat="true" ht="81" hidden="false" customHeight="true" outlineLevel="0" collapsed="false">
      <c r="A32" s="200" t="n">
        <v>22</v>
      </c>
      <c r="B32" s="276"/>
      <c r="C32" s="277"/>
      <c r="D32" s="278"/>
      <c r="E32" s="272"/>
      <c r="F32" s="132"/>
      <c r="G32" s="132" t="n">
        <f aca="false">D32*F32</f>
        <v>0</v>
      </c>
      <c r="H32" s="119"/>
      <c r="I32" s="267"/>
      <c r="J32" s="268"/>
      <c r="K32" s="267"/>
      <c r="L32" s="268"/>
      <c r="M32" s="269"/>
      <c r="N32" s="119"/>
      <c r="O32" s="267"/>
      <c r="P32" s="268"/>
      <c r="Q32" s="267"/>
      <c r="R32" s="268"/>
      <c r="S32" s="132" t="n">
        <f aca="false">D32*M32</f>
        <v>0</v>
      </c>
      <c r="T32" s="268"/>
      <c r="U32" s="270"/>
      <c r="V32" s="271"/>
      <c r="W32" s="267"/>
      <c r="X32" s="268"/>
      <c r="Y32" s="119"/>
      <c r="Z32" s="268"/>
      <c r="AA32" s="272"/>
      <c r="AB32" s="271"/>
      <c r="AC32" s="267"/>
      <c r="AD32" s="268"/>
      <c r="AE32" s="119"/>
      <c r="AF32" s="268"/>
      <c r="AG32" s="268"/>
      <c r="AH32" s="271"/>
      <c r="AI32" s="267"/>
      <c r="AJ32" s="268"/>
      <c r="AK32" s="119"/>
      <c r="AL32" s="268"/>
      <c r="AM32" s="268"/>
      <c r="AN32" s="270" t="n">
        <f aca="false">(AM32+AG32+AA32)/3</f>
        <v>0</v>
      </c>
      <c r="AO32" s="270" t="n">
        <f aca="false">AG32</f>
        <v>0</v>
      </c>
      <c r="AP32" s="273"/>
      <c r="AQ32" s="274" t="e">
        <f aca="false">(AA32-AN32)/AA32</f>
        <v>#DIV/0!</v>
      </c>
      <c r="AR32" s="274" t="e">
        <f aca="false">(AG32-AN32)/AG32</f>
        <v>#DIV/0!</v>
      </c>
      <c r="AS32" s="274" t="e">
        <f aca="false">(AM32-AN32)/AM32</f>
        <v>#DIV/0!</v>
      </c>
    </row>
    <row r="33" s="43" customFormat="true" ht="81" hidden="false" customHeight="true" outlineLevel="0" collapsed="false">
      <c r="A33" s="200" t="n">
        <v>23</v>
      </c>
      <c r="B33" s="276"/>
      <c r="C33" s="277"/>
      <c r="D33" s="278"/>
      <c r="E33" s="272"/>
      <c r="F33" s="132"/>
      <c r="G33" s="132" t="n">
        <f aca="false">D33*F33</f>
        <v>0</v>
      </c>
      <c r="H33" s="119"/>
      <c r="I33" s="267"/>
      <c r="J33" s="268"/>
      <c r="K33" s="267"/>
      <c r="L33" s="268"/>
      <c r="M33" s="269"/>
      <c r="N33" s="119"/>
      <c r="O33" s="267"/>
      <c r="P33" s="268"/>
      <c r="Q33" s="267"/>
      <c r="R33" s="268"/>
      <c r="S33" s="132" t="n">
        <f aca="false">D33*M33</f>
        <v>0</v>
      </c>
      <c r="T33" s="268"/>
      <c r="U33" s="270"/>
      <c r="V33" s="271"/>
      <c r="W33" s="267"/>
      <c r="X33" s="268"/>
      <c r="Y33" s="119"/>
      <c r="Z33" s="268"/>
      <c r="AA33" s="272"/>
      <c r="AB33" s="271"/>
      <c r="AC33" s="267"/>
      <c r="AD33" s="268"/>
      <c r="AE33" s="119"/>
      <c r="AF33" s="268"/>
      <c r="AG33" s="268"/>
      <c r="AH33" s="271"/>
      <c r="AI33" s="267"/>
      <c r="AJ33" s="268"/>
      <c r="AK33" s="119"/>
      <c r="AL33" s="268"/>
      <c r="AM33" s="268"/>
      <c r="AN33" s="270" t="n">
        <f aca="false">(AM33+AG33+AA33)/3</f>
        <v>0</v>
      </c>
      <c r="AO33" s="270" t="n">
        <f aca="false">AG33</f>
        <v>0</v>
      </c>
      <c r="AP33" s="273"/>
      <c r="AQ33" s="274" t="e">
        <f aca="false">(AA33-AN33)/AA33</f>
        <v>#DIV/0!</v>
      </c>
      <c r="AR33" s="274" t="e">
        <f aca="false">(AG33-AN33)/AG33</f>
        <v>#DIV/0!</v>
      </c>
      <c r="AS33" s="274" t="e">
        <f aca="false">(AM33-AN33)/AM33</f>
        <v>#DIV/0!</v>
      </c>
    </row>
    <row r="34" s="43" customFormat="true" ht="81" hidden="false" customHeight="true" outlineLevel="0" collapsed="false">
      <c r="A34" s="200" t="n">
        <v>24</v>
      </c>
      <c r="B34" s="276"/>
      <c r="C34" s="277"/>
      <c r="D34" s="278"/>
      <c r="E34" s="272"/>
      <c r="F34" s="132"/>
      <c r="G34" s="132" t="n">
        <f aca="false">D34*F34</f>
        <v>0</v>
      </c>
      <c r="H34" s="119"/>
      <c r="I34" s="267"/>
      <c r="J34" s="268"/>
      <c r="K34" s="267"/>
      <c r="L34" s="268"/>
      <c r="M34" s="269"/>
      <c r="N34" s="119"/>
      <c r="O34" s="267"/>
      <c r="P34" s="268"/>
      <c r="Q34" s="267"/>
      <c r="R34" s="268"/>
      <c r="S34" s="132" t="n">
        <f aca="false">D34*M34</f>
        <v>0</v>
      </c>
      <c r="T34" s="268"/>
      <c r="U34" s="270"/>
      <c r="V34" s="271"/>
      <c r="W34" s="267"/>
      <c r="X34" s="268"/>
      <c r="Y34" s="119"/>
      <c r="Z34" s="268"/>
      <c r="AA34" s="272"/>
      <c r="AB34" s="271"/>
      <c r="AC34" s="267"/>
      <c r="AD34" s="268"/>
      <c r="AE34" s="119"/>
      <c r="AF34" s="268"/>
      <c r="AG34" s="268"/>
      <c r="AH34" s="271"/>
      <c r="AI34" s="267"/>
      <c r="AJ34" s="268"/>
      <c r="AK34" s="119"/>
      <c r="AL34" s="268"/>
      <c r="AM34" s="268"/>
      <c r="AN34" s="270" t="n">
        <f aca="false">(AM34+AG34+AA34)/3</f>
        <v>0</v>
      </c>
      <c r="AO34" s="270" t="n">
        <f aca="false">AG34</f>
        <v>0</v>
      </c>
      <c r="AP34" s="273"/>
      <c r="AQ34" s="274" t="e">
        <f aca="false">(AA34-AN34)/AA34</f>
        <v>#DIV/0!</v>
      </c>
      <c r="AR34" s="274" t="e">
        <f aca="false">(AG34-AN34)/AG34</f>
        <v>#DIV/0!</v>
      </c>
      <c r="AS34" s="274" t="e">
        <f aca="false">(AM34-AN34)/AM34</f>
        <v>#DIV/0!</v>
      </c>
    </row>
    <row r="35" s="43" customFormat="true" ht="81" hidden="false" customHeight="true" outlineLevel="0" collapsed="false">
      <c r="A35" s="200" t="n">
        <v>25</v>
      </c>
      <c r="B35" s="276"/>
      <c r="C35" s="277"/>
      <c r="D35" s="278"/>
      <c r="E35" s="272"/>
      <c r="F35" s="132"/>
      <c r="G35" s="132" t="n">
        <f aca="false">D35*F35</f>
        <v>0</v>
      </c>
      <c r="H35" s="119"/>
      <c r="I35" s="267"/>
      <c r="J35" s="268"/>
      <c r="K35" s="267"/>
      <c r="L35" s="268"/>
      <c r="M35" s="269"/>
      <c r="N35" s="119"/>
      <c r="O35" s="267"/>
      <c r="P35" s="268"/>
      <c r="Q35" s="267"/>
      <c r="R35" s="268"/>
      <c r="S35" s="132" t="n">
        <f aca="false">D35*M35</f>
        <v>0</v>
      </c>
      <c r="T35" s="268"/>
      <c r="U35" s="270"/>
      <c r="V35" s="271"/>
      <c r="W35" s="267"/>
      <c r="X35" s="268"/>
      <c r="Y35" s="119"/>
      <c r="Z35" s="268"/>
      <c r="AA35" s="272"/>
      <c r="AB35" s="271"/>
      <c r="AC35" s="267"/>
      <c r="AD35" s="268"/>
      <c r="AE35" s="119"/>
      <c r="AF35" s="268"/>
      <c r="AG35" s="268"/>
      <c r="AH35" s="271"/>
      <c r="AI35" s="267"/>
      <c r="AJ35" s="268"/>
      <c r="AK35" s="119"/>
      <c r="AL35" s="268"/>
      <c r="AM35" s="268"/>
      <c r="AN35" s="270" t="n">
        <f aca="false">(AM35+AG35+AA35)/3</f>
        <v>0</v>
      </c>
      <c r="AO35" s="270" t="n">
        <f aca="false">AG35</f>
        <v>0</v>
      </c>
      <c r="AP35" s="273"/>
      <c r="AQ35" s="274" t="e">
        <f aca="false">(AA35-AN35)/AA35</f>
        <v>#DIV/0!</v>
      </c>
      <c r="AR35" s="274" t="e">
        <f aca="false">(AG35-AN35)/AG35</f>
        <v>#DIV/0!</v>
      </c>
      <c r="AS35" s="274" t="e">
        <f aca="false">(AM35-AN35)/AM35</f>
        <v>#DIV/0!</v>
      </c>
    </row>
    <row r="36" s="43" customFormat="true" ht="81" hidden="false" customHeight="true" outlineLevel="0" collapsed="false">
      <c r="A36" s="200" t="n">
        <v>26</v>
      </c>
      <c r="B36" s="276"/>
      <c r="C36" s="277"/>
      <c r="D36" s="278"/>
      <c r="E36" s="272"/>
      <c r="F36" s="132"/>
      <c r="G36" s="132" t="n">
        <f aca="false">D36*F36</f>
        <v>0</v>
      </c>
      <c r="H36" s="119"/>
      <c r="I36" s="267"/>
      <c r="J36" s="268"/>
      <c r="K36" s="267"/>
      <c r="L36" s="268"/>
      <c r="M36" s="269"/>
      <c r="N36" s="119"/>
      <c r="O36" s="267"/>
      <c r="P36" s="268"/>
      <c r="Q36" s="267"/>
      <c r="R36" s="268"/>
      <c r="S36" s="132" t="n">
        <f aca="false">D36*M36</f>
        <v>0</v>
      </c>
      <c r="T36" s="268"/>
      <c r="U36" s="270"/>
      <c r="V36" s="271"/>
      <c r="W36" s="267"/>
      <c r="X36" s="268"/>
      <c r="Y36" s="119"/>
      <c r="Z36" s="268"/>
      <c r="AA36" s="272"/>
      <c r="AB36" s="271"/>
      <c r="AC36" s="267"/>
      <c r="AD36" s="268"/>
      <c r="AE36" s="119"/>
      <c r="AF36" s="268"/>
      <c r="AG36" s="268"/>
      <c r="AH36" s="271"/>
      <c r="AI36" s="267"/>
      <c r="AJ36" s="268"/>
      <c r="AK36" s="119"/>
      <c r="AL36" s="268"/>
      <c r="AM36" s="268"/>
      <c r="AN36" s="270" t="n">
        <f aca="false">(AM36+AG36+AA36)/3</f>
        <v>0</v>
      </c>
      <c r="AO36" s="270" t="n">
        <f aca="false">AG36</f>
        <v>0</v>
      </c>
      <c r="AP36" s="273"/>
      <c r="AQ36" s="274" t="e">
        <f aca="false">(AA36-AN36)/AA36</f>
        <v>#DIV/0!</v>
      </c>
      <c r="AR36" s="274" t="e">
        <f aca="false">(AG36-AN36)/AG36</f>
        <v>#DIV/0!</v>
      </c>
      <c r="AS36" s="274" t="e">
        <f aca="false">(AM36-AN36)/AM36</f>
        <v>#DIV/0!</v>
      </c>
    </row>
    <row r="37" s="43" customFormat="true" ht="81" hidden="false" customHeight="true" outlineLevel="0" collapsed="false">
      <c r="A37" s="200" t="n">
        <v>27</v>
      </c>
      <c r="B37" s="276"/>
      <c r="C37" s="277"/>
      <c r="D37" s="278"/>
      <c r="E37" s="272"/>
      <c r="F37" s="132"/>
      <c r="G37" s="132" t="n">
        <f aca="false">D37*F37</f>
        <v>0</v>
      </c>
      <c r="H37" s="119"/>
      <c r="I37" s="267"/>
      <c r="J37" s="268"/>
      <c r="K37" s="267"/>
      <c r="L37" s="268"/>
      <c r="M37" s="269"/>
      <c r="N37" s="119"/>
      <c r="O37" s="267"/>
      <c r="P37" s="268"/>
      <c r="Q37" s="267"/>
      <c r="R37" s="268"/>
      <c r="S37" s="132" t="n">
        <f aca="false">D37*M37</f>
        <v>0</v>
      </c>
      <c r="T37" s="268"/>
      <c r="U37" s="270"/>
      <c r="V37" s="271"/>
      <c r="W37" s="267"/>
      <c r="X37" s="268"/>
      <c r="Y37" s="119"/>
      <c r="Z37" s="268"/>
      <c r="AA37" s="272"/>
      <c r="AB37" s="271"/>
      <c r="AC37" s="267"/>
      <c r="AD37" s="268"/>
      <c r="AE37" s="119"/>
      <c r="AF37" s="268"/>
      <c r="AG37" s="268"/>
      <c r="AH37" s="271"/>
      <c r="AI37" s="267"/>
      <c r="AJ37" s="268"/>
      <c r="AK37" s="119"/>
      <c r="AL37" s="268"/>
      <c r="AM37" s="268"/>
      <c r="AN37" s="270" t="n">
        <f aca="false">(AM37+AG37+AA37)/3</f>
        <v>0</v>
      </c>
      <c r="AO37" s="270" t="n">
        <f aca="false">AG37</f>
        <v>0</v>
      </c>
      <c r="AP37" s="273"/>
      <c r="AQ37" s="274" t="e">
        <f aca="false">(AA37-AN37)/AA37</f>
        <v>#DIV/0!</v>
      </c>
      <c r="AR37" s="274" t="e">
        <f aca="false">(AG37-AN37)/AG37</f>
        <v>#DIV/0!</v>
      </c>
      <c r="AS37" s="274" t="e">
        <f aca="false">(AM37-AN37)/AM37</f>
        <v>#DIV/0!</v>
      </c>
    </row>
    <row r="38" s="43" customFormat="true" ht="81" hidden="false" customHeight="true" outlineLevel="0" collapsed="false">
      <c r="A38" s="200" t="n">
        <v>28</v>
      </c>
      <c r="B38" s="276"/>
      <c r="C38" s="277"/>
      <c r="D38" s="278"/>
      <c r="E38" s="272"/>
      <c r="F38" s="132"/>
      <c r="G38" s="132" t="n">
        <f aca="false">D38*F38</f>
        <v>0</v>
      </c>
      <c r="H38" s="119"/>
      <c r="I38" s="267"/>
      <c r="J38" s="268"/>
      <c r="K38" s="267"/>
      <c r="L38" s="268"/>
      <c r="M38" s="269"/>
      <c r="N38" s="119"/>
      <c r="O38" s="267"/>
      <c r="P38" s="268"/>
      <c r="Q38" s="267"/>
      <c r="R38" s="268"/>
      <c r="S38" s="132" t="n">
        <f aca="false">D38*M38</f>
        <v>0</v>
      </c>
      <c r="T38" s="268"/>
      <c r="U38" s="270"/>
      <c r="V38" s="271"/>
      <c r="W38" s="267"/>
      <c r="X38" s="268"/>
      <c r="Y38" s="119"/>
      <c r="Z38" s="268"/>
      <c r="AA38" s="272"/>
      <c r="AB38" s="271"/>
      <c r="AC38" s="267"/>
      <c r="AD38" s="268"/>
      <c r="AE38" s="119"/>
      <c r="AF38" s="268"/>
      <c r="AG38" s="268"/>
      <c r="AH38" s="271"/>
      <c r="AI38" s="267"/>
      <c r="AJ38" s="268"/>
      <c r="AK38" s="119"/>
      <c r="AL38" s="268"/>
      <c r="AM38" s="268"/>
      <c r="AN38" s="270" t="n">
        <f aca="false">(AM38+AG38+AA38)/3</f>
        <v>0</v>
      </c>
      <c r="AO38" s="270" t="n">
        <f aca="false">AG38</f>
        <v>0</v>
      </c>
      <c r="AP38" s="273"/>
      <c r="AQ38" s="274" t="e">
        <f aca="false">(AA38-AN38)/AA38</f>
        <v>#DIV/0!</v>
      </c>
      <c r="AR38" s="274" t="e">
        <f aca="false">(AG38-AN38)/AG38</f>
        <v>#DIV/0!</v>
      </c>
      <c r="AS38" s="274" t="e">
        <f aca="false">(AM38-AN38)/AM38</f>
        <v>#DIV/0!</v>
      </c>
    </row>
    <row r="39" s="293" customFormat="true" ht="81" hidden="false" customHeight="true" outlineLevel="0" collapsed="false">
      <c r="A39" s="279" t="n">
        <v>29</v>
      </c>
      <c r="B39" s="280"/>
      <c r="C39" s="281"/>
      <c r="D39" s="282"/>
      <c r="E39" s="283"/>
      <c r="F39" s="284"/>
      <c r="G39" s="284" t="n">
        <f aca="false">D39*F39</f>
        <v>0</v>
      </c>
      <c r="H39" s="285"/>
      <c r="I39" s="286"/>
      <c r="J39" s="287"/>
      <c r="K39" s="286"/>
      <c r="L39" s="287"/>
      <c r="M39" s="288"/>
      <c r="N39" s="285"/>
      <c r="O39" s="286"/>
      <c r="P39" s="287"/>
      <c r="Q39" s="286"/>
      <c r="R39" s="287"/>
      <c r="S39" s="284" t="n">
        <f aca="false">D39*M39</f>
        <v>0</v>
      </c>
      <c r="T39" s="287"/>
      <c r="U39" s="289"/>
      <c r="V39" s="290"/>
      <c r="W39" s="286"/>
      <c r="X39" s="287"/>
      <c r="Y39" s="285"/>
      <c r="Z39" s="287"/>
      <c r="AA39" s="283"/>
      <c r="AB39" s="290"/>
      <c r="AC39" s="286"/>
      <c r="AD39" s="287"/>
      <c r="AE39" s="285"/>
      <c r="AF39" s="287"/>
      <c r="AG39" s="287"/>
      <c r="AH39" s="290"/>
      <c r="AI39" s="286"/>
      <c r="AJ39" s="287"/>
      <c r="AK39" s="285"/>
      <c r="AL39" s="287"/>
      <c r="AM39" s="287"/>
      <c r="AN39" s="289" t="n">
        <f aca="false">(AM39+AG39+AA39)/3</f>
        <v>0</v>
      </c>
      <c r="AO39" s="289" t="n">
        <f aca="false">AG39</f>
        <v>0</v>
      </c>
      <c r="AP39" s="291"/>
      <c r="AQ39" s="292" t="e">
        <f aca="false">(AA39-AN39)/AA39</f>
        <v>#DIV/0!</v>
      </c>
      <c r="AR39" s="292" t="e">
        <f aca="false">(AG39-AN39)/AG39</f>
        <v>#DIV/0!</v>
      </c>
      <c r="AS39" s="292" t="e">
        <f aca="false">(AM39-AN39)/AM39</f>
        <v>#DIV/0!</v>
      </c>
    </row>
    <row r="40" s="293" customFormat="true" ht="81" hidden="false" customHeight="true" outlineLevel="0" collapsed="false">
      <c r="A40" s="279" t="n">
        <v>30</v>
      </c>
      <c r="B40" s="280"/>
      <c r="C40" s="281"/>
      <c r="D40" s="282"/>
      <c r="E40" s="283"/>
      <c r="F40" s="284"/>
      <c r="G40" s="284" t="n">
        <f aca="false">D40*F40</f>
        <v>0</v>
      </c>
      <c r="H40" s="285"/>
      <c r="I40" s="286"/>
      <c r="J40" s="287"/>
      <c r="K40" s="286"/>
      <c r="L40" s="287"/>
      <c r="M40" s="288"/>
      <c r="N40" s="285"/>
      <c r="O40" s="286"/>
      <c r="P40" s="287"/>
      <c r="Q40" s="286"/>
      <c r="R40" s="287"/>
      <c r="S40" s="284" t="n">
        <f aca="false">D40*M40</f>
        <v>0</v>
      </c>
      <c r="T40" s="287"/>
      <c r="U40" s="289"/>
      <c r="V40" s="290"/>
      <c r="W40" s="286"/>
      <c r="X40" s="287"/>
      <c r="Y40" s="285"/>
      <c r="Z40" s="287"/>
      <c r="AA40" s="283"/>
      <c r="AB40" s="290"/>
      <c r="AC40" s="286"/>
      <c r="AD40" s="287"/>
      <c r="AE40" s="285"/>
      <c r="AF40" s="287"/>
      <c r="AG40" s="287"/>
      <c r="AH40" s="290"/>
      <c r="AI40" s="286"/>
      <c r="AJ40" s="287"/>
      <c r="AK40" s="285"/>
      <c r="AL40" s="287"/>
      <c r="AM40" s="287"/>
      <c r="AN40" s="289" t="n">
        <f aca="false">(AM40+AG40+AA40)/3</f>
        <v>0</v>
      </c>
      <c r="AO40" s="289" t="n">
        <f aca="false">AG40</f>
        <v>0</v>
      </c>
      <c r="AP40" s="291"/>
      <c r="AQ40" s="292" t="e">
        <f aca="false">(AA40-AN40)/AA40</f>
        <v>#DIV/0!</v>
      </c>
      <c r="AR40" s="292" t="e">
        <f aca="false">(AG40-AN40)/AG40</f>
        <v>#DIV/0!</v>
      </c>
      <c r="AS40" s="292" t="e">
        <f aca="false">(AM40-AN40)/AM40</f>
        <v>#DIV/0!</v>
      </c>
    </row>
    <row r="41" s="293" customFormat="true" ht="81" hidden="false" customHeight="true" outlineLevel="0" collapsed="false">
      <c r="A41" s="279" t="n">
        <v>31</v>
      </c>
      <c r="B41" s="280"/>
      <c r="C41" s="281"/>
      <c r="D41" s="282"/>
      <c r="E41" s="283"/>
      <c r="F41" s="284"/>
      <c r="G41" s="284" t="n">
        <f aca="false">D41*F41</f>
        <v>0</v>
      </c>
      <c r="H41" s="285"/>
      <c r="I41" s="286"/>
      <c r="J41" s="287"/>
      <c r="K41" s="286"/>
      <c r="L41" s="287"/>
      <c r="M41" s="288"/>
      <c r="N41" s="285"/>
      <c r="O41" s="286"/>
      <c r="P41" s="287"/>
      <c r="Q41" s="286"/>
      <c r="R41" s="287"/>
      <c r="S41" s="284" t="n">
        <f aca="false">D41*M41</f>
        <v>0</v>
      </c>
      <c r="T41" s="287"/>
      <c r="U41" s="289"/>
      <c r="V41" s="290"/>
      <c r="W41" s="286"/>
      <c r="X41" s="287"/>
      <c r="Y41" s="285"/>
      <c r="Z41" s="287"/>
      <c r="AA41" s="283"/>
      <c r="AB41" s="290"/>
      <c r="AC41" s="286"/>
      <c r="AD41" s="287"/>
      <c r="AE41" s="285"/>
      <c r="AF41" s="287"/>
      <c r="AG41" s="287"/>
      <c r="AH41" s="290"/>
      <c r="AI41" s="286"/>
      <c r="AJ41" s="287"/>
      <c r="AK41" s="285"/>
      <c r="AL41" s="287"/>
      <c r="AM41" s="287"/>
      <c r="AN41" s="289" t="n">
        <f aca="false">(AM41+AG41+AA41)/3</f>
        <v>0</v>
      </c>
      <c r="AO41" s="289" t="n">
        <f aca="false">AG41</f>
        <v>0</v>
      </c>
      <c r="AP41" s="291"/>
      <c r="AQ41" s="292" t="e">
        <f aca="false">(AA41-AN41)/AA41</f>
        <v>#DIV/0!</v>
      </c>
      <c r="AR41" s="292" t="e">
        <f aca="false">(AG41-AN41)/AG41</f>
        <v>#DIV/0!</v>
      </c>
      <c r="AS41" s="292" t="e">
        <f aca="false">(AM41-AN41)/AM41</f>
        <v>#DIV/0!</v>
      </c>
    </row>
    <row r="42" s="293" customFormat="true" ht="81" hidden="false" customHeight="true" outlineLevel="0" collapsed="false">
      <c r="A42" s="279" t="n">
        <v>32</v>
      </c>
      <c r="B42" s="280"/>
      <c r="C42" s="281"/>
      <c r="D42" s="282"/>
      <c r="E42" s="283"/>
      <c r="F42" s="284"/>
      <c r="G42" s="284" t="n">
        <f aca="false">D42*F42</f>
        <v>0</v>
      </c>
      <c r="H42" s="285"/>
      <c r="I42" s="286"/>
      <c r="J42" s="287"/>
      <c r="K42" s="286"/>
      <c r="L42" s="287"/>
      <c r="M42" s="288"/>
      <c r="N42" s="285"/>
      <c r="O42" s="286"/>
      <c r="P42" s="287"/>
      <c r="Q42" s="286"/>
      <c r="R42" s="287"/>
      <c r="S42" s="284" t="n">
        <f aca="false">D42*M42</f>
        <v>0</v>
      </c>
      <c r="T42" s="287"/>
      <c r="U42" s="289"/>
      <c r="V42" s="290"/>
      <c r="W42" s="286"/>
      <c r="X42" s="287"/>
      <c r="Y42" s="285"/>
      <c r="Z42" s="287"/>
      <c r="AA42" s="283"/>
      <c r="AB42" s="290"/>
      <c r="AC42" s="286"/>
      <c r="AD42" s="287"/>
      <c r="AE42" s="285"/>
      <c r="AF42" s="287"/>
      <c r="AG42" s="287"/>
      <c r="AH42" s="290"/>
      <c r="AI42" s="286"/>
      <c r="AJ42" s="287"/>
      <c r="AK42" s="285"/>
      <c r="AL42" s="287"/>
      <c r="AM42" s="287"/>
      <c r="AN42" s="289" t="n">
        <f aca="false">(AM42+AG42+AA42)/3</f>
        <v>0</v>
      </c>
      <c r="AO42" s="289" t="n">
        <f aca="false">AG42</f>
        <v>0</v>
      </c>
      <c r="AP42" s="291"/>
      <c r="AQ42" s="292" t="e">
        <f aca="false">(AA42-AN42)/AA42</f>
        <v>#DIV/0!</v>
      </c>
      <c r="AR42" s="292" t="e">
        <f aca="false">(AG42-AN42)/AG42</f>
        <v>#DIV/0!</v>
      </c>
      <c r="AS42" s="292" t="e">
        <f aca="false">(AM42-AN42)/AM42</f>
        <v>#DIV/0!</v>
      </c>
    </row>
    <row r="43" s="15" customFormat="true" ht="12.75" hidden="false" customHeight="false" outlineLevel="0" collapsed="false">
      <c r="A43" s="294"/>
      <c r="B43" s="120"/>
      <c r="C43" s="120"/>
      <c r="D43" s="120"/>
      <c r="E43" s="120"/>
      <c r="F43" s="295" t="s">
        <v>778</v>
      </c>
      <c r="G43" s="295" t="n">
        <f aca="false">SUM(G11:G42)</f>
        <v>381335.466666667</v>
      </c>
      <c r="H43" s="120"/>
      <c r="I43" s="120"/>
      <c r="J43" s="120"/>
      <c r="K43" s="120"/>
      <c r="L43" s="120"/>
      <c r="M43" s="295" t="s">
        <v>779</v>
      </c>
      <c r="N43" s="120"/>
      <c r="O43" s="120"/>
      <c r="P43" s="120"/>
      <c r="Q43" s="120"/>
      <c r="R43" s="120"/>
      <c r="S43" s="295" t="n">
        <f aca="false">SUM(S11:S42)</f>
        <v>417245.123261333</v>
      </c>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row>
    <row r="44" s="15" customFormat="true" ht="12.75" hidden="false" customHeight="false" outlineLevel="0" collapsed="false">
      <c r="A44" s="294"/>
      <c r="B44" s="120"/>
      <c r="C44" s="120"/>
      <c r="D44" s="120"/>
      <c r="E44" s="120"/>
      <c r="F44" s="295"/>
      <c r="G44" s="295"/>
      <c r="H44" s="120"/>
      <c r="I44" s="120"/>
      <c r="J44" s="120"/>
      <c r="K44" s="120"/>
      <c r="L44" s="120"/>
      <c r="M44" s="295"/>
      <c r="N44" s="120"/>
      <c r="O44" s="120"/>
      <c r="P44" s="120"/>
      <c r="Q44" s="120"/>
      <c r="R44" s="120"/>
      <c r="S44" s="295"/>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row>
    <row r="45" s="15" customFormat="true" ht="12.75" hidden="false" customHeight="false" outlineLevel="0" collapsed="false">
      <c r="A45" s="294"/>
      <c r="B45" s="296"/>
      <c r="C45" s="296"/>
      <c r="D45" s="296"/>
      <c r="E45" s="296"/>
      <c r="F45" s="296"/>
      <c r="G45" s="297"/>
      <c r="H45" s="298"/>
      <c r="I45" s="120"/>
      <c r="J45" s="120"/>
      <c r="K45" s="120"/>
      <c r="L45" s="120"/>
      <c r="M45" s="295"/>
      <c r="N45" s="120"/>
      <c r="O45" s="120"/>
      <c r="P45" s="120"/>
      <c r="Q45" s="120"/>
      <c r="R45" s="120"/>
      <c r="S45" s="295"/>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row>
    <row r="46" s="15" customFormat="true" ht="12.75" hidden="false" customHeight="false" outlineLevel="0" collapsed="false">
      <c r="A46" s="294"/>
      <c r="B46" s="120"/>
      <c r="C46" s="120"/>
      <c r="D46" s="120"/>
      <c r="E46" s="120" t="s">
        <v>780</v>
      </c>
      <c r="F46" s="295"/>
      <c r="G46" s="295"/>
      <c r="H46" s="298"/>
      <c r="I46" s="120"/>
      <c r="J46" s="120"/>
      <c r="K46" s="120"/>
      <c r="L46" s="120"/>
      <c r="M46" s="295"/>
      <c r="N46" s="120"/>
      <c r="O46" s="120"/>
      <c r="P46" s="120"/>
      <c r="Q46" s="120"/>
      <c r="R46" s="120"/>
      <c r="S46" s="295"/>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row>
    <row r="47" s="15" customFormat="true" ht="12.75" hidden="true" customHeight="false" outlineLevel="0" collapsed="false">
      <c r="A47" s="294"/>
      <c r="B47" s="120"/>
      <c r="C47" s="120"/>
      <c r="D47" s="120"/>
      <c r="E47" s="120"/>
      <c r="F47" s="295"/>
      <c r="G47" s="295"/>
      <c r="H47" s="298" t="s">
        <v>781</v>
      </c>
      <c r="I47" s="120"/>
      <c r="J47" s="120"/>
      <c r="K47" s="120"/>
      <c r="L47" s="120"/>
      <c r="M47" s="295"/>
      <c r="N47" s="120"/>
      <c r="O47" s="120"/>
      <c r="P47" s="120"/>
      <c r="Q47" s="120"/>
      <c r="R47" s="120"/>
      <c r="S47" s="295"/>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row>
    <row r="48" s="15" customFormat="true" ht="12.75" hidden="true" customHeight="false" outlineLevel="0" collapsed="false">
      <c r="A48" s="294"/>
      <c r="B48" s="120"/>
      <c r="C48" s="120"/>
      <c r="D48" s="120"/>
      <c r="E48" s="120"/>
      <c r="F48" s="295"/>
      <c r="G48" s="295"/>
      <c r="H48" s="120"/>
      <c r="I48" s="120"/>
      <c r="J48" s="120"/>
      <c r="K48" s="120"/>
      <c r="L48" s="120"/>
      <c r="M48" s="295"/>
      <c r="N48" s="120"/>
      <c r="O48" s="120"/>
      <c r="P48" s="120"/>
      <c r="Q48" s="120"/>
      <c r="R48" s="120"/>
      <c r="S48" s="295"/>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row>
    <row r="49" s="15" customFormat="true" ht="24.75" hidden="true" customHeight="true" outlineLevel="0" collapsed="false">
      <c r="A49" s="299" t="s">
        <v>782</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120"/>
    </row>
    <row r="50" s="15" customFormat="true" ht="39" hidden="true" customHeight="true" outlineLevel="0" collapsed="false">
      <c r="A50" s="299" t="s">
        <v>783</v>
      </c>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300"/>
    </row>
    <row r="51" s="15" customFormat="true" ht="21" hidden="true" customHeight="true" outlineLevel="0" collapsed="false">
      <c r="A51" s="299" t="s">
        <v>784</v>
      </c>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120"/>
    </row>
    <row r="52" s="15" customFormat="true" ht="22.5" hidden="true" customHeight="true" outlineLevel="0" collapsed="false">
      <c r="A52" s="299" t="s">
        <v>785</v>
      </c>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120"/>
    </row>
    <row r="53" s="15" customFormat="true" ht="24" hidden="true" customHeight="true" outlineLevel="0" collapsed="false">
      <c r="A53" s="299" t="s">
        <v>786</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120"/>
    </row>
    <row r="54" s="15" customFormat="true" ht="48.75" hidden="true" customHeight="true" outlineLevel="0" collapsed="false">
      <c r="A54" s="299" t="s">
        <v>787</v>
      </c>
      <c r="B54" s="299"/>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120"/>
    </row>
    <row r="55" s="15" customFormat="true" ht="53.25" hidden="true" customHeight="true" outlineLevel="0" collapsed="false">
      <c r="A55" s="299" t="s">
        <v>788</v>
      </c>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120"/>
    </row>
    <row r="56" s="15" customFormat="true" ht="24" hidden="true" customHeight="true" outlineLevel="0" collapsed="false">
      <c r="A56" s="299" t="s">
        <v>789</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120"/>
    </row>
    <row r="57" s="15" customFormat="true" ht="114" hidden="true" customHeight="true" outlineLevel="0" collapsed="false">
      <c r="A57" s="299" t="s">
        <v>790</v>
      </c>
      <c r="B57" s="299"/>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120"/>
    </row>
  </sheetData>
  <autoFilter ref="B9:AP57"/>
  <mergeCells count="28">
    <mergeCell ref="A3:AO3"/>
    <mergeCell ref="A5:AP5"/>
    <mergeCell ref="A7:A9"/>
    <mergeCell ref="B7:B9"/>
    <mergeCell ref="C7:C9"/>
    <mergeCell ref="D7:D9"/>
    <mergeCell ref="E7:T7"/>
    <mergeCell ref="U7:U9"/>
    <mergeCell ref="V7:AM7"/>
    <mergeCell ref="AN7:AN9"/>
    <mergeCell ref="AO7:AO9"/>
    <mergeCell ref="AP7:AP9"/>
    <mergeCell ref="E8:F8"/>
    <mergeCell ref="H8:M8"/>
    <mergeCell ref="N8:T8"/>
    <mergeCell ref="V8:AA8"/>
    <mergeCell ref="AB8:AG8"/>
    <mergeCell ref="AH8:AM8"/>
    <mergeCell ref="B45:F45"/>
    <mergeCell ref="A49:AO49"/>
    <mergeCell ref="A50:AO50"/>
    <mergeCell ref="A51:AO51"/>
    <mergeCell ref="A52:AO52"/>
    <mergeCell ref="A53:AO53"/>
    <mergeCell ref="A54:AO54"/>
    <mergeCell ref="A55:AO55"/>
    <mergeCell ref="A56:AO56"/>
    <mergeCell ref="A57:AO57"/>
  </mergeCells>
  <hyperlinks>
    <hyperlink ref="V13" r:id="rId1" display="https://www.aquateka.ru/?cat=products&amp;prod=himicheskaya-produkciya-vertolin-74-sredstvo-moyushee-tehnicheskoe-5-l-650205"/>
    <hyperlink ref="AB13" r:id="rId2" display="https://samara.harat.ru/catalog/1613879-vertolin-74-marka-a"/>
    <hyperlink ref="V19" r:id="rId3" display="https://gms1520.ru/product/rezinovye-rukava/rukava-napornye/g-iv-10-32-47-khl-gost-18698-79/"/>
    <hyperlink ref="AB19" r:id="rId4" display="https://www.rezina-evraz.ru/goods/231179733-rukav_g_iv_10_32_47_khl_gost_18698_79"/>
    <hyperlink ref="V20" r:id="rId5" display="https://www.beoil.ru/smazki/termostoykie/politerm-s-1-18-kg"/>
    <hyperlink ref="AB20" r:id="rId6" display="https://snab-n.ru/catalog/smazki/politerm-s-1-0-8-kg/"/>
    <hyperlink ref="V21" r:id="rId7" display="https://ivatex.ru/teh-tkani/belting-bf-bd-2030/belting-bf-bd-art-2030-140-gost-332-91-1/"/>
    <hyperlink ref="AB21" r:id="rId8" display="https://rostexika.ru/p/753645734-belting-art-2030-sh-110-sm/"/>
    <hyperlink ref="E23" r:id="rId9" display="https://nn.vseinstrumenti.ru/product/muftovaya-golovka-prestizh-gm-50-779083/"/>
    <hyperlink ref="V23" r:id="rId10" display="https://www.magazin01.ru/catalog/rukava-inventar/Stvoly-pojarnye-i-golovki-soedinitelnye/Golovki-napornye/Golovka-GM-50-latun/"/>
    <hyperlink ref="AB23" r:id="rId11" display="https://www.hidrocontrol.ru/products/golovka-napornaya-legmash-50-mm-gm-50-aliuminii-muftovaya"/>
  </hyperlink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13" man="true" max="16383" min="0"/>
  </rowBreaks>
  <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265"/>
  <sheetViews>
    <sheetView showFormulas="false" showGridLines="true" showRowColHeaders="true" showZeros="true" rightToLeft="false" tabSelected="true" showOutlineSymbols="true" defaultGridColor="true" view="normal" topLeftCell="A245" colorId="64" zoomScale="88" zoomScaleNormal="88" zoomScalePageLayoutView="100" workbookViewId="0">
      <selection pane="topLeft" activeCell="BS1" activeCellId="0" sqref="E1:BS1048576"/>
    </sheetView>
  </sheetViews>
  <sheetFormatPr defaultColWidth="8.2890625" defaultRowHeight="14.45" zeroHeight="false" outlineLevelRow="0" outlineLevelCol="0"/>
  <cols>
    <col collapsed="false" customWidth="true" hidden="false" outlineLevel="0" max="1" min="1" style="301" width="7.29"/>
    <col collapsed="false" customWidth="true" hidden="false" outlineLevel="0" max="2" min="2" style="302" width="33.14"/>
    <col collapsed="false" customWidth="true" hidden="false" outlineLevel="0" max="3" min="3" style="303" width="14.29"/>
    <col collapsed="false" customWidth="true" hidden="false" outlineLevel="0" max="4" min="4" style="303" width="16"/>
    <col collapsed="false" customWidth="true" hidden="false" outlineLevel="0" max="5" min="5" style="302" width="20.29"/>
    <col collapsed="false" customWidth="true" hidden="false" outlineLevel="0" max="6" min="6" style="302" width="17.57"/>
    <col collapsed="false" customWidth="true" hidden="false" outlineLevel="0" max="7" min="7" style="302" width="17.42"/>
    <col collapsed="false" customWidth="true" hidden="false" outlineLevel="0" max="8" min="8" style="302" width="19"/>
    <col collapsed="false" customWidth="true" hidden="false" outlineLevel="0" max="9" min="9" style="304" width="16.29"/>
    <col collapsed="false" customWidth="true" hidden="false" outlineLevel="0" max="10" min="10" style="302" width="17.86"/>
    <col collapsed="false" customWidth="true" hidden="false" outlineLevel="0" max="11" min="11" style="302" width="17.57"/>
    <col collapsed="false" customWidth="true" hidden="false" outlineLevel="0" max="12" min="12" style="305" width="17.29"/>
    <col collapsed="false" customWidth="true" hidden="false" outlineLevel="0" max="13" min="13" style="302" width="19.71"/>
    <col collapsed="false" customWidth="true" hidden="false" outlineLevel="0" max="14" min="14" style="301" width="21.84"/>
    <col collapsed="false" customWidth="true" hidden="false" outlineLevel="0" max="16" min="15" style="301" width="40.71"/>
    <col collapsed="false" customWidth="true" hidden="false" outlineLevel="0" max="17" min="17" style="301" width="9.14"/>
    <col collapsed="false" customWidth="true" hidden="false" outlineLevel="0" max="18" min="18" style="301" width="10.71"/>
    <col collapsed="false" customWidth="true" hidden="false" outlineLevel="0" max="35" min="19" style="301" width="9.14"/>
  </cols>
  <sheetData>
    <row r="1" customFormat="false" ht="23.25" hidden="false" customHeight="true" outlineLevel="0" collapsed="false">
      <c r="A1" s="306" t="s">
        <v>791</v>
      </c>
      <c r="B1" s="306"/>
      <c r="C1" s="306"/>
      <c r="D1" s="306"/>
      <c r="E1" s="306"/>
      <c r="F1" s="306"/>
      <c r="G1" s="306"/>
      <c r="H1" s="306"/>
      <c r="I1" s="306"/>
      <c r="J1" s="306"/>
      <c r="K1" s="306"/>
      <c r="L1" s="306"/>
      <c r="M1" s="306"/>
      <c r="N1" s="306"/>
      <c r="O1" s="306"/>
      <c r="P1" s="306"/>
    </row>
    <row r="2" customFormat="false" ht="23.25" hidden="false" customHeight="true" outlineLevel="0" collapsed="false">
      <c r="A2" s="306" t="s">
        <v>792</v>
      </c>
      <c r="B2" s="306"/>
      <c r="C2" s="306"/>
      <c r="D2" s="306"/>
      <c r="E2" s="306"/>
      <c r="F2" s="306"/>
      <c r="G2" s="306"/>
      <c r="H2" s="306"/>
      <c r="I2" s="306"/>
      <c r="J2" s="306"/>
      <c r="K2" s="306"/>
      <c r="L2" s="306"/>
      <c r="M2" s="306"/>
      <c r="N2" s="306"/>
      <c r="O2" s="306"/>
      <c r="P2" s="306"/>
    </row>
    <row r="3" customFormat="false" ht="25.5" hidden="false" customHeight="true" outlineLevel="0" collapsed="false">
      <c r="A3" s="9" t="s">
        <v>793</v>
      </c>
      <c r="B3" s="9"/>
      <c r="C3" s="9"/>
      <c r="D3" s="9"/>
      <c r="E3" s="9"/>
      <c r="F3" s="9"/>
      <c r="G3" s="9"/>
      <c r="H3" s="9"/>
      <c r="I3" s="9"/>
      <c r="J3" s="9"/>
      <c r="K3" s="9"/>
      <c r="L3" s="9"/>
      <c r="M3" s="9"/>
      <c r="N3" s="9"/>
      <c r="O3" s="307"/>
      <c r="P3" s="308"/>
    </row>
    <row r="4" customFormat="false" ht="17.25" hidden="false" customHeight="true" outlineLevel="0" collapsed="false">
      <c r="A4" s="309"/>
      <c r="B4" s="310"/>
      <c r="C4" s="311"/>
      <c r="D4" s="311"/>
      <c r="E4" s="310"/>
      <c r="F4" s="310"/>
      <c r="G4" s="310"/>
      <c r="H4" s="310"/>
      <c r="I4" s="312"/>
      <c r="J4" s="310"/>
      <c r="K4" s="310"/>
      <c r="L4" s="313"/>
      <c r="M4" s="310"/>
      <c r="N4" s="308"/>
      <c r="O4" s="308"/>
      <c r="P4" s="308"/>
    </row>
    <row r="5" customFormat="false" ht="28.5" hidden="false" customHeight="true" outlineLevel="0" collapsed="false">
      <c r="A5" s="314" t="s">
        <v>794</v>
      </c>
      <c r="B5" s="314"/>
      <c r="C5" s="314"/>
      <c r="D5" s="314"/>
      <c r="E5" s="314"/>
      <c r="F5" s="314"/>
      <c r="G5" s="314"/>
      <c r="H5" s="314"/>
      <c r="I5" s="314"/>
      <c r="J5" s="314"/>
      <c r="K5" s="314"/>
      <c r="L5" s="314"/>
      <c r="M5" s="314"/>
      <c r="N5" s="314"/>
      <c r="O5" s="314"/>
      <c r="P5" s="314"/>
      <c r="Q5" s="308"/>
      <c r="R5" s="308"/>
      <c r="S5" s="308"/>
      <c r="T5" s="308"/>
      <c r="U5" s="308"/>
      <c r="V5" s="308"/>
      <c r="W5" s="308"/>
      <c r="X5" s="308"/>
      <c r="Y5" s="308"/>
      <c r="Z5" s="308"/>
      <c r="AA5" s="308"/>
      <c r="AB5" s="308"/>
      <c r="AC5" s="308"/>
      <c r="AD5" s="308"/>
      <c r="AE5" s="308"/>
      <c r="AF5" s="308"/>
      <c r="AG5" s="308"/>
      <c r="AH5" s="308"/>
      <c r="AI5" s="308"/>
    </row>
    <row r="6" customFormat="false" ht="15" hidden="false" customHeight="false" outlineLevel="0" collapsed="false">
      <c r="A6" s="308"/>
      <c r="B6" s="315"/>
      <c r="C6" s="311"/>
      <c r="D6" s="311"/>
      <c r="E6" s="315"/>
      <c r="F6" s="315"/>
      <c r="G6" s="315"/>
      <c r="H6" s="315"/>
      <c r="I6" s="312"/>
      <c r="J6" s="315"/>
      <c r="K6" s="315"/>
      <c r="L6" s="316"/>
      <c r="M6" s="315"/>
      <c r="N6" s="308"/>
      <c r="O6" s="308"/>
      <c r="P6" s="308"/>
      <c r="Q6" s="308"/>
      <c r="R6" s="308"/>
      <c r="S6" s="308"/>
      <c r="T6" s="308"/>
      <c r="U6" s="308"/>
      <c r="V6" s="308"/>
      <c r="W6" s="308"/>
      <c r="X6" s="308"/>
      <c r="Y6" s="308"/>
      <c r="Z6" s="308"/>
      <c r="AA6" s="308"/>
      <c r="AB6" s="308"/>
      <c r="AC6" s="308"/>
      <c r="AD6" s="308"/>
      <c r="AE6" s="308"/>
      <c r="AF6" s="308"/>
      <c r="AG6" s="308"/>
      <c r="AH6" s="308"/>
      <c r="AI6" s="308"/>
    </row>
    <row r="7" customFormat="false" ht="40.5" hidden="false" customHeight="true" outlineLevel="0" collapsed="false">
      <c r="A7" s="317" t="s">
        <v>4</v>
      </c>
      <c r="B7" s="317" t="s">
        <v>7</v>
      </c>
      <c r="C7" s="317" t="s">
        <v>8</v>
      </c>
      <c r="D7" s="317" t="s">
        <v>9</v>
      </c>
      <c r="E7" s="317"/>
      <c r="F7" s="317"/>
      <c r="G7" s="317"/>
      <c r="H7" s="317"/>
      <c r="I7" s="317"/>
      <c r="J7" s="317"/>
      <c r="K7" s="317"/>
      <c r="L7" s="317"/>
      <c r="M7" s="317"/>
      <c r="N7" s="318"/>
      <c r="O7" s="318"/>
      <c r="P7" s="317"/>
      <c r="Q7" s="308"/>
      <c r="R7" s="308"/>
      <c r="S7" s="308"/>
      <c r="T7" s="308"/>
      <c r="U7" s="308"/>
      <c r="V7" s="308"/>
      <c r="W7" s="308"/>
      <c r="X7" s="308"/>
      <c r="Y7" s="308"/>
      <c r="Z7" s="308"/>
      <c r="AA7" s="308"/>
      <c r="AB7" s="308"/>
      <c r="AC7" s="308"/>
      <c r="AD7" s="308"/>
      <c r="AE7" s="308"/>
      <c r="AF7" s="308"/>
      <c r="AG7" s="308"/>
      <c r="AH7" s="308"/>
      <c r="AI7" s="308"/>
    </row>
    <row r="8" customFormat="false" ht="105.75" hidden="false" customHeight="true" outlineLevel="0" collapsed="false">
      <c r="A8" s="317"/>
      <c r="B8" s="317"/>
      <c r="C8" s="317"/>
      <c r="D8" s="317"/>
      <c r="E8" s="317"/>
      <c r="F8" s="317"/>
      <c r="G8" s="317"/>
      <c r="H8" s="317"/>
      <c r="I8" s="319"/>
      <c r="J8" s="317"/>
      <c r="K8" s="317"/>
      <c r="L8" s="320"/>
      <c r="M8" s="317"/>
      <c r="N8" s="318"/>
      <c r="O8" s="318"/>
      <c r="P8" s="317"/>
      <c r="Q8" s="308"/>
      <c r="R8" s="321"/>
      <c r="S8" s="321"/>
      <c r="T8" s="321"/>
      <c r="U8" s="308"/>
      <c r="V8" s="308"/>
      <c r="W8" s="308"/>
      <c r="X8" s="308"/>
      <c r="Y8" s="308"/>
      <c r="Z8" s="308"/>
      <c r="AA8" s="308"/>
      <c r="AB8" s="308"/>
      <c r="AC8" s="308"/>
      <c r="AD8" s="308"/>
      <c r="AE8" s="308"/>
      <c r="AF8" s="308"/>
      <c r="AG8" s="308"/>
      <c r="AH8" s="308"/>
      <c r="AI8" s="308"/>
    </row>
    <row r="9" customFormat="false" ht="25.5" hidden="false" customHeight="true" outlineLevel="0" collapsed="false">
      <c r="A9" s="322" t="n">
        <v>1</v>
      </c>
      <c r="B9" s="322" t="n">
        <v>2</v>
      </c>
      <c r="C9" s="322" t="n">
        <v>3</v>
      </c>
      <c r="D9" s="322" t="n">
        <v>4</v>
      </c>
      <c r="E9" s="322"/>
      <c r="F9" s="322"/>
      <c r="G9" s="322"/>
      <c r="H9" s="322"/>
      <c r="I9" s="323"/>
      <c r="J9" s="322"/>
      <c r="K9" s="322"/>
      <c r="L9" s="324"/>
      <c r="M9" s="322"/>
      <c r="N9" s="322"/>
      <c r="O9" s="322"/>
      <c r="P9" s="322"/>
      <c r="Q9" s="311"/>
      <c r="R9" s="311"/>
      <c r="S9" s="311"/>
      <c r="T9" s="311"/>
      <c r="U9" s="311"/>
      <c r="V9" s="311"/>
      <c r="W9" s="311"/>
      <c r="X9" s="311"/>
      <c r="Y9" s="311"/>
      <c r="Z9" s="311"/>
      <c r="AA9" s="311"/>
      <c r="AB9" s="311"/>
      <c r="AC9" s="311"/>
      <c r="AD9" s="311"/>
      <c r="AE9" s="311"/>
      <c r="AF9" s="311"/>
      <c r="AG9" s="311"/>
      <c r="AH9" s="311"/>
      <c r="AI9" s="311"/>
    </row>
    <row r="10" customFormat="false" ht="38.25" hidden="false" customHeight="true" outlineLevel="0" collapsed="false">
      <c r="A10" s="322" t="n">
        <v>1</v>
      </c>
      <c r="B10" s="325" t="s">
        <v>795</v>
      </c>
      <c r="C10" s="325" t="s">
        <v>31</v>
      </c>
      <c r="D10" s="326" t="n">
        <f aca="false">10+150+25+25+25+25+250+50+250</f>
        <v>810</v>
      </c>
      <c r="E10" s="327"/>
      <c r="F10" s="324"/>
      <c r="G10" s="324"/>
      <c r="H10" s="328"/>
      <c r="I10" s="329"/>
      <c r="J10" s="324"/>
      <c r="K10" s="328"/>
      <c r="L10" s="330"/>
      <c r="M10" s="324"/>
      <c r="N10" s="331"/>
      <c r="O10" s="331"/>
      <c r="P10" s="328"/>
      <c r="Q10" s="309"/>
      <c r="R10" s="332"/>
      <c r="S10" s="332"/>
      <c r="T10" s="332"/>
      <c r="U10" s="309"/>
      <c r="V10" s="309"/>
      <c r="W10" s="309"/>
      <c r="X10" s="309"/>
      <c r="Y10" s="309"/>
      <c r="Z10" s="309"/>
      <c r="AA10" s="309"/>
      <c r="AB10" s="309"/>
      <c r="AC10" s="309"/>
      <c r="AD10" s="309"/>
      <c r="AE10" s="309"/>
      <c r="AF10" s="309"/>
      <c r="AG10" s="309"/>
      <c r="AH10" s="309"/>
      <c r="AI10" s="309"/>
    </row>
    <row r="11" customFormat="false" ht="36" hidden="false" customHeight="true" outlineLevel="0" collapsed="false">
      <c r="A11" s="322" t="n">
        <v>2</v>
      </c>
      <c r="B11" s="325" t="s">
        <v>796</v>
      </c>
      <c r="C11" s="325" t="s">
        <v>31</v>
      </c>
      <c r="D11" s="326" t="n">
        <f aca="false">10+150+25+25+25+25+250+50+250</f>
        <v>810</v>
      </c>
      <c r="E11" s="327"/>
      <c r="F11" s="324"/>
      <c r="G11" s="324"/>
      <c r="H11" s="328"/>
      <c r="I11" s="329"/>
      <c r="J11" s="324"/>
      <c r="K11" s="328"/>
      <c r="L11" s="330"/>
      <c r="M11" s="324"/>
      <c r="N11" s="331"/>
      <c r="O11" s="331"/>
      <c r="P11" s="328"/>
      <c r="Q11" s="309"/>
      <c r="R11" s="332"/>
      <c r="S11" s="332"/>
      <c r="T11" s="332"/>
      <c r="U11" s="309"/>
      <c r="V11" s="309"/>
      <c r="W11" s="309"/>
      <c r="X11" s="309"/>
      <c r="Y11" s="309"/>
      <c r="Z11" s="309"/>
      <c r="AA11" s="309"/>
      <c r="AB11" s="309"/>
      <c r="AC11" s="309"/>
      <c r="AD11" s="309"/>
      <c r="AE11" s="309"/>
      <c r="AF11" s="309"/>
      <c r="AG11" s="309"/>
      <c r="AH11" s="309"/>
      <c r="AI11" s="309"/>
    </row>
    <row r="12" customFormat="false" ht="36" hidden="false" customHeight="true" outlineLevel="0" collapsed="false">
      <c r="A12" s="322" t="n">
        <v>3</v>
      </c>
      <c r="B12" s="325" t="s">
        <v>797</v>
      </c>
      <c r="C12" s="325" t="s">
        <v>31</v>
      </c>
      <c r="D12" s="326" t="n">
        <f aca="false">112+2576+40</f>
        <v>2728</v>
      </c>
      <c r="E12" s="327"/>
      <c r="F12" s="324"/>
      <c r="G12" s="324"/>
      <c r="H12" s="328"/>
      <c r="I12" s="329"/>
      <c r="J12" s="324"/>
      <c r="K12" s="328"/>
      <c r="L12" s="330"/>
      <c r="M12" s="324"/>
      <c r="N12" s="331"/>
      <c r="O12" s="331"/>
      <c r="P12" s="328"/>
      <c r="Q12" s="309"/>
      <c r="R12" s="332"/>
      <c r="S12" s="332"/>
      <c r="T12" s="332"/>
      <c r="U12" s="309"/>
      <c r="V12" s="309"/>
      <c r="W12" s="309"/>
      <c r="X12" s="309"/>
      <c r="Y12" s="309"/>
      <c r="Z12" s="309"/>
      <c r="AA12" s="309"/>
      <c r="AB12" s="309"/>
      <c r="AC12" s="309"/>
      <c r="AD12" s="309"/>
      <c r="AE12" s="309"/>
      <c r="AF12" s="309"/>
      <c r="AG12" s="309"/>
      <c r="AH12" s="309"/>
      <c r="AI12" s="309"/>
    </row>
    <row r="13" customFormat="false" ht="36" hidden="false" customHeight="true" outlineLevel="0" collapsed="false">
      <c r="A13" s="322" t="n">
        <v>4</v>
      </c>
      <c r="B13" s="325" t="s">
        <v>798</v>
      </c>
      <c r="C13" s="325" t="s">
        <v>31</v>
      </c>
      <c r="D13" s="326" t="n">
        <f aca="false">3000+1360+680+1440+360</f>
        <v>6840</v>
      </c>
      <c r="E13" s="327"/>
      <c r="F13" s="324"/>
      <c r="G13" s="324"/>
      <c r="H13" s="328"/>
      <c r="I13" s="329"/>
      <c r="J13" s="324"/>
      <c r="K13" s="328"/>
      <c r="L13" s="330"/>
      <c r="M13" s="324"/>
      <c r="N13" s="331"/>
      <c r="O13" s="331"/>
      <c r="P13" s="328"/>
      <c r="Q13" s="309"/>
      <c r="R13" s="332"/>
      <c r="S13" s="332"/>
      <c r="T13" s="332"/>
      <c r="U13" s="309"/>
      <c r="V13" s="309"/>
      <c r="W13" s="309"/>
      <c r="X13" s="309"/>
      <c r="Y13" s="309"/>
      <c r="Z13" s="309"/>
      <c r="AA13" s="309"/>
      <c r="AB13" s="309"/>
      <c r="AC13" s="309"/>
      <c r="AD13" s="309"/>
      <c r="AE13" s="309"/>
      <c r="AF13" s="309"/>
      <c r="AG13" s="309"/>
      <c r="AH13" s="309"/>
      <c r="AI13" s="309"/>
    </row>
    <row r="14" customFormat="false" ht="36" hidden="false" customHeight="true" outlineLevel="0" collapsed="false">
      <c r="A14" s="322" t="n">
        <v>5</v>
      </c>
      <c r="B14" s="325" t="s">
        <v>799</v>
      </c>
      <c r="C14" s="325" t="s">
        <v>800</v>
      </c>
      <c r="D14" s="326" t="n">
        <f aca="false">25+1200+10+1+50+1200+1200+368+320+320+200+200+8550+4575+50+25+50+200+4256+5453+30+60+120+160</f>
        <v>28623</v>
      </c>
      <c r="E14" s="327"/>
      <c r="F14" s="330"/>
      <c r="G14" s="324"/>
      <c r="H14" s="328"/>
      <c r="I14" s="333"/>
      <c r="J14" s="324"/>
      <c r="K14" s="328"/>
      <c r="L14" s="330"/>
      <c r="M14" s="324"/>
      <c r="N14" s="331"/>
      <c r="O14" s="331"/>
      <c r="P14" s="328"/>
      <c r="Q14" s="309"/>
      <c r="R14" s="332"/>
      <c r="S14" s="332"/>
      <c r="T14" s="332"/>
      <c r="U14" s="309"/>
      <c r="V14" s="309"/>
      <c r="W14" s="309"/>
      <c r="X14" s="309"/>
      <c r="Y14" s="309"/>
      <c r="Z14" s="309"/>
      <c r="AA14" s="309"/>
      <c r="AB14" s="309"/>
      <c r="AC14" s="309"/>
      <c r="AD14" s="309"/>
      <c r="AE14" s="309"/>
      <c r="AF14" s="309"/>
      <c r="AG14" s="309"/>
      <c r="AH14" s="309"/>
      <c r="AI14" s="309"/>
    </row>
    <row r="15" customFormat="false" ht="36" hidden="false" customHeight="true" outlineLevel="0" collapsed="false">
      <c r="A15" s="322" t="n">
        <v>6</v>
      </c>
      <c r="B15" s="325" t="s">
        <v>801</v>
      </c>
      <c r="C15" s="325" t="s">
        <v>31</v>
      </c>
      <c r="D15" s="326" t="n">
        <f aca="false">1690</f>
        <v>1690</v>
      </c>
      <c r="E15" s="327"/>
      <c r="F15" s="330"/>
      <c r="G15" s="324"/>
      <c r="H15" s="328"/>
      <c r="I15" s="333"/>
      <c r="J15" s="324"/>
      <c r="K15" s="328"/>
      <c r="L15" s="330"/>
      <c r="M15" s="324"/>
      <c r="N15" s="331"/>
      <c r="O15" s="331"/>
      <c r="P15" s="328"/>
      <c r="Q15" s="309"/>
      <c r="R15" s="332"/>
      <c r="S15" s="332"/>
      <c r="T15" s="332"/>
      <c r="U15" s="309"/>
      <c r="V15" s="309"/>
      <c r="W15" s="309"/>
      <c r="X15" s="309"/>
      <c r="Y15" s="309"/>
      <c r="Z15" s="309"/>
      <c r="AA15" s="309"/>
      <c r="AB15" s="309"/>
      <c r="AC15" s="309"/>
      <c r="AD15" s="309"/>
      <c r="AE15" s="309"/>
      <c r="AF15" s="309"/>
      <c r="AG15" s="309"/>
      <c r="AH15" s="309"/>
      <c r="AI15" s="309"/>
    </row>
    <row r="16" customFormat="false" ht="36" hidden="false" customHeight="true" outlineLevel="0" collapsed="false">
      <c r="A16" s="322" t="n">
        <v>7</v>
      </c>
      <c r="B16" s="325" t="s">
        <v>381</v>
      </c>
      <c r="C16" s="325" t="s">
        <v>31</v>
      </c>
      <c r="D16" s="326" t="n">
        <f aca="false">50</f>
        <v>50</v>
      </c>
      <c r="E16" s="327"/>
      <c r="F16" s="330"/>
      <c r="G16" s="324"/>
      <c r="H16" s="328"/>
      <c r="I16" s="333"/>
      <c r="J16" s="324"/>
      <c r="K16" s="328"/>
      <c r="L16" s="330"/>
      <c r="M16" s="324"/>
      <c r="N16" s="331"/>
      <c r="O16" s="331"/>
      <c r="P16" s="328"/>
      <c r="Q16" s="309"/>
      <c r="R16" s="332"/>
      <c r="S16" s="332"/>
      <c r="T16" s="332"/>
      <c r="U16" s="309"/>
      <c r="V16" s="309"/>
      <c r="W16" s="309"/>
      <c r="X16" s="309"/>
      <c r="Y16" s="309"/>
      <c r="Z16" s="309"/>
      <c r="AA16" s="309"/>
      <c r="AB16" s="309"/>
      <c r="AC16" s="309"/>
      <c r="AD16" s="309"/>
      <c r="AE16" s="309"/>
      <c r="AF16" s="309"/>
      <c r="AG16" s="309"/>
      <c r="AH16" s="309"/>
      <c r="AI16" s="309"/>
    </row>
    <row r="17" customFormat="false" ht="33.75" hidden="false" customHeight="true" outlineLevel="0" collapsed="false">
      <c r="A17" s="322" t="n">
        <v>8</v>
      </c>
      <c r="B17" s="325" t="s">
        <v>802</v>
      </c>
      <c r="C17" s="325" t="s">
        <v>31</v>
      </c>
      <c r="D17" s="326" t="n">
        <f aca="false">1170+180+396+384+960</f>
        <v>3090</v>
      </c>
      <c r="E17" s="327"/>
      <c r="F17" s="330"/>
      <c r="G17" s="324"/>
      <c r="H17" s="328"/>
      <c r="I17" s="333"/>
      <c r="J17" s="324"/>
      <c r="K17" s="328"/>
      <c r="L17" s="330"/>
      <c r="M17" s="324"/>
      <c r="N17" s="331"/>
      <c r="O17" s="331"/>
      <c r="P17" s="328"/>
      <c r="Q17" s="309"/>
      <c r="R17" s="332"/>
      <c r="S17" s="332"/>
      <c r="T17" s="332"/>
      <c r="U17" s="309"/>
      <c r="V17" s="309"/>
      <c r="W17" s="309"/>
      <c r="X17" s="309"/>
      <c r="Y17" s="309"/>
      <c r="Z17" s="309"/>
      <c r="AA17" s="309"/>
      <c r="AB17" s="309"/>
      <c r="AC17" s="309"/>
      <c r="AD17" s="309"/>
      <c r="AE17" s="309"/>
      <c r="AF17" s="309"/>
      <c r="AG17" s="309"/>
      <c r="AH17" s="309"/>
      <c r="AI17" s="309"/>
    </row>
    <row r="18" customFormat="false" ht="27.75" hidden="false" customHeight="true" outlineLevel="0" collapsed="false">
      <c r="A18" s="322" t="n">
        <v>9</v>
      </c>
      <c r="B18" s="325" t="s">
        <v>803</v>
      </c>
      <c r="C18" s="325" t="s">
        <v>31</v>
      </c>
      <c r="D18" s="326" t="n">
        <f aca="false">2100+18720</f>
        <v>20820</v>
      </c>
      <c r="E18" s="327"/>
      <c r="F18" s="330"/>
      <c r="G18" s="324"/>
      <c r="H18" s="328"/>
      <c r="I18" s="333"/>
      <c r="J18" s="324"/>
      <c r="K18" s="328"/>
      <c r="L18" s="330"/>
      <c r="M18" s="324"/>
      <c r="N18" s="331"/>
      <c r="O18" s="331"/>
      <c r="P18" s="328"/>
      <c r="Q18" s="309"/>
      <c r="R18" s="332"/>
      <c r="S18" s="332"/>
      <c r="T18" s="332"/>
      <c r="U18" s="309"/>
      <c r="V18" s="309"/>
      <c r="W18" s="309"/>
      <c r="X18" s="309"/>
      <c r="Y18" s="309"/>
      <c r="Z18" s="309"/>
      <c r="AA18" s="309"/>
      <c r="AB18" s="309"/>
      <c r="AC18" s="309"/>
      <c r="AD18" s="309"/>
      <c r="AE18" s="309"/>
      <c r="AF18" s="309"/>
      <c r="AG18" s="309"/>
      <c r="AH18" s="309"/>
      <c r="AI18" s="309"/>
    </row>
    <row r="19" customFormat="false" ht="36" hidden="false" customHeight="true" outlineLevel="0" collapsed="false">
      <c r="A19" s="322" t="n">
        <v>10</v>
      </c>
      <c r="B19" s="325" t="s">
        <v>804</v>
      </c>
      <c r="C19" s="325" t="s">
        <v>31</v>
      </c>
      <c r="D19" s="326" t="n">
        <f aca="false">3375+6525+5400+1440+1125</f>
        <v>17865</v>
      </c>
      <c r="E19" s="327"/>
      <c r="F19" s="330"/>
      <c r="G19" s="324"/>
      <c r="H19" s="328"/>
      <c r="I19" s="333"/>
      <c r="J19" s="324"/>
      <c r="K19" s="328"/>
      <c r="L19" s="330"/>
      <c r="M19" s="324"/>
      <c r="N19" s="331"/>
      <c r="O19" s="331"/>
      <c r="P19" s="328"/>
      <c r="Q19" s="309"/>
      <c r="R19" s="332"/>
      <c r="S19" s="332"/>
      <c r="T19" s="332"/>
      <c r="U19" s="309"/>
      <c r="V19" s="309"/>
      <c r="W19" s="309"/>
      <c r="X19" s="309"/>
      <c r="Y19" s="309"/>
      <c r="Z19" s="309"/>
      <c r="AA19" s="309"/>
      <c r="AB19" s="309"/>
      <c r="AC19" s="309"/>
      <c r="AD19" s="309"/>
      <c r="AE19" s="309"/>
      <c r="AF19" s="309"/>
      <c r="AG19" s="309"/>
      <c r="AH19" s="309"/>
      <c r="AI19" s="309"/>
    </row>
    <row r="20" customFormat="false" ht="24.75" hidden="false" customHeight="true" outlineLevel="0" collapsed="false">
      <c r="A20" s="322" t="n">
        <v>11</v>
      </c>
      <c r="B20" s="325" t="s">
        <v>805</v>
      </c>
      <c r="C20" s="325" t="s">
        <v>31</v>
      </c>
      <c r="D20" s="326" t="n">
        <v>1450</v>
      </c>
      <c r="E20" s="327"/>
      <c r="F20" s="330"/>
      <c r="G20" s="324"/>
      <c r="H20" s="328"/>
      <c r="I20" s="333"/>
      <c r="J20" s="324"/>
      <c r="K20" s="328"/>
      <c r="L20" s="330"/>
      <c r="M20" s="324"/>
      <c r="N20" s="331"/>
      <c r="O20" s="331"/>
      <c r="P20" s="328"/>
      <c r="Q20" s="309"/>
      <c r="R20" s="332"/>
      <c r="S20" s="332"/>
      <c r="T20" s="332"/>
      <c r="U20" s="309"/>
      <c r="V20" s="309"/>
      <c r="W20" s="309"/>
      <c r="X20" s="309"/>
      <c r="Y20" s="309"/>
      <c r="Z20" s="309"/>
      <c r="AA20" s="309"/>
      <c r="AB20" s="309"/>
      <c r="AC20" s="309"/>
      <c r="AD20" s="309"/>
      <c r="AE20" s="309"/>
      <c r="AF20" s="309"/>
      <c r="AG20" s="309"/>
      <c r="AH20" s="309"/>
      <c r="AI20" s="309"/>
    </row>
    <row r="21" customFormat="false" ht="24.75" hidden="false" customHeight="true" outlineLevel="0" collapsed="false">
      <c r="A21" s="322"/>
      <c r="B21" s="325" t="s">
        <v>806</v>
      </c>
      <c r="C21" s="325" t="s">
        <v>23</v>
      </c>
      <c r="D21" s="326" t="n">
        <v>580</v>
      </c>
      <c r="E21" s="327"/>
      <c r="F21" s="330"/>
      <c r="G21" s="324"/>
      <c r="H21" s="328"/>
      <c r="I21" s="333"/>
      <c r="J21" s="324"/>
      <c r="K21" s="328"/>
      <c r="L21" s="330"/>
      <c r="M21" s="324"/>
      <c r="N21" s="331"/>
      <c r="O21" s="331"/>
      <c r="P21" s="328"/>
      <c r="Q21" s="309"/>
      <c r="R21" s="332"/>
      <c r="S21" s="332"/>
      <c r="T21" s="332"/>
      <c r="U21" s="309"/>
      <c r="V21" s="309"/>
      <c r="W21" s="309"/>
      <c r="X21" s="309"/>
      <c r="Y21" s="309"/>
      <c r="Z21" s="309"/>
      <c r="AA21" s="309"/>
      <c r="AB21" s="309"/>
      <c r="AC21" s="309"/>
      <c r="AD21" s="309"/>
      <c r="AE21" s="309"/>
      <c r="AF21" s="309"/>
      <c r="AG21" s="309"/>
      <c r="AH21" s="309"/>
      <c r="AI21" s="309"/>
    </row>
    <row r="22" customFormat="false" ht="32.25" hidden="false" customHeight="true" outlineLevel="0" collapsed="false">
      <c r="A22" s="322" t="n">
        <v>12</v>
      </c>
      <c r="B22" s="325" t="s">
        <v>807</v>
      </c>
      <c r="C22" s="325" t="s">
        <v>31</v>
      </c>
      <c r="D22" s="326" t="n">
        <f aca="false">0.2+15+29.3+24+38+24+24+15+15+52.5+540+360+48+61.5+3+6</f>
        <v>1255.5</v>
      </c>
      <c r="E22" s="327"/>
      <c r="F22" s="330"/>
      <c r="G22" s="324"/>
      <c r="H22" s="328"/>
      <c r="I22" s="333"/>
      <c r="J22" s="324"/>
      <c r="K22" s="328"/>
      <c r="L22" s="330"/>
      <c r="M22" s="324"/>
      <c r="N22" s="331"/>
      <c r="O22" s="331"/>
      <c r="P22" s="328"/>
      <c r="Q22" s="309"/>
      <c r="R22" s="332"/>
      <c r="S22" s="332"/>
      <c r="T22" s="332"/>
      <c r="U22" s="309"/>
      <c r="V22" s="309"/>
      <c r="W22" s="309"/>
      <c r="X22" s="309"/>
      <c r="Y22" s="309"/>
      <c r="Z22" s="309"/>
      <c r="AA22" s="309"/>
      <c r="AB22" s="309"/>
      <c r="AC22" s="309"/>
      <c r="AD22" s="309"/>
      <c r="AE22" s="309"/>
      <c r="AF22" s="309"/>
      <c r="AG22" s="309"/>
      <c r="AH22" s="309"/>
      <c r="AI22" s="309"/>
    </row>
    <row r="23" customFormat="false" ht="30" hidden="false" customHeight="true" outlineLevel="0" collapsed="false">
      <c r="A23" s="322" t="n">
        <v>13</v>
      </c>
      <c r="B23" s="325" t="s">
        <v>808</v>
      </c>
      <c r="C23" s="325" t="s">
        <v>31</v>
      </c>
      <c r="D23" s="326" t="n">
        <f aca="false">940+806+2</f>
        <v>1748</v>
      </c>
      <c r="E23" s="327"/>
      <c r="F23" s="330"/>
      <c r="G23" s="324"/>
      <c r="H23" s="328"/>
      <c r="I23" s="333"/>
      <c r="J23" s="324"/>
      <c r="K23" s="328"/>
      <c r="L23" s="330"/>
      <c r="M23" s="324"/>
      <c r="N23" s="331"/>
      <c r="O23" s="331"/>
      <c r="P23" s="328"/>
      <c r="Q23" s="309"/>
      <c r="R23" s="332"/>
      <c r="S23" s="332"/>
      <c r="T23" s="332"/>
      <c r="U23" s="309"/>
      <c r="V23" s="309"/>
      <c r="W23" s="309"/>
      <c r="X23" s="309"/>
      <c r="Y23" s="309"/>
      <c r="Z23" s="309"/>
      <c r="AA23" s="309"/>
      <c r="AB23" s="309"/>
      <c r="AC23" s="309"/>
      <c r="AD23" s="309"/>
      <c r="AE23" s="309"/>
      <c r="AF23" s="309"/>
      <c r="AG23" s="309"/>
      <c r="AH23" s="309"/>
      <c r="AI23" s="309"/>
    </row>
    <row r="24" customFormat="false" ht="29.25" hidden="false" customHeight="true" outlineLevel="0" collapsed="false">
      <c r="A24" s="322" t="n">
        <v>14</v>
      </c>
      <c r="B24" s="325" t="s">
        <v>809</v>
      </c>
      <c r="C24" s="325" t="s">
        <v>31</v>
      </c>
      <c r="D24" s="326" t="n">
        <f aca="false">20+81.4+50</f>
        <v>151.4</v>
      </c>
      <c r="E24" s="327"/>
      <c r="F24" s="330"/>
      <c r="G24" s="324"/>
      <c r="H24" s="328"/>
      <c r="I24" s="333"/>
      <c r="J24" s="324"/>
      <c r="K24" s="328"/>
      <c r="L24" s="330"/>
      <c r="M24" s="324"/>
      <c r="N24" s="331"/>
      <c r="O24" s="331"/>
      <c r="P24" s="328"/>
      <c r="Q24" s="309"/>
      <c r="R24" s="332"/>
      <c r="S24" s="332"/>
      <c r="T24" s="332"/>
      <c r="U24" s="309"/>
      <c r="V24" s="309"/>
      <c r="W24" s="309"/>
      <c r="X24" s="309"/>
      <c r="Y24" s="309"/>
      <c r="Z24" s="309"/>
      <c r="AA24" s="309"/>
      <c r="AB24" s="309"/>
      <c r="AC24" s="309"/>
      <c r="AD24" s="309"/>
      <c r="AE24" s="309"/>
      <c r="AF24" s="309"/>
      <c r="AG24" s="309"/>
      <c r="AH24" s="309"/>
      <c r="AI24" s="309"/>
    </row>
    <row r="25" customFormat="false" ht="33.75" hidden="false" customHeight="true" outlineLevel="0" collapsed="false">
      <c r="A25" s="322" t="n">
        <v>15</v>
      </c>
      <c r="B25" s="325" t="s">
        <v>810</v>
      </c>
      <c r="C25" s="325" t="s">
        <v>23</v>
      </c>
      <c r="D25" s="326" t="n">
        <f aca="false">130</f>
        <v>130</v>
      </c>
      <c r="E25" s="327"/>
      <c r="F25" s="330"/>
      <c r="G25" s="324"/>
      <c r="H25" s="328"/>
      <c r="I25" s="333"/>
      <c r="J25" s="324"/>
      <c r="K25" s="328"/>
      <c r="L25" s="330"/>
      <c r="M25" s="324"/>
      <c r="N25" s="331"/>
      <c r="O25" s="331"/>
      <c r="P25" s="328"/>
      <c r="Q25" s="309"/>
      <c r="R25" s="332"/>
      <c r="S25" s="332"/>
      <c r="T25" s="332"/>
      <c r="U25" s="309"/>
      <c r="V25" s="309"/>
      <c r="W25" s="309"/>
      <c r="X25" s="309"/>
      <c r="Y25" s="309"/>
      <c r="Z25" s="309"/>
      <c r="AA25" s="309"/>
      <c r="AB25" s="309"/>
      <c r="AC25" s="309"/>
      <c r="AD25" s="309"/>
      <c r="AE25" s="309"/>
      <c r="AF25" s="309"/>
      <c r="AG25" s="309"/>
      <c r="AH25" s="309"/>
      <c r="AI25" s="309"/>
    </row>
    <row r="26" customFormat="false" ht="33" hidden="false" customHeight="true" outlineLevel="0" collapsed="false">
      <c r="A26" s="322" t="n">
        <v>16</v>
      </c>
      <c r="B26" s="325" t="s">
        <v>811</v>
      </c>
      <c r="C26" s="325" t="s">
        <v>31</v>
      </c>
      <c r="D26" s="326" t="n">
        <f aca="false">9+5+9+3</f>
        <v>26</v>
      </c>
      <c r="E26" s="327"/>
      <c r="F26" s="330"/>
      <c r="G26" s="324"/>
      <c r="H26" s="328"/>
      <c r="I26" s="333"/>
      <c r="J26" s="324"/>
      <c r="K26" s="328"/>
      <c r="L26" s="330"/>
      <c r="M26" s="324"/>
      <c r="N26" s="331"/>
      <c r="O26" s="331"/>
      <c r="P26" s="328"/>
      <c r="Q26" s="309"/>
      <c r="R26" s="332"/>
      <c r="S26" s="332"/>
      <c r="T26" s="332"/>
      <c r="U26" s="309"/>
      <c r="V26" s="309"/>
      <c r="W26" s="309"/>
      <c r="X26" s="309"/>
      <c r="Y26" s="309"/>
      <c r="Z26" s="309"/>
      <c r="AA26" s="309"/>
      <c r="AB26" s="309"/>
      <c r="AC26" s="309"/>
      <c r="AD26" s="309"/>
      <c r="AE26" s="309"/>
      <c r="AF26" s="309"/>
      <c r="AG26" s="309"/>
      <c r="AH26" s="309"/>
      <c r="AI26" s="309"/>
    </row>
    <row r="27" customFormat="false" ht="31.5" hidden="false" customHeight="true" outlineLevel="0" collapsed="false">
      <c r="A27" s="322" t="n">
        <v>17</v>
      </c>
      <c r="B27" s="325" t="s">
        <v>812</v>
      </c>
      <c r="C27" s="325" t="s">
        <v>31</v>
      </c>
      <c r="D27" s="326" t="n">
        <f aca="false">40+20</f>
        <v>60</v>
      </c>
      <c r="E27" s="327"/>
      <c r="F27" s="330"/>
      <c r="G27" s="324"/>
      <c r="H27" s="328"/>
      <c r="I27" s="333"/>
      <c r="J27" s="324"/>
      <c r="K27" s="328"/>
      <c r="L27" s="330"/>
      <c r="M27" s="324"/>
      <c r="N27" s="331"/>
      <c r="O27" s="331"/>
      <c r="P27" s="328"/>
      <c r="Q27" s="309"/>
      <c r="R27" s="332"/>
      <c r="S27" s="332"/>
      <c r="T27" s="332"/>
      <c r="U27" s="309"/>
      <c r="V27" s="309"/>
      <c r="W27" s="309"/>
      <c r="X27" s="309"/>
      <c r="Y27" s="309"/>
      <c r="Z27" s="309"/>
      <c r="AA27" s="309"/>
      <c r="AB27" s="309"/>
      <c r="AC27" s="309"/>
      <c r="AD27" s="309"/>
      <c r="AE27" s="309"/>
      <c r="AF27" s="309"/>
      <c r="AG27" s="309"/>
      <c r="AH27" s="309"/>
      <c r="AI27" s="309"/>
    </row>
    <row r="28" customFormat="false" ht="25.5" hidden="false" customHeight="true" outlineLevel="0" collapsed="false">
      <c r="A28" s="322" t="n">
        <v>18</v>
      </c>
      <c r="B28" s="325" t="s">
        <v>813</v>
      </c>
      <c r="C28" s="325" t="s">
        <v>31</v>
      </c>
      <c r="D28" s="326" t="n">
        <f aca="false">96+48.5+47+40.3+165</f>
        <v>396.8</v>
      </c>
      <c r="E28" s="327"/>
      <c r="F28" s="330"/>
      <c r="G28" s="324"/>
      <c r="H28" s="328"/>
      <c r="I28" s="333"/>
      <c r="J28" s="324"/>
      <c r="K28" s="328"/>
      <c r="L28" s="330"/>
      <c r="M28" s="324"/>
      <c r="N28" s="331"/>
      <c r="O28" s="331"/>
      <c r="P28" s="328"/>
      <c r="Q28" s="309"/>
      <c r="R28" s="332"/>
      <c r="S28" s="332"/>
      <c r="T28" s="332"/>
      <c r="U28" s="309"/>
      <c r="V28" s="309"/>
      <c r="W28" s="309"/>
      <c r="X28" s="309"/>
      <c r="Y28" s="309"/>
      <c r="Z28" s="309"/>
      <c r="AA28" s="309"/>
      <c r="AB28" s="309"/>
      <c r="AC28" s="309"/>
      <c r="AD28" s="309"/>
      <c r="AE28" s="309"/>
      <c r="AF28" s="309"/>
      <c r="AG28" s="309"/>
      <c r="AH28" s="309"/>
      <c r="AI28" s="309"/>
    </row>
    <row r="29" customFormat="false" ht="34.5" hidden="false" customHeight="true" outlineLevel="0" collapsed="false">
      <c r="A29" s="322" t="n">
        <v>19</v>
      </c>
      <c r="B29" s="325" t="s">
        <v>814</v>
      </c>
      <c r="C29" s="325" t="s">
        <v>23</v>
      </c>
      <c r="D29" s="326" t="n">
        <f aca="false">30+108+96+175+22.5+30+175+9+1.2+41.6+56.2+0.4+0.4+23.5+4.6+1+32.6+66.8+29.6+10.9+0.6+16.4+39+5.2+1+28+12.4</f>
        <v>1016.9</v>
      </c>
      <c r="E29" s="327"/>
      <c r="F29" s="330"/>
      <c r="G29" s="324"/>
      <c r="H29" s="328"/>
      <c r="I29" s="333"/>
      <c r="J29" s="324"/>
      <c r="K29" s="328"/>
      <c r="L29" s="330"/>
      <c r="M29" s="324"/>
      <c r="N29" s="331"/>
      <c r="O29" s="331"/>
      <c r="P29" s="328"/>
      <c r="Q29" s="309"/>
      <c r="R29" s="332"/>
      <c r="S29" s="332"/>
      <c r="T29" s="332"/>
      <c r="U29" s="309"/>
      <c r="V29" s="309"/>
      <c r="W29" s="309"/>
      <c r="X29" s="309"/>
      <c r="Y29" s="309"/>
      <c r="Z29" s="309"/>
      <c r="AA29" s="309"/>
      <c r="AB29" s="309"/>
      <c r="AC29" s="309"/>
      <c r="AD29" s="309"/>
      <c r="AE29" s="309"/>
      <c r="AF29" s="309"/>
      <c r="AG29" s="309"/>
      <c r="AH29" s="309"/>
      <c r="AI29" s="309"/>
    </row>
    <row r="30" customFormat="false" ht="45" hidden="false" customHeight="true" outlineLevel="0" collapsed="false">
      <c r="A30" s="322" t="n">
        <v>20</v>
      </c>
      <c r="B30" s="325" t="s">
        <v>815</v>
      </c>
      <c r="C30" s="325" t="s">
        <v>31</v>
      </c>
      <c r="D30" s="326" t="n">
        <f aca="false">5.6+50+14.4</f>
        <v>70</v>
      </c>
      <c r="E30" s="327"/>
      <c r="F30" s="330"/>
      <c r="G30" s="324"/>
      <c r="H30" s="328"/>
      <c r="I30" s="333"/>
      <c r="J30" s="324"/>
      <c r="K30" s="328"/>
      <c r="L30" s="330"/>
      <c r="M30" s="324"/>
      <c r="N30" s="331"/>
      <c r="O30" s="331"/>
      <c r="P30" s="328"/>
      <c r="Q30" s="309"/>
      <c r="R30" s="332"/>
      <c r="S30" s="332"/>
      <c r="T30" s="332"/>
      <c r="U30" s="309"/>
      <c r="V30" s="309"/>
      <c r="W30" s="309"/>
      <c r="X30" s="309"/>
      <c r="Y30" s="309"/>
      <c r="Z30" s="309"/>
      <c r="AA30" s="309"/>
      <c r="AB30" s="309"/>
      <c r="AC30" s="309"/>
      <c r="AD30" s="309"/>
      <c r="AE30" s="309"/>
      <c r="AF30" s="309"/>
      <c r="AG30" s="309"/>
      <c r="AH30" s="309"/>
      <c r="AI30" s="309"/>
    </row>
    <row r="31" customFormat="false" ht="34.5" hidden="false" customHeight="true" outlineLevel="0" collapsed="false">
      <c r="A31" s="322" t="n">
        <v>21</v>
      </c>
      <c r="B31" s="325" t="s">
        <v>816</v>
      </c>
      <c r="C31" s="325" t="s">
        <v>31</v>
      </c>
      <c r="D31" s="326" t="n">
        <f aca="false">28+124</f>
        <v>152</v>
      </c>
      <c r="E31" s="327"/>
      <c r="F31" s="330"/>
      <c r="G31" s="324"/>
      <c r="H31" s="328"/>
      <c r="I31" s="333"/>
      <c r="J31" s="324"/>
      <c r="K31" s="328"/>
      <c r="L31" s="330"/>
      <c r="M31" s="324"/>
      <c r="N31" s="331"/>
      <c r="O31" s="331"/>
      <c r="P31" s="328"/>
      <c r="Q31" s="309"/>
      <c r="R31" s="332"/>
      <c r="S31" s="332"/>
      <c r="T31" s="332"/>
      <c r="U31" s="309"/>
      <c r="V31" s="309"/>
      <c r="W31" s="309"/>
      <c r="X31" s="309"/>
      <c r="Y31" s="309"/>
      <c r="Z31" s="309"/>
      <c r="AA31" s="309"/>
      <c r="AB31" s="309"/>
      <c r="AC31" s="309"/>
      <c r="AD31" s="309"/>
      <c r="AE31" s="309"/>
      <c r="AF31" s="309"/>
      <c r="AG31" s="309"/>
      <c r="AH31" s="309"/>
      <c r="AI31" s="309"/>
    </row>
    <row r="32" customFormat="false" ht="32.25" hidden="false" customHeight="true" outlineLevel="0" collapsed="false">
      <c r="A32" s="322" t="n">
        <v>22</v>
      </c>
      <c r="B32" s="325" t="s">
        <v>817</v>
      </c>
      <c r="C32" s="325" t="s">
        <v>31</v>
      </c>
      <c r="D32" s="326" t="n">
        <f aca="false">75.5+3</f>
        <v>78.5</v>
      </c>
      <c r="E32" s="327"/>
      <c r="F32" s="330"/>
      <c r="G32" s="324"/>
      <c r="H32" s="328"/>
      <c r="I32" s="333"/>
      <c r="J32" s="324"/>
      <c r="K32" s="328"/>
      <c r="L32" s="330"/>
      <c r="M32" s="324"/>
      <c r="N32" s="331"/>
      <c r="O32" s="331"/>
      <c r="P32" s="328"/>
      <c r="Q32" s="309"/>
      <c r="R32" s="332"/>
      <c r="S32" s="332"/>
      <c r="T32" s="332"/>
      <c r="U32" s="309"/>
      <c r="V32" s="309"/>
      <c r="W32" s="309"/>
      <c r="X32" s="309"/>
      <c r="Y32" s="309"/>
      <c r="Z32" s="309"/>
      <c r="AA32" s="309"/>
      <c r="AB32" s="309"/>
      <c r="AC32" s="309"/>
      <c r="AD32" s="309"/>
      <c r="AE32" s="309"/>
      <c r="AF32" s="309"/>
      <c r="AG32" s="309"/>
      <c r="AH32" s="309"/>
      <c r="AI32" s="309"/>
    </row>
    <row r="33" customFormat="false" ht="32.25" hidden="false" customHeight="true" outlineLevel="0" collapsed="false">
      <c r="A33" s="322" t="n">
        <v>23</v>
      </c>
      <c r="B33" s="325" t="s">
        <v>818</v>
      </c>
      <c r="C33" s="325" t="s">
        <v>31</v>
      </c>
      <c r="D33" s="326" t="n">
        <f aca="false">220</f>
        <v>220</v>
      </c>
      <c r="E33" s="327"/>
      <c r="F33" s="330"/>
      <c r="G33" s="324"/>
      <c r="H33" s="328"/>
      <c r="I33" s="333"/>
      <c r="J33" s="324"/>
      <c r="K33" s="328"/>
      <c r="L33" s="330"/>
      <c r="M33" s="324"/>
      <c r="N33" s="331"/>
      <c r="O33" s="331"/>
      <c r="P33" s="328"/>
      <c r="Q33" s="309"/>
      <c r="R33" s="332"/>
      <c r="S33" s="332"/>
      <c r="T33" s="332"/>
      <c r="U33" s="309"/>
      <c r="V33" s="309"/>
      <c r="W33" s="309"/>
      <c r="X33" s="309"/>
      <c r="Y33" s="309"/>
      <c r="Z33" s="309"/>
      <c r="AA33" s="309"/>
      <c r="AB33" s="309"/>
      <c r="AC33" s="309"/>
      <c r="AD33" s="309"/>
      <c r="AE33" s="309"/>
      <c r="AF33" s="309"/>
      <c r="AG33" s="309"/>
      <c r="AH33" s="309"/>
      <c r="AI33" s="309"/>
    </row>
    <row r="34" customFormat="false" ht="24" hidden="false" customHeight="true" outlineLevel="0" collapsed="false">
      <c r="A34" s="322" t="n">
        <v>24</v>
      </c>
      <c r="B34" s="325" t="s">
        <v>810</v>
      </c>
      <c r="C34" s="325" t="s">
        <v>23</v>
      </c>
      <c r="D34" s="326" t="n">
        <f aca="false">44.6</f>
        <v>44.6</v>
      </c>
      <c r="E34" s="327"/>
      <c r="F34" s="330"/>
      <c r="G34" s="324"/>
      <c r="H34" s="328"/>
      <c r="I34" s="333"/>
      <c r="J34" s="324"/>
      <c r="K34" s="328"/>
      <c r="L34" s="330"/>
      <c r="M34" s="324"/>
      <c r="N34" s="331"/>
      <c r="O34" s="331"/>
      <c r="P34" s="328"/>
      <c r="Q34" s="309"/>
      <c r="R34" s="332"/>
      <c r="S34" s="332"/>
      <c r="T34" s="332"/>
      <c r="U34" s="309"/>
      <c r="V34" s="309"/>
      <c r="W34" s="309"/>
      <c r="X34" s="309"/>
      <c r="Y34" s="309"/>
      <c r="Z34" s="309"/>
      <c r="AA34" s="309"/>
      <c r="AB34" s="309"/>
      <c r="AC34" s="309"/>
      <c r="AD34" s="309"/>
      <c r="AE34" s="309"/>
      <c r="AF34" s="309"/>
      <c r="AG34" s="309"/>
      <c r="AH34" s="309"/>
      <c r="AI34" s="309"/>
    </row>
    <row r="35" customFormat="false" ht="34.5" hidden="false" customHeight="true" outlineLevel="0" collapsed="false">
      <c r="A35" s="322" t="n">
        <v>25</v>
      </c>
      <c r="B35" s="325" t="s">
        <v>819</v>
      </c>
      <c r="C35" s="325" t="s">
        <v>31</v>
      </c>
      <c r="D35" s="326" t="n">
        <f aca="false">110</f>
        <v>110</v>
      </c>
      <c r="E35" s="327"/>
      <c r="F35" s="330"/>
      <c r="G35" s="324"/>
      <c r="H35" s="328"/>
      <c r="I35" s="333"/>
      <c r="J35" s="324"/>
      <c r="K35" s="328"/>
      <c r="L35" s="330"/>
      <c r="M35" s="324"/>
      <c r="N35" s="331"/>
      <c r="O35" s="331"/>
      <c r="P35" s="328"/>
      <c r="Q35" s="309"/>
      <c r="R35" s="332"/>
      <c r="S35" s="332"/>
      <c r="T35" s="332"/>
      <c r="U35" s="309"/>
      <c r="V35" s="309"/>
      <c r="W35" s="309"/>
      <c r="X35" s="309"/>
      <c r="Y35" s="309"/>
      <c r="Z35" s="309"/>
      <c r="AA35" s="309"/>
      <c r="AB35" s="309"/>
      <c r="AC35" s="309"/>
      <c r="AD35" s="309"/>
      <c r="AE35" s="309"/>
      <c r="AF35" s="309"/>
      <c r="AG35" s="309"/>
      <c r="AH35" s="309"/>
      <c r="AI35" s="309"/>
    </row>
    <row r="36" customFormat="false" ht="36.75" hidden="false" customHeight="true" outlineLevel="0" collapsed="false">
      <c r="A36" s="322" t="n">
        <v>26</v>
      </c>
      <c r="B36" s="325" t="s">
        <v>820</v>
      </c>
      <c r="C36" s="325" t="s">
        <v>31</v>
      </c>
      <c r="D36" s="326" t="n">
        <f aca="false">14+40+27</f>
        <v>81</v>
      </c>
      <c r="E36" s="327"/>
      <c r="F36" s="330"/>
      <c r="G36" s="324"/>
      <c r="H36" s="334"/>
      <c r="I36" s="333"/>
      <c r="J36" s="324"/>
      <c r="K36" s="328"/>
      <c r="L36" s="335"/>
      <c r="M36" s="324"/>
      <c r="N36" s="331"/>
      <c r="O36" s="331"/>
      <c r="P36" s="328"/>
      <c r="Q36" s="309"/>
      <c r="R36" s="332"/>
      <c r="S36" s="332"/>
      <c r="T36" s="332"/>
      <c r="U36" s="309"/>
      <c r="V36" s="309"/>
      <c r="W36" s="309"/>
      <c r="X36" s="309"/>
      <c r="Y36" s="309"/>
      <c r="Z36" s="309"/>
      <c r="AA36" s="309"/>
      <c r="AB36" s="309"/>
      <c r="AC36" s="309"/>
      <c r="AD36" s="309"/>
      <c r="AE36" s="309"/>
      <c r="AF36" s="309"/>
      <c r="AG36" s="309"/>
      <c r="AH36" s="309"/>
      <c r="AI36" s="309"/>
    </row>
    <row r="37" customFormat="false" ht="36.75" hidden="false" customHeight="true" outlineLevel="0" collapsed="false">
      <c r="A37" s="322" t="n">
        <v>27</v>
      </c>
      <c r="B37" s="325" t="s">
        <v>821</v>
      </c>
      <c r="C37" s="325" t="s">
        <v>31</v>
      </c>
      <c r="D37" s="326" t="n">
        <f aca="false">169</f>
        <v>169</v>
      </c>
      <c r="E37" s="327"/>
      <c r="F37" s="330"/>
      <c r="G37" s="324"/>
      <c r="H37" s="334"/>
      <c r="I37" s="333"/>
      <c r="J37" s="324"/>
      <c r="K37" s="328"/>
      <c r="L37" s="335"/>
      <c r="M37" s="324"/>
      <c r="N37" s="331"/>
      <c r="O37" s="331"/>
      <c r="P37" s="328"/>
      <c r="Q37" s="309"/>
      <c r="R37" s="332"/>
      <c r="S37" s="332"/>
      <c r="T37" s="332"/>
      <c r="U37" s="309"/>
      <c r="V37" s="309"/>
      <c r="W37" s="309"/>
      <c r="X37" s="309"/>
      <c r="Y37" s="309"/>
      <c r="Z37" s="309"/>
      <c r="AA37" s="309"/>
      <c r="AB37" s="309"/>
      <c r="AC37" s="309"/>
      <c r="AD37" s="309"/>
      <c r="AE37" s="309"/>
      <c r="AF37" s="309"/>
      <c r="AG37" s="309"/>
      <c r="AH37" s="309"/>
      <c r="AI37" s="309"/>
    </row>
    <row r="38" customFormat="false" ht="36.75" hidden="false" customHeight="true" outlineLevel="0" collapsed="false">
      <c r="A38" s="322" t="n">
        <v>28</v>
      </c>
      <c r="B38" s="336" t="s">
        <v>820</v>
      </c>
      <c r="C38" s="325" t="s">
        <v>31</v>
      </c>
      <c r="D38" s="326" t="n">
        <f aca="false">39+29</f>
        <v>68</v>
      </c>
      <c r="E38" s="327"/>
      <c r="F38" s="330"/>
      <c r="G38" s="324"/>
      <c r="H38" s="334"/>
      <c r="I38" s="333"/>
      <c r="J38" s="324"/>
      <c r="K38" s="328"/>
      <c r="L38" s="335"/>
      <c r="M38" s="324"/>
      <c r="N38" s="331"/>
      <c r="O38" s="331"/>
      <c r="P38" s="328"/>
      <c r="Q38" s="309"/>
      <c r="R38" s="332"/>
      <c r="S38" s="332"/>
      <c r="T38" s="332"/>
      <c r="U38" s="309"/>
      <c r="V38" s="309"/>
      <c r="W38" s="309"/>
      <c r="X38" s="309"/>
      <c r="Y38" s="309"/>
      <c r="Z38" s="309"/>
      <c r="AA38" s="309"/>
      <c r="AB38" s="309"/>
      <c r="AC38" s="309"/>
      <c r="AD38" s="309"/>
      <c r="AE38" s="309"/>
      <c r="AF38" s="309"/>
      <c r="AG38" s="309"/>
      <c r="AH38" s="309"/>
      <c r="AI38" s="309"/>
    </row>
    <row r="39" customFormat="false" ht="36.75" hidden="false" customHeight="true" outlineLevel="0" collapsed="false">
      <c r="A39" s="322" t="n">
        <v>29</v>
      </c>
      <c r="B39" s="336" t="s">
        <v>822</v>
      </c>
      <c r="C39" s="325" t="s">
        <v>31</v>
      </c>
      <c r="D39" s="326" t="n">
        <f aca="false">20+29.1</f>
        <v>49.1</v>
      </c>
      <c r="E39" s="327"/>
      <c r="F39" s="330"/>
      <c r="G39" s="324"/>
      <c r="H39" s="328"/>
      <c r="I39" s="333"/>
      <c r="J39" s="324"/>
      <c r="K39" s="328"/>
      <c r="L39" s="335"/>
      <c r="M39" s="324"/>
      <c r="N39" s="331"/>
      <c r="O39" s="331"/>
      <c r="P39" s="328"/>
      <c r="Q39" s="309"/>
      <c r="R39" s="332"/>
      <c r="S39" s="332"/>
      <c r="T39" s="332"/>
      <c r="U39" s="309"/>
      <c r="V39" s="309"/>
      <c r="W39" s="309"/>
      <c r="X39" s="309"/>
      <c r="Y39" s="309"/>
      <c r="Z39" s="309"/>
      <c r="AA39" s="309"/>
      <c r="AB39" s="309"/>
      <c r="AC39" s="309"/>
      <c r="AD39" s="309"/>
      <c r="AE39" s="309"/>
      <c r="AF39" s="309"/>
      <c r="AG39" s="309"/>
      <c r="AH39" s="309"/>
      <c r="AI39" s="309"/>
    </row>
    <row r="40" customFormat="false" ht="34.5" hidden="false" customHeight="true" outlineLevel="0" collapsed="false">
      <c r="A40" s="322" t="n">
        <v>30</v>
      </c>
      <c r="B40" s="336" t="s">
        <v>823</v>
      </c>
      <c r="C40" s="325" t="s">
        <v>31</v>
      </c>
      <c r="D40" s="326" t="n">
        <f aca="false">160</f>
        <v>160</v>
      </c>
      <c r="E40" s="327"/>
      <c r="F40" s="330"/>
      <c r="G40" s="324"/>
      <c r="H40" s="328"/>
      <c r="I40" s="333"/>
      <c r="J40" s="324"/>
      <c r="K40" s="328"/>
      <c r="L40" s="335"/>
      <c r="M40" s="324"/>
      <c r="N40" s="331"/>
      <c r="O40" s="331"/>
      <c r="P40" s="328"/>
      <c r="Q40" s="309"/>
      <c r="R40" s="332"/>
      <c r="S40" s="332"/>
      <c r="T40" s="332"/>
      <c r="U40" s="309"/>
      <c r="V40" s="309"/>
      <c r="W40" s="309"/>
      <c r="X40" s="309"/>
      <c r="Y40" s="309"/>
      <c r="Z40" s="309"/>
      <c r="AA40" s="309"/>
      <c r="AB40" s="309"/>
      <c r="AC40" s="309"/>
      <c r="AD40" s="309"/>
      <c r="AE40" s="309"/>
      <c r="AF40" s="309"/>
      <c r="AG40" s="309"/>
      <c r="AH40" s="309"/>
      <c r="AI40" s="309"/>
    </row>
    <row r="41" customFormat="false" ht="28.5" hidden="false" customHeight="true" outlineLevel="0" collapsed="false">
      <c r="A41" s="322" t="n">
        <v>31</v>
      </c>
      <c r="B41" s="325" t="s">
        <v>824</v>
      </c>
      <c r="C41" s="325" t="s">
        <v>31</v>
      </c>
      <c r="D41" s="326" t="n">
        <f aca="false">105+28.5</f>
        <v>133.5</v>
      </c>
      <c r="E41" s="327"/>
      <c r="F41" s="330"/>
      <c r="G41" s="324"/>
      <c r="H41" s="328"/>
      <c r="I41" s="333"/>
      <c r="J41" s="324"/>
      <c r="K41" s="328"/>
      <c r="L41" s="335"/>
      <c r="M41" s="324"/>
      <c r="N41" s="331"/>
      <c r="O41" s="331"/>
      <c r="P41" s="328"/>
      <c r="Q41" s="309"/>
      <c r="R41" s="332"/>
      <c r="S41" s="332"/>
      <c r="T41" s="332"/>
      <c r="U41" s="309"/>
      <c r="V41" s="309"/>
      <c r="W41" s="309"/>
      <c r="X41" s="309"/>
      <c r="Y41" s="309"/>
      <c r="Z41" s="309"/>
      <c r="AA41" s="309"/>
      <c r="AB41" s="309"/>
      <c r="AC41" s="309"/>
      <c r="AD41" s="309"/>
      <c r="AE41" s="309"/>
      <c r="AF41" s="309"/>
      <c r="AG41" s="309"/>
      <c r="AH41" s="309"/>
      <c r="AI41" s="309"/>
    </row>
    <row r="42" customFormat="false" ht="28.5" hidden="false" customHeight="true" outlineLevel="0" collapsed="false">
      <c r="A42" s="322" t="n">
        <v>32</v>
      </c>
      <c r="B42" s="325" t="s">
        <v>825</v>
      </c>
      <c r="C42" s="325" t="s">
        <v>31</v>
      </c>
      <c r="D42" s="326" t="n">
        <f aca="false">60</f>
        <v>60</v>
      </c>
      <c r="E42" s="327"/>
      <c r="F42" s="330"/>
      <c r="G42" s="324"/>
      <c r="H42" s="328"/>
      <c r="I42" s="333"/>
      <c r="J42" s="324"/>
      <c r="K42" s="328"/>
      <c r="L42" s="335"/>
      <c r="M42" s="324"/>
      <c r="N42" s="331"/>
      <c r="O42" s="331"/>
      <c r="P42" s="328"/>
      <c r="Q42" s="309"/>
      <c r="R42" s="332"/>
      <c r="S42" s="332"/>
      <c r="T42" s="332"/>
      <c r="U42" s="309"/>
      <c r="V42" s="309"/>
      <c r="W42" s="309"/>
      <c r="X42" s="309"/>
      <c r="Y42" s="309"/>
      <c r="Z42" s="309"/>
      <c r="AA42" s="309"/>
      <c r="AB42" s="309"/>
      <c r="AC42" s="309"/>
      <c r="AD42" s="309"/>
      <c r="AE42" s="309"/>
      <c r="AF42" s="309"/>
      <c r="AG42" s="309"/>
      <c r="AH42" s="309"/>
      <c r="AI42" s="309"/>
    </row>
    <row r="43" customFormat="false" ht="36" hidden="false" customHeight="true" outlineLevel="0" collapsed="false">
      <c r="A43" s="322" t="n">
        <v>33</v>
      </c>
      <c r="B43" s="325" t="s">
        <v>819</v>
      </c>
      <c r="C43" s="325" t="s">
        <v>31</v>
      </c>
      <c r="D43" s="326" t="n">
        <f aca="false">100+23+39+106+12+29+83.3+112.4+41.8+18.4+2+66.8+135.6+44+21.8+2.4+26+100.6+94.4+38+24.8</f>
        <v>1121.3</v>
      </c>
      <c r="E43" s="327"/>
      <c r="F43" s="330"/>
      <c r="G43" s="324"/>
      <c r="H43" s="328"/>
      <c r="I43" s="333"/>
      <c r="J43" s="324"/>
      <c r="K43" s="328"/>
      <c r="L43" s="335"/>
      <c r="M43" s="324"/>
      <c r="N43" s="331"/>
      <c r="O43" s="331"/>
      <c r="P43" s="328"/>
      <c r="Q43" s="309"/>
      <c r="R43" s="332"/>
      <c r="S43" s="332"/>
      <c r="T43" s="332"/>
      <c r="U43" s="309"/>
      <c r="V43" s="309"/>
      <c r="W43" s="309"/>
      <c r="X43" s="309"/>
      <c r="Y43" s="309"/>
      <c r="Z43" s="309"/>
      <c r="AA43" s="309"/>
      <c r="AB43" s="309"/>
      <c r="AC43" s="309"/>
      <c r="AD43" s="309"/>
      <c r="AE43" s="309"/>
      <c r="AF43" s="309"/>
      <c r="AG43" s="309"/>
      <c r="AH43" s="309"/>
      <c r="AI43" s="309"/>
    </row>
    <row r="44" customFormat="false" ht="43.5" hidden="false" customHeight="true" outlineLevel="0" collapsed="false">
      <c r="A44" s="322" t="n">
        <v>34</v>
      </c>
      <c r="B44" s="325" t="s">
        <v>826</v>
      </c>
      <c r="C44" s="325" t="s">
        <v>31</v>
      </c>
      <c r="D44" s="326" t="n">
        <f aca="false">461</f>
        <v>461</v>
      </c>
      <c r="E44" s="327"/>
      <c r="F44" s="330"/>
      <c r="G44" s="324"/>
      <c r="H44" s="328"/>
      <c r="I44" s="333"/>
      <c r="J44" s="324"/>
      <c r="K44" s="328"/>
      <c r="L44" s="335"/>
      <c r="M44" s="324"/>
      <c r="N44" s="331"/>
      <c r="O44" s="331"/>
      <c r="P44" s="328"/>
      <c r="Q44" s="309"/>
      <c r="R44" s="332"/>
      <c r="S44" s="332"/>
      <c r="T44" s="332"/>
      <c r="U44" s="309"/>
      <c r="V44" s="309"/>
      <c r="W44" s="309"/>
      <c r="X44" s="309"/>
      <c r="Y44" s="309"/>
      <c r="Z44" s="309"/>
      <c r="AA44" s="309"/>
      <c r="AB44" s="309"/>
      <c r="AC44" s="309"/>
      <c r="AD44" s="309"/>
      <c r="AE44" s="309"/>
      <c r="AF44" s="309"/>
      <c r="AG44" s="309"/>
      <c r="AH44" s="309"/>
      <c r="AI44" s="309"/>
    </row>
    <row r="45" customFormat="false" ht="28.5" hidden="false" customHeight="true" outlineLevel="0" collapsed="false">
      <c r="A45" s="322" t="n">
        <v>35</v>
      </c>
      <c r="B45" s="325" t="s">
        <v>827</v>
      </c>
      <c r="C45" s="325" t="s">
        <v>31</v>
      </c>
      <c r="D45" s="326" t="n">
        <f aca="false">5+5+8+50+20+20+20+20+3+50+40+100+20</f>
        <v>361</v>
      </c>
      <c r="E45" s="327"/>
      <c r="F45" s="330"/>
      <c r="G45" s="324"/>
      <c r="H45" s="328"/>
      <c r="I45" s="333"/>
      <c r="J45" s="324"/>
      <c r="K45" s="328"/>
      <c r="L45" s="335"/>
      <c r="M45" s="324"/>
      <c r="N45" s="331"/>
      <c r="O45" s="331"/>
      <c r="P45" s="328"/>
      <c r="Q45" s="309"/>
      <c r="R45" s="332"/>
      <c r="S45" s="332"/>
      <c r="T45" s="332"/>
      <c r="U45" s="309"/>
      <c r="V45" s="309"/>
      <c r="W45" s="309"/>
      <c r="X45" s="309"/>
      <c r="Y45" s="309"/>
      <c r="Z45" s="309"/>
      <c r="AA45" s="309"/>
      <c r="AB45" s="309"/>
      <c r="AC45" s="309"/>
      <c r="AD45" s="309"/>
      <c r="AE45" s="309"/>
      <c r="AF45" s="309"/>
      <c r="AG45" s="309"/>
      <c r="AH45" s="309"/>
      <c r="AI45" s="309"/>
    </row>
    <row r="46" customFormat="false" ht="28.5" hidden="false" customHeight="true" outlineLevel="0" collapsed="false">
      <c r="A46" s="322" t="n">
        <v>36</v>
      </c>
      <c r="B46" s="325" t="s">
        <v>828</v>
      </c>
      <c r="C46" s="325" t="s">
        <v>31</v>
      </c>
      <c r="D46" s="326" t="n">
        <f aca="false">46+5</f>
        <v>51</v>
      </c>
      <c r="E46" s="327"/>
      <c r="F46" s="330"/>
      <c r="G46" s="324"/>
      <c r="H46" s="328"/>
      <c r="I46" s="333"/>
      <c r="J46" s="324"/>
      <c r="K46" s="328"/>
      <c r="L46" s="335"/>
      <c r="M46" s="324"/>
      <c r="N46" s="331"/>
      <c r="O46" s="331"/>
      <c r="P46" s="328"/>
      <c r="Q46" s="309"/>
      <c r="R46" s="332"/>
      <c r="S46" s="332"/>
      <c r="T46" s="332"/>
      <c r="U46" s="309"/>
      <c r="V46" s="309"/>
      <c r="W46" s="309"/>
      <c r="X46" s="309"/>
      <c r="Y46" s="309"/>
      <c r="Z46" s="309"/>
      <c r="AA46" s="309"/>
      <c r="AB46" s="309"/>
      <c r="AC46" s="309"/>
      <c r="AD46" s="309"/>
      <c r="AE46" s="309"/>
      <c r="AF46" s="309"/>
      <c r="AG46" s="309"/>
      <c r="AH46" s="309"/>
      <c r="AI46" s="309"/>
    </row>
    <row r="47" customFormat="false" ht="28.5" hidden="false" customHeight="true" outlineLevel="0" collapsed="false">
      <c r="A47" s="322" t="n">
        <v>37</v>
      </c>
      <c r="B47" s="325" t="s">
        <v>829</v>
      </c>
      <c r="C47" s="325" t="s">
        <v>31</v>
      </c>
      <c r="D47" s="326" t="n">
        <f aca="false">44.6</f>
        <v>44.6</v>
      </c>
      <c r="E47" s="327"/>
      <c r="F47" s="330"/>
      <c r="G47" s="324"/>
      <c r="H47" s="328"/>
      <c r="I47" s="333"/>
      <c r="J47" s="324"/>
      <c r="K47" s="328"/>
      <c r="L47" s="335"/>
      <c r="M47" s="324"/>
      <c r="N47" s="331"/>
      <c r="O47" s="331"/>
      <c r="P47" s="328"/>
      <c r="Q47" s="309"/>
      <c r="R47" s="332"/>
      <c r="S47" s="332"/>
      <c r="T47" s="332"/>
      <c r="U47" s="309"/>
      <c r="V47" s="309"/>
      <c r="W47" s="309"/>
      <c r="X47" s="309"/>
      <c r="Y47" s="309"/>
      <c r="Z47" s="309"/>
      <c r="AA47" s="309"/>
      <c r="AB47" s="309"/>
      <c r="AC47" s="309"/>
      <c r="AD47" s="309"/>
      <c r="AE47" s="309"/>
      <c r="AF47" s="309"/>
      <c r="AG47" s="309"/>
      <c r="AH47" s="309"/>
      <c r="AI47" s="309"/>
    </row>
    <row r="48" customFormat="false" ht="38.25" hidden="false" customHeight="true" outlineLevel="0" collapsed="false">
      <c r="A48" s="322" t="n">
        <v>38</v>
      </c>
      <c r="B48" s="325" t="s">
        <v>830</v>
      </c>
      <c r="C48" s="325" t="s">
        <v>56</v>
      </c>
      <c r="D48" s="326" t="n">
        <f aca="false">40+300+80+80+80+80+200+250</f>
        <v>1110</v>
      </c>
      <c r="E48" s="337"/>
      <c r="F48" s="330"/>
      <c r="G48" s="324"/>
      <c r="H48" s="337"/>
      <c r="I48" s="333"/>
      <c r="J48" s="324"/>
      <c r="K48" s="338"/>
      <c r="L48" s="335"/>
      <c r="M48" s="324"/>
      <c r="N48" s="331"/>
      <c r="O48" s="331"/>
      <c r="P48" s="328"/>
      <c r="Q48" s="309"/>
      <c r="R48" s="332"/>
      <c r="S48" s="332"/>
      <c r="T48" s="332"/>
      <c r="U48" s="309"/>
      <c r="V48" s="309"/>
      <c r="W48" s="309"/>
      <c r="X48" s="309"/>
      <c r="Y48" s="309"/>
      <c r="Z48" s="309"/>
      <c r="AA48" s="309"/>
      <c r="AB48" s="309"/>
      <c r="AC48" s="309"/>
      <c r="AD48" s="309"/>
      <c r="AE48" s="309"/>
      <c r="AF48" s="309"/>
      <c r="AG48" s="309"/>
      <c r="AH48" s="309"/>
      <c r="AI48" s="309"/>
    </row>
    <row r="49" customFormat="false" ht="28.5" hidden="false" customHeight="true" outlineLevel="0" collapsed="false">
      <c r="A49" s="322" t="n">
        <v>39</v>
      </c>
      <c r="B49" s="325" t="s">
        <v>831</v>
      </c>
      <c r="C49" s="325" t="s">
        <v>56</v>
      </c>
      <c r="D49" s="326" t="n">
        <f aca="false">100</f>
        <v>100</v>
      </c>
      <c r="E49" s="337"/>
      <c r="F49" s="330"/>
      <c r="G49" s="324"/>
      <c r="H49" s="337"/>
      <c r="I49" s="333"/>
      <c r="J49" s="324"/>
      <c r="K49" s="338"/>
      <c r="L49" s="335"/>
      <c r="M49" s="324"/>
      <c r="N49" s="331"/>
      <c r="O49" s="331"/>
      <c r="P49" s="328"/>
      <c r="Q49" s="309"/>
      <c r="R49" s="332"/>
      <c r="S49" s="332"/>
      <c r="T49" s="332"/>
      <c r="U49" s="309"/>
      <c r="V49" s="309"/>
      <c r="W49" s="309"/>
      <c r="X49" s="309"/>
      <c r="Y49" s="309"/>
      <c r="Z49" s="309"/>
      <c r="AA49" s="309"/>
      <c r="AB49" s="309"/>
      <c r="AC49" s="309"/>
      <c r="AD49" s="309"/>
      <c r="AE49" s="309"/>
      <c r="AF49" s="309"/>
      <c r="AG49" s="309"/>
      <c r="AH49" s="309"/>
      <c r="AI49" s="309"/>
    </row>
    <row r="50" customFormat="false" ht="36.75" hidden="false" customHeight="true" outlineLevel="0" collapsed="false">
      <c r="A50" s="322" t="n">
        <v>40</v>
      </c>
      <c r="B50" s="325" t="s">
        <v>655</v>
      </c>
      <c r="C50" s="325" t="s">
        <v>56</v>
      </c>
      <c r="D50" s="326" t="n">
        <f aca="false">1</f>
        <v>1</v>
      </c>
      <c r="E50" s="337"/>
      <c r="F50" s="330"/>
      <c r="G50" s="324"/>
      <c r="H50" s="328"/>
      <c r="I50" s="333"/>
      <c r="J50" s="324"/>
      <c r="K50" s="338"/>
      <c r="L50" s="335"/>
      <c r="M50" s="324"/>
      <c r="N50" s="331"/>
      <c r="O50" s="331"/>
      <c r="P50" s="328"/>
      <c r="Q50" s="309"/>
      <c r="R50" s="332"/>
      <c r="S50" s="332"/>
      <c r="T50" s="332"/>
      <c r="U50" s="309"/>
      <c r="V50" s="309"/>
      <c r="W50" s="309"/>
      <c r="X50" s="309"/>
      <c r="Y50" s="309"/>
      <c r="Z50" s="309"/>
      <c r="AA50" s="309"/>
      <c r="AB50" s="309"/>
      <c r="AC50" s="309"/>
      <c r="AD50" s="309"/>
      <c r="AE50" s="309"/>
      <c r="AF50" s="309"/>
      <c r="AG50" s="309"/>
      <c r="AH50" s="309"/>
      <c r="AI50" s="309"/>
    </row>
    <row r="51" customFormat="false" ht="28.5" hidden="false" customHeight="true" outlineLevel="0" collapsed="false">
      <c r="A51" s="322" t="n">
        <v>41</v>
      </c>
      <c r="B51" s="325" t="s">
        <v>832</v>
      </c>
      <c r="C51" s="325" t="s">
        <v>56</v>
      </c>
      <c r="D51" s="326" t="n">
        <f aca="false">17+4</f>
        <v>21</v>
      </c>
      <c r="E51" s="337"/>
      <c r="F51" s="330"/>
      <c r="G51" s="324"/>
      <c r="H51" s="328"/>
      <c r="I51" s="333"/>
      <c r="J51" s="324"/>
      <c r="K51" s="338"/>
      <c r="L51" s="335"/>
      <c r="M51" s="324"/>
      <c r="N51" s="331"/>
      <c r="O51" s="331"/>
      <c r="P51" s="328"/>
      <c r="Q51" s="309"/>
      <c r="R51" s="332"/>
      <c r="S51" s="332"/>
      <c r="T51" s="332"/>
      <c r="U51" s="309"/>
      <c r="V51" s="309"/>
      <c r="W51" s="309"/>
      <c r="X51" s="309"/>
      <c r="Y51" s="309"/>
      <c r="Z51" s="309"/>
      <c r="AA51" s="309"/>
      <c r="AB51" s="309"/>
      <c r="AC51" s="309"/>
      <c r="AD51" s="309"/>
      <c r="AE51" s="309"/>
      <c r="AF51" s="309"/>
      <c r="AG51" s="309"/>
      <c r="AH51" s="309"/>
      <c r="AI51" s="309"/>
    </row>
    <row r="52" customFormat="false" ht="28.5" hidden="false" customHeight="true" outlineLevel="0" collapsed="false">
      <c r="A52" s="322" t="n">
        <v>42</v>
      </c>
      <c r="B52" s="325" t="s">
        <v>833</v>
      </c>
      <c r="C52" s="325" t="s">
        <v>56</v>
      </c>
      <c r="D52" s="326" t="n">
        <f aca="false">13+1</f>
        <v>14</v>
      </c>
      <c r="E52" s="337"/>
      <c r="F52" s="330"/>
      <c r="G52" s="324"/>
      <c r="H52" s="328"/>
      <c r="I52" s="333"/>
      <c r="J52" s="324"/>
      <c r="K52" s="338"/>
      <c r="L52" s="335"/>
      <c r="M52" s="324"/>
      <c r="N52" s="331"/>
      <c r="O52" s="331"/>
      <c r="P52" s="328"/>
      <c r="Q52" s="309"/>
      <c r="R52" s="332"/>
      <c r="S52" s="332"/>
      <c r="T52" s="332"/>
      <c r="U52" s="309"/>
      <c r="V52" s="309"/>
      <c r="W52" s="309"/>
      <c r="X52" s="309"/>
      <c r="Y52" s="309"/>
      <c r="Z52" s="309"/>
      <c r="AA52" s="309"/>
      <c r="AB52" s="309"/>
      <c r="AC52" s="309"/>
      <c r="AD52" s="309"/>
      <c r="AE52" s="309"/>
      <c r="AF52" s="309"/>
      <c r="AG52" s="309"/>
      <c r="AH52" s="309"/>
      <c r="AI52" s="309"/>
    </row>
    <row r="53" customFormat="false" ht="33.05" hidden="false" customHeight="true" outlineLevel="0" collapsed="false">
      <c r="A53" s="322" t="n">
        <v>43</v>
      </c>
      <c r="B53" s="325" t="s">
        <v>649</v>
      </c>
      <c r="C53" s="325" t="s">
        <v>56</v>
      </c>
      <c r="D53" s="326" t="n">
        <f aca="false">15+3</f>
        <v>18</v>
      </c>
      <c r="E53" s="337"/>
      <c r="F53" s="330"/>
      <c r="G53" s="324"/>
      <c r="H53" s="328"/>
      <c r="I53" s="333"/>
      <c r="J53" s="324"/>
      <c r="K53" s="338"/>
      <c r="L53" s="335"/>
      <c r="M53" s="324"/>
      <c r="N53" s="331"/>
      <c r="O53" s="331"/>
      <c r="P53" s="328"/>
      <c r="Q53" s="309"/>
      <c r="R53" s="332"/>
      <c r="S53" s="332"/>
      <c r="T53" s="332"/>
      <c r="U53" s="309"/>
      <c r="V53" s="309"/>
      <c r="W53" s="309"/>
      <c r="X53" s="309"/>
      <c r="Y53" s="309"/>
      <c r="Z53" s="309"/>
      <c r="AA53" s="309"/>
      <c r="AB53" s="309"/>
      <c r="AC53" s="309"/>
      <c r="AD53" s="309"/>
      <c r="AE53" s="309"/>
      <c r="AF53" s="309"/>
      <c r="AG53" s="309"/>
      <c r="AH53" s="309"/>
      <c r="AI53" s="309"/>
    </row>
    <row r="54" customFormat="false" ht="29.25" hidden="false" customHeight="true" outlineLevel="0" collapsed="false">
      <c r="A54" s="322" t="n">
        <v>44</v>
      </c>
      <c r="B54" s="325" t="s">
        <v>834</v>
      </c>
      <c r="C54" s="325" t="s">
        <v>56</v>
      </c>
      <c r="D54" s="326" t="n">
        <f aca="false">42</f>
        <v>42</v>
      </c>
      <c r="E54" s="337"/>
      <c r="F54" s="330"/>
      <c r="G54" s="324"/>
      <c r="H54" s="328"/>
      <c r="I54" s="333"/>
      <c r="J54" s="324"/>
      <c r="K54" s="338"/>
      <c r="L54" s="335"/>
      <c r="M54" s="324"/>
      <c r="N54" s="331"/>
      <c r="O54" s="331"/>
      <c r="P54" s="328"/>
      <c r="Q54" s="309"/>
      <c r="R54" s="332"/>
      <c r="S54" s="332"/>
      <c r="T54" s="332"/>
      <c r="U54" s="309"/>
      <c r="V54" s="309"/>
      <c r="W54" s="309"/>
      <c r="X54" s="309"/>
      <c r="Y54" s="309"/>
      <c r="Z54" s="309"/>
      <c r="AA54" s="309"/>
      <c r="AB54" s="309"/>
      <c r="AC54" s="309"/>
      <c r="AD54" s="309"/>
      <c r="AE54" s="309"/>
      <c r="AF54" s="309"/>
      <c r="AG54" s="309"/>
      <c r="AH54" s="309"/>
      <c r="AI54" s="309"/>
    </row>
    <row r="55" customFormat="false" ht="29.25" hidden="false" customHeight="true" outlineLevel="0" collapsed="false">
      <c r="A55" s="322" t="n">
        <v>45</v>
      </c>
      <c r="B55" s="325" t="s">
        <v>835</v>
      </c>
      <c r="C55" s="325" t="s">
        <v>56</v>
      </c>
      <c r="D55" s="326" t="n">
        <f aca="false">6</f>
        <v>6</v>
      </c>
      <c r="E55" s="337"/>
      <c r="F55" s="330"/>
      <c r="G55" s="324"/>
      <c r="H55" s="328"/>
      <c r="I55" s="333"/>
      <c r="J55" s="324"/>
      <c r="K55" s="338"/>
      <c r="L55" s="335"/>
      <c r="M55" s="324"/>
      <c r="N55" s="331"/>
      <c r="O55" s="331"/>
      <c r="P55" s="328"/>
      <c r="Q55" s="309"/>
      <c r="R55" s="332"/>
      <c r="S55" s="332"/>
      <c r="T55" s="332"/>
      <c r="U55" s="309"/>
      <c r="V55" s="309"/>
      <c r="W55" s="309"/>
      <c r="X55" s="309"/>
      <c r="Y55" s="309"/>
      <c r="Z55" s="309"/>
      <c r="AA55" s="309"/>
      <c r="AB55" s="309"/>
      <c r="AC55" s="309"/>
      <c r="AD55" s="309"/>
      <c r="AE55" s="309"/>
      <c r="AF55" s="309"/>
      <c r="AG55" s="309"/>
      <c r="AH55" s="309"/>
      <c r="AI55" s="309"/>
    </row>
    <row r="56" customFormat="false" ht="37.5" hidden="false" customHeight="true" outlineLevel="0" collapsed="false">
      <c r="A56" s="322" t="n">
        <v>46</v>
      </c>
      <c r="B56" s="325" t="s">
        <v>836</v>
      </c>
      <c r="C56" s="325" t="s">
        <v>56</v>
      </c>
      <c r="D56" s="326" t="n">
        <v>380</v>
      </c>
      <c r="E56" s="337"/>
      <c r="F56" s="330"/>
      <c r="G56" s="324"/>
      <c r="H56" s="328"/>
      <c r="I56" s="333"/>
      <c r="J56" s="324"/>
      <c r="K56" s="338"/>
      <c r="L56" s="335"/>
      <c r="M56" s="324"/>
      <c r="N56" s="331"/>
      <c r="O56" s="331"/>
      <c r="P56" s="328"/>
      <c r="Q56" s="309"/>
      <c r="R56" s="332"/>
      <c r="S56" s="332"/>
      <c r="T56" s="332"/>
      <c r="U56" s="309"/>
      <c r="V56" s="309"/>
      <c r="W56" s="309"/>
      <c r="X56" s="309"/>
      <c r="Y56" s="309"/>
      <c r="Z56" s="309"/>
      <c r="AA56" s="309"/>
      <c r="AB56" s="309"/>
      <c r="AC56" s="309"/>
      <c r="AD56" s="309"/>
      <c r="AE56" s="309"/>
      <c r="AF56" s="309"/>
      <c r="AG56" s="309"/>
      <c r="AH56" s="309"/>
      <c r="AI56" s="309"/>
    </row>
    <row r="57" customFormat="false" ht="39.75" hidden="false" customHeight="true" outlineLevel="0" collapsed="false">
      <c r="A57" s="322" t="n">
        <v>47</v>
      </c>
      <c r="B57" s="325" t="s">
        <v>837</v>
      </c>
      <c r="C57" s="325" t="s">
        <v>56</v>
      </c>
      <c r="D57" s="326" t="n">
        <v>140</v>
      </c>
      <c r="E57" s="337"/>
      <c r="F57" s="330"/>
      <c r="G57" s="324"/>
      <c r="H57" s="328"/>
      <c r="I57" s="333"/>
      <c r="J57" s="324"/>
      <c r="K57" s="338"/>
      <c r="L57" s="335"/>
      <c r="M57" s="324"/>
      <c r="N57" s="331"/>
      <c r="O57" s="331"/>
      <c r="P57" s="328"/>
      <c r="Q57" s="309"/>
      <c r="R57" s="332"/>
      <c r="S57" s="332"/>
      <c r="T57" s="332"/>
      <c r="U57" s="309"/>
      <c r="V57" s="309"/>
      <c r="W57" s="309"/>
      <c r="X57" s="309"/>
      <c r="Y57" s="309"/>
      <c r="Z57" s="309"/>
      <c r="AA57" s="309"/>
      <c r="AB57" s="309"/>
      <c r="AC57" s="309"/>
      <c r="AD57" s="309"/>
      <c r="AE57" s="309"/>
      <c r="AF57" s="309"/>
      <c r="AG57" s="309"/>
      <c r="AH57" s="309"/>
      <c r="AI57" s="309"/>
    </row>
    <row r="58" s="343" customFormat="true" ht="47.25" hidden="false" customHeight="true" outlineLevel="0" collapsed="false">
      <c r="A58" s="339" t="n">
        <v>48</v>
      </c>
      <c r="B58" s="325" t="s">
        <v>838</v>
      </c>
      <c r="C58" s="325" t="s">
        <v>56</v>
      </c>
      <c r="D58" s="326" t="n">
        <f aca="false">15</f>
        <v>15</v>
      </c>
      <c r="E58" s="337"/>
      <c r="F58" s="330"/>
      <c r="G58" s="324"/>
      <c r="H58" s="328"/>
      <c r="I58" s="333"/>
      <c r="J58" s="324"/>
      <c r="K58" s="340"/>
      <c r="L58" s="335"/>
      <c r="M58" s="324"/>
      <c r="N58" s="331"/>
      <c r="O58" s="331"/>
      <c r="P58" s="341"/>
      <c r="Q58" s="342"/>
      <c r="R58" s="332"/>
      <c r="S58" s="332"/>
      <c r="T58" s="332"/>
      <c r="U58" s="342"/>
      <c r="V58" s="342"/>
      <c r="W58" s="342"/>
      <c r="X58" s="342"/>
      <c r="Y58" s="342"/>
      <c r="Z58" s="342"/>
      <c r="AA58" s="342"/>
      <c r="AB58" s="342"/>
      <c r="AC58" s="342"/>
      <c r="AD58" s="342"/>
      <c r="AE58" s="342"/>
      <c r="AF58" s="342"/>
      <c r="AG58" s="342"/>
      <c r="AH58" s="342"/>
      <c r="AI58" s="342"/>
    </row>
    <row r="59" s="343" customFormat="true" ht="41.25" hidden="false" customHeight="true" outlineLevel="0" collapsed="false">
      <c r="A59" s="339" t="n">
        <v>49</v>
      </c>
      <c r="B59" s="325" t="s">
        <v>653</v>
      </c>
      <c r="C59" s="325" t="s">
        <v>56</v>
      </c>
      <c r="D59" s="326" t="n">
        <f aca="false">12</f>
        <v>12</v>
      </c>
      <c r="E59" s="337"/>
      <c r="F59" s="330"/>
      <c r="G59" s="324"/>
      <c r="H59" s="328"/>
      <c r="I59" s="333"/>
      <c r="J59" s="324"/>
      <c r="K59" s="340"/>
      <c r="L59" s="335"/>
      <c r="M59" s="324"/>
      <c r="N59" s="331"/>
      <c r="O59" s="331"/>
      <c r="P59" s="341"/>
      <c r="Q59" s="342"/>
      <c r="R59" s="332"/>
      <c r="S59" s="332"/>
      <c r="T59" s="332"/>
      <c r="U59" s="342"/>
      <c r="V59" s="342"/>
      <c r="W59" s="342"/>
      <c r="X59" s="342"/>
      <c r="Y59" s="342"/>
      <c r="Z59" s="342"/>
      <c r="AA59" s="342"/>
      <c r="AB59" s="342"/>
      <c r="AC59" s="342"/>
      <c r="AD59" s="342"/>
      <c r="AE59" s="342"/>
      <c r="AF59" s="342"/>
      <c r="AG59" s="342"/>
      <c r="AH59" s="342"/>
      <c r="AI59" s="342"/>
    </row>
    <row r="60" s="343" customFormat="true" ht="43.5" hidden="false" customHeight="true" outlineLevel="0" collapsed="false">
      <c r="A60" s="339" t="n">
        <v>50</v>
      </c>
      <c r="B60" s="325" t="s">
        <v>839</v>
      </c>
      <c r="C60" s="325" t="s">
        <v>31</v>
      </c>
      <c r="D60" s="326" t="n">
        <v>10</v>
      </c>
      <c r="E60" s="337"/>
      <c r="F60" s="330"/>
      <c r="G60" s="324"/>
      <c r="H60" s="344"/>
      <c r="I60" s="333"/>
      <c r="J60" s="324"/>
      <c r="K60" s="328"/>
      <c r="L60" s="335"/>
      <c r="M60" s="324"/>
      <c r="N60" s="345"/>
      <c r="O60" s="345"/>
      <c r="P60" s="341"/>
      <c r="Q60" s="342"/>
      <c r="R60" s="346"/>
      <c r="S60" s="346"/>
      <c r="T60" s="346"/>
      <c r="U60" s="342"/>
      <c r="V60" s="342"/>
      <c r="W60" s="342"/>
      <c r="X60" s="342"/>
      <c r="Y60" s="342"/>
      <c r="Z60" s="342"/>
      <c r="AA60" s="342"/>
      <c r="AB60" s="342"/>
      <c r="AC60" s="342"/>
      <c r="AD60" s="342"/>
      <c r="AE60" s="342"/>
      <c r="AF60" s="342"/>
      <c r="AG60" s="342"/>
      <c r="AH60" s="342"/>
      <c r="AI60" s="342"/>
    </row>
    <row r="61" customFormat="false" ht="57.75" hidden="false" customHeight="true" outlineLevel="0" collapsed="false">
      <c r="A61" s="322" t="n">
        <v>51</v>
      </c>
      <c r="B61" s="325" t="s">
        <v>840</v>
      </c>
      <c r="C61" s="325" t="s">
        <v>23</v>
      </c>
      <c r="D61" s="326" t="n">
        <f aca="false">10</f>
        <v>10</v>
      </c>
      <c r="E61" s="344"/>
      <c r="F61" s="330"/>
      <c r="G61" s="324"/>
      <c r="H61" s="347"/>
      <c r="I61" s="333"/>
      <c r="J61" s="324"/>
      <c r="K61" s="344"/>
      <c r="L61" s="335"/>
      <c r="M61" s="324"/>
      <c r="N61" s="331"/>
      <c r="O61" s="331"/>
      <c r="P61" s="328"/>
      <c r="Q61" s="309"/>
      <c r="R61" s="332"/>
      <c r="S61" s="332"/>
      <c r="T61" s="332"/>
      <c r="U61" s="309"/>
      <c r="V61" s="309"/>
      <c r="W61" s="309"/>
      <c r="X61" s="309"/>
      <c r="Y61" s="309"/>
      <c r="Z61" s="309"/>
      <c r="AA61" s="309"/>
      <c r="AB61" s="309"/>
      <c r="AC61" s="309"/>
      <c r="AD61" s="309"/>
      <c r="AE61" s="309"/>
      <c r="AF61" s="309"/>
      <c r="AG61" s="309"/>
      <c r="AH61" s="309"/>
      <c r="AI61" s="309"/>
    </row>
    <row r="62" customFormat="false" ht="55.1" hidden="false" customHeight="true" outlineLevel="0" collapsed="false">
      <c r="A62" s="322" t="n">
        <v>52</v>
      </c>
      <c r="B62" s="325" t="s">
        <v>841</v>
      </c>
      <c r="C62" s="325" t="s">
        <v>31</v>
      </c>
      <c r="D62" s="326" t="n">
        <f aca="false">6.9</f>
        <v>6.9</v>
      </c>
      <c r="E62" s="344"/>
      <c r="F62" s="330"/>
      <c r="G62" s="324"/>
      <c r="H62" s="337"/>
      <c r="I62" s="333"/>
      <c r="J62" s="324"/>
      <c r="K62" s="328"/>
      <c r="L62" s="335"/>
      <c r="M62" s="324"/>
      <c r="N62" s="331"/>
      <c r="O62" s="331"/>
      <c r="P62" s="328"/>
      <c r="Q62" s="309"/>
      <c r="R62" s="332"/>
      <c r="S62" s="332"/>
      <c r="T62" s="332"/>
      <c r="U62" s="309"/>
      <c r="V62" s="309"/>
      <c r="W62" s="309"/>
      <c r="X62" s="309"/>
      <c r="Y62" s="309"/>
      <c r="Z62" s="309"/>
      <c r="AA62" s="309"/>
      <c r="AB62" s="309"/>
      <c r="AC62" s="309"/>
      <c r="AD62" s="309"/>
      <c r="AE62" s="309"/>
      <c r="AF62" s="309"/>
      <c r="AG62" s="309"/>
      <c r="AH62" s="309"/>
      <c r="AI62" s="309"/>
    </row>
    <row r="63" customFormat="false" ht="34.5" hidden="false" customHeight="true" outlineLevel="0" collapsed="false">
      <c r="A63" s="322" t="n">
        <v>53</v>
      </c>
      <c r="B63" s="325" t="s">
        <v>842</v>
      </c>
      <c r="C63" s="325" t="s">
        <v>31</v>
      </c>
      <c r="D63" s="326" t="n">
        <f aca="false">9.4+2.7</f>
        <v>12.1</v>
      </c>
      <c r="E63" s="337"/>
      <c r="F63" s="330"/>
      <c r="G63" s="324"/>
      <c r="H63" s="344"/>
      <c r="I63" s="333"/>
      <c r="J63" s="324"/>
      <c r="K63" s="344"/>
      <c r="L63" s="335"/>
      <c r="M63" s="324"/>
      <c r="N63" s="331"/>
      <c r="O63" s="331"/>
      <c r="P63" s="328"/>
      <c r="Q63" s="309"/>
      <c r="R63" s="332"/>
      <c r="S63" s="332"/>
      <c r="T63" s="332"/>
      <c r="U63" s="309"/>
      <c r="V63" s="309"/>
      <c r="W63" s="309"/>
      <c r="X63" s="309"/>
      <c r="Y63" s="309"/>
      <c r="Z63" s="309"/>
      <c r="AA63" s="309"/>
      <c r="AB63" s="309"/>
      <c r="AC63" s="309"/>
      <c r="AD63" s="309"/>
      <c r="AE63" s="309"/>
      <c r="AF63" s="309"/>
      <c r="AG63" s="309"/>
      <c r="AH63" s="309"/>
      <c r="AI63" s="309"/>
    </row>
    <row r="64" customFormat="false" ht="30" hidden="false" customHeight="true" outlineLevel="0" collapsed="false">
      <c r="A64" s="322" t="n">
        <v>54</v>
      </c>
      <c r="B64" s="325" t="s">
        <v>843</v>
      </c>
      <c r="C64" s="325" t="s">
        <v>56</v>
      </c>
      <c r="D64" s="326" t="n">
        <f aca="false">1</f>
        <v>1</v>
      </c>
      <c r="E64" s="344"/>
      <c r="F64" s="330"/>
      <c r="G64" s="324"/>
      <c r="H64" s="344"/>
      <c r="I64" s="333"/>
      <c r="J64" s="324"/>
      <c r="K64" s="344"/>
      <c r="L64" s="335"/>
      <c r="M64" s="324"/>
      <c r="N64" s="331"/>
      <c r="O64" s="331"/>
      <c r="P64" s="328"/>
      <c r="Q64" s="309"/>
      <c r="R64" s="332"/>
      <c r="S64" s="332"/>
      <c r="T64" s="332"/>
      <c r="U64" s="309"/>
      <c r="V64" s="309"/>
      <c r="W64" s="309"/>
      <c r="X64" s="309"/>
      <c r="Y64" s="309"/>
      <c r="Z64" s="309"/>
      <c r="AA64" s="309"/>
      <c r="AB64" s="309"/>
      <c r="AC64" s="309"/>
      <c r="AD64" s="309"/>
      <c r="AE64" s="309"/>
      <c r="AF64" s="309"/>
      <c r="AG64" s="309"/>
      <c r="AH64" s="309"/>
      <c r="AI64" s="309"/>
    </row>
    <row r="65" customFormat="false" ht="30" hidden="false" customHeight="true" outlineLevel="0" collapsed="false">
      <c r="A65" s="322" t="n">
        <v>55</v>
      </c>
      <c r="B65" s="325" t="s">
        <v>844</v>
      </c>
      <c r="C65" s="325" t="s">
        <v>31</v>
      </c>
      <c r="D65" s="326" t="n">
        <f aca="false">9</f>
        <v>9</v>
      </c>
      <c r="E65" s="344"/>
      <c r="F65" s="330"/>
      <c r="G65" s="324"/>
      <c r="H65" s="344"/>
      <c r="I65" s="333"/>
      <c r="J65" s="324"/>
      <c r="K65" s="344"/>
      <c r="L65" s="335"/>
      <c r="M65" s="324"/>
      <c r="N65" s="331"/>
      <c r="O65" s="331"/>
      <c r="P65" s="328"/>
      <c r="Q65" s="309"/>
      <c r="R65" s="332"/>
      <c r="S65" s="332"/>
      <c r="T65" s="332"/>
      <c r="U65" s="309"/>
      <c r="V65" s="309"/>
      <c r="W65" s="309"/>
      <c r="X65" s="309"/>
      <c r="Y65" s="309"/>
      <c r="Z65" s="309"/>
      <c r="AA65" s="309"/>
      <c r="AB65" s="309"/>
      <c r="AC65" s="309"/>
      <c r="AD65" s="309"/>
      <c r="AE65" s="309"/>
      <c r="AF65" s="309"/>
      <c r="AG65" s="309"/>
      <c r="AH65" s="309"/>
      <c r="AI65" s="309"/>
    </row>
    <row r="66" customFormat="false" ht="30" hidden="false" customHeight="true" outlineLevel="0" collapsed="false">
      <c r="A66" s="322" t="n">
        <v>56</v>
      </c>
      <c r="B66" s="325" t="s">
        <v>845</v>
      </c>
      <c r="C66" s="325" t="s">
        <v>31</v>
      </c>
      <c r="D66" s="326" t="n">
        <f aca="false">5</f>
        <v>5</v>
      </c>
      <c r="E66" s="344"/>
      <c r="F66" s="330"/>
      <c r="G66" s="324"/>
      <c r="H66" s="344"/>
      <c r="I66" s="333"/>
      <c r="J66" s="324"/>
      <c r="K66" s="344"/>
      <c r="L66" s="335"/>
      <c r="M66" s="324"/>
      <c r="N66" s="331"/>
      <c r="O66" s="331"/>
      <c r="P66" s="328"/>
      <c r="Q66" s="309"/>
      <c r="R66" s="332"/>
      <c r="S66" s="332"/>
      <c r="T66" s="332"/>
      <c r="U66" s="309"/>
      <c r="V66" s="309"/>
      <c r="W66" s="309"/>
      <c r="X66" s="309"/>
      <c r="Y66" s="309"/>
      <c r="Z66" s="309"/>
      <c r="AA66" s="309"/>
      <c r="AB66" s="309"/>
      <c r="AC66" s="309"/>
      <c r="AD66" s="309"/>
      <c r="AE66" s="309"/>
      <c r="AF66" s="309"/>
      <c r="AG66" s="309"/>
      <c r="AH66" s="309"/>
      <c r="AI66" s="309"/>
    </row>
    <row r="67" customFormat="false" ht="30" hidden="false" customHeight="true" outlineLevel="0" collapsed="false">
      <c r="A67" s="322" t="n">
        <v>57</v>
      </c>
      <c r="B67" s="325" t="s">
        <v>846</v>
      </c>
      <c r="C67" s="325" t="s">
        <v>56</v>
      </c>
      <c r="D67" s="326" t="n">
        <f aca="false">1</f>
        <v>1</v>
      </c>
      <c r="E67" s="344"/>
      <c r="F67" s="330"/>
      <c r="G67" s="324"/>
      <c r="H67" s="344"/>
      <c r="I67" s="333"/>
      <c r="J67" s="324"/>
      <c r="K67" s="344"/>
      <c r="L67" s="335"/>
      <c r="M67" s="324"/>
      <c r="N67" s="331"/>
      <c r="O67" s="331"/>
      <c r="P67" s="328"/>
      <c r="Q67" s="309"/>
      <c r="R67" s="332"/>
      <c r="S67" s="332"/>
      <c r="T67" s="332"/>
      <c r="U67" s="309"/>
      <c r="V67" s="309"/>
      <c r="W67" s="309"/>
      <c r="X67" s="309"/>
      <c r="Y67" s="309"/>
      <c r="Z67" s="309"/>
      <c r="AA67" s="309"/>
      <c r="AB67" s="309"/>
      <c r="AC67" s="309"/>
      <c r="AD67" s="309"/>
      <c r="AE67" s="309"/>
      <c r="AF67" s="309"/>
      <c r="AG67" s="309"/>
      <c r="AH67" s="309"/>
      <c r="AI67" s="309"/>
    </row>
    <row r="68" s="343" customFormat="true" ht="40.7" hidden="false" customHeight="true" outlineLevel="0" collapsed="false">
      <c r="A68" s="339" t="n">
        <v>58</v>
      </c>
      <c r="B68" s="325" t="s">
        <v>847</v>
      </c>
      <c r="C68" s="325" t="s">
        <v>31</v>
      </c>
      <c r="D68" s="326" t="n">
        <f aca="false">4+4.8</f>
        <v>8.8</v>
      </c>
      <c r="E68" s="337"/>
      <c r="F68" s="330"/>
      <c r="G68" s="324"/>
      <c r="H68" s="328"/>
      <c r="I68" s="333"/>
      <c r="J68" s="324"/>
      <c r="K68" s="328"/>
      <c r="L68" s="335"/>
      <c r="M68" s="324"/>
      <c r="N68" s="345"/>
      <c r="O68" s="345"/>
      <c r="P68" s="341"/>
      <c r="Q68" s="342"/>
      <c r="R68" s="346"/>
      <c r="S68" s="346"/>
      <c r="T68" s="346"/>
      <c r="U68" s="342"/>
      <c r="V68" s="342"/>
      <c r="W68" s="342"/>
      <c r="X68" s="342"/>
      <c r="Y68" s="342"/>
      <c r="Z68" s="342"/>
      <c r="AA68" s="342"/>
      <c r="AB68" s="342"/>
      <c r="AC68" s="342"/>
      <c r="AD68" s="342"/>
      <c r="AE68" s="342"/>
      <c r="AF68" s="342"/>
      <c r="AG68" s="342"/>
      <c r="AH68" s="342"/>
      <c r="AI68" s="342"/>
    </row>
    <row r="69" s="343" customFormat="true" ht="51" hidden="false" customHeight="false" outlineLevel="0" collapsed="false">
      <c r="A69" s="348" t="n">
        <v>59</v>
      </c>
      <c r="B69" s="336" t="s">
        <v>848</v>
      </c>
      <c r="C69" s="325" t="s">
        <v>31</v>
      </c>
      <c r="D69" s="326" t="n">
        <f aca="false">31</f>
        <v>31</v>
      </c>
      <c r="E69" s="344"/>
      <c r="F69" s="330"/>
      <c r="G69" s="324"/>
      <c r="H69" s="344"/>
      <c r="I69" s="333"/>
      <c r="J69" s="324"/>
      <c r="K69" s="344"/>
      <c r="L69" s="335"/>
      <c r="M69" s="324"/>
      <c r="N69" s="349"/>
      <c r="O69" s="349"/>
      <c r="P69" s="341"/>
      <c r="Q69" s="342"/>
      <c r="R69" s="346"/>
      <c r="S69" s="346"/>
      <c r="T69" s="346"/>
      <c r="U69" s="342"/>
      <c r="V69" s="342"/>
      <c r="W69" s="342"/>
      <c r="X69" s="342"/>
      <c r="Y69" s="342"/>
      <c r="Z69" s="342"/>
      <c r="AA69" s="342"/>
      <c r="AB69" s="342"/>
      <c r="AC69" s="342"/>
      <c r="AD69" s="342"/>
      <c r="AE69" s="342"/>
      <c r="AF69" s="342"/>
      <c r="AG69" s="342"/>
      <c r="AH69" s="342"/>
      <c r="AI69" s="342"/>
    </row>
    <row r="70" customFormat="false" ht="38.25" hidden="false" customHeight="true" outlineLevel="0" collapsed="false">
      <c r="A70" s="322" t="n">
        <v>60</v>
      </c>
      <c r="B70" s="336" t="s">
        <v>849</v>
      </c>
      <c r="C70" s="325" t="s">
        <v>31</v>
      </c>
      <c r="D70" s="326" t="n">
        <f aca="false">1</f>
        <v>1</v>
      </c>
      <c r="E70" s="337"/>
      <c r="F70" s="330"/>
      <c r="G70" s="324"/>
      <c r="H70" s="344"/>
      <c r="I70" s="333"/>
      <c r="J70" s="324"/>
      <c r="K70" s="344"/>
      <c r="L70" s="335"/>
      <c r="M70" s="324"/>
      <c r="N70" s="331"/>
      <c r="O70" s="331"/>
      <c r="P70" s="328"/>
      <c r="Q70" s="309"/>
      <c r="R70" s="332"/>
      <c r="S70" s="332"/>
      <c r="T70" s="332"/>
      <c r="U70" s="309"/>
      <c r="V70" s="309"/>
      <c r="W70" s="309"/>
      <c r="X70" s="309"/>
      <c r="Y70" s="309"/>
      <c r="Z70" s="309"/>
      <c r="AA70" s="309"/>
      <c r="AB70" s="309"/>
      <c r="AC70" s="309"/>
      <c r="AD70" s="309"/>
      <c r="AE70" s="309"/>
      <c r="AF70" s="309"/>
      <c r="AG70" s="309"/>
      <c r="AH70" s="309"/>
      <c r="AI70" s="309"/>
    </row>
    <row r="71" s="343" customFormat="true" ht="38.15" hidden="false" customHeight="true" outlineLevel="0" collapsed="false">
      <c r="A71" s="339" t="n">
        <v>61</v>
      </c>
      <c r="B71" s="325" t="s">
        <v>850</v>
      </c>
      <c r="C71" s="325" t="s">
        <v>326</v>
      </c>
      <c r="D71" s="326" t="n">
        <f aca="false">1</f>
        <v>1</v>
      </c>
      <c r="E71" s="337"/>
      <c r="F71" s="330"/>
      <c r="G71" s="324"/>
      <c r="H71" s="328"/>
      <c r="I71" s="333"/>
      <c r="J71" s="324"/>
      <c r="K71" s="328"/>
      <c r="L71" s="335"/>
      <c r="M71" s="324"/>
      <c r="N71" s="345"/>
      <c r="O71" s="345"/>
      <c r="P71" s="341"/>
      <c r="Q71" s="342"/>
      <c r="R71" s="346"/>
      <c r="S71" s="346"/>
      <c r="T71" s="346"/>
      <c r="U71" s="342"/>
      <c r="V71" s="342"/>
      <c r="W71" s="342"/>
      <c r="X71" s="342"/>
      <c r="Y71" s="342"/>
      <c r="Z71" s="342"/>
      <c r="AA71" s="342"/>
      <c r="AB71" s="342"/>
      <c r="AC71" s="342"/>
      <c r="AD71" s="342"/>
      <c r="AE71" s="342"/>
      <c r="AF71" s="342"/>
      <c r="AG71" s="342"/>
      <c r="AH71" s="342"/>
      <c r="AI71" s="342"/>
    </row>
    <row r="72" customFormat="false" ht="30" hidden="false" customHeight="true" outlineLevel="0" collapsed="false">
      <c r="A72" s="322" t="n">
        <v>62</v>
      </c>
      <c r="B72" s="325" t="s">
        <v>851</v>
      </c>
      <c r="C72" s="325" t="s">
        <v>31</v>
      </c>
      <c r="D72" s="326" t="n">
        <f aca="false">20+30+1</f>
        <v>51</v>
      </c>
      <c r="E72" s="337"/>
      <c r="F72" s="330"/>
      <c r="G72" s="324"/>
      <c r="H72" s="344"/>
      <c r="I72" s="333"/>
      <c r="J72" s="324"/>
      <c r="K72" s="350"/>
      <c r="L72" s="335"/>
      <c r="M72" s="324"/>
      <c r="N72" s="331"/>
      <c r="O72" s="331"/>
      <c r="P72" s="328"/>
      <c r="Q72" s="309"/>
      <c r="R72" s="332"/>
      <c r="S72" s="332"/>
      <c r="T72" s="332"/>
      <c r="U72" s="309"/>
      <c r="V72" s="309"/>
      <c r="W72" s="309"/>
      <c r="X72" s="309"/>
      <c r="Y72" s="309"/>
      <c r="Z72" s="309"/>
      <c r="AA72" s="309"/>
      <c r="AB72" s="309"/>
      <c r="AC72" s="309"/>
      <c r="AD72" s="309"/>
      <c r="AE72" s="309"/>
      <c r="AF72" s="309"/>
      <c r="AG72" s="309"/>
      <c r="AH72" s="309"/>
      <c r="AI72" s="309"/>
    </row>
    <row r="73" customFormat="false" ht="32.25" hidden="false" customHeight="true" outlineLevel="0" collapsed="false">
      <c r="A73" s="322" t="n">
        <v>63</v>
      </c>
      <c r="B73" s="325" t="s">
        <v>852</v>
      </c>
      <c r="C73" s="325" t="s">
        <v>23</v>
      </c>
      <c r="D73" s="326" t="n">
        <f aca="false">12</f>
        <v>12</v>
      </c>
      <c r="E73" s="337"/>
      <c r="F73" s="330"/>
      <c r="G73" s="324"/>
      <c r="H73" s="344"/>
      <c r="I73" s="333"/>
      <c r="J73" s="324"/>
      <c r="K73" s="350"/>
      <c r="L73" s="335"/>
      <c r="M73" s="324"/>
      <c r="N73" s="331"/>
      <c r="O73" s="331"/>
      <c r="P73" s="328"/>
      <c r="Q73" s="309"/>
      <c r="R73" s="332"/>
      <c r="S73" s="332"/>
      <c r="T73" s="332"/>
      <c r="U73" s="309"/>
      <c r="V73" s="309"/>
      <c r="W73" s="309"/>
      <c r="X73" s="309"/>
      <c r="Y73" s="309"/>
      <c r="Z73" s="309"/>
      <c r="AA73" s="309"/>
      <c r="AB73" s="309"/>
      <c r="AC73" s="309"/>
      <c r="AD73" s="309"/>
      <c r="AE73" s="309"/>
      <c r="AF73" s="309"/>
      <c r="AG73" s="309"/>
      <c r="AH73" s="309"/>
      <c r="AI73" s="309"/>
    </row>
    <row r="74" s="343" customFormat="true" ht="40.5" hidden="false" customHeight="true" outlineLevel="0" collapsed="false">
      <c r="A74" s="339" t="n">
        <v>64</v>
      </c>
      <c r="B74" s="325" t="s">
        <v>853</v>
      </c>
      <c r="C74" s="325" t="s">
        <v>31</v>
      </c>
      <c r="D74" s="326" t="n">
        <f aca="false">0.3</f>
        <v>0.3</v>
      </c>
      <c r="E74" s="337"/>
      <c r="F74" s="330"/>
      <c r="G74" s="324"/>
      <c r="H74" s="344"/>
      <c r="I74" s="333"/>
      <c r="J74" s="324"/>
      <c r="K74" s="328"/>
      <c r="L74" s="335"/>
      <c r="M74" s="324"/>
      <c r="N74" s="331"/>
      <c r="O74" s="345"/>
      <c r="P74" s="341"/>
      <c r="Q74" s="342"/>
      <c r="R74" s="346"/>
      <c r="S74" s="346"/>
      <c r="T74" s="346"/>
      <c r="U74" s="342"/>
      <c r="V74" s="342"/>
      <c r="W74" s="342"/>
      <c r="X74" s="342"/>
      <c r="Y74" s="342"/>
      <c r="Z74" s="342"/>
      <c r="AA74" s="342"/>
      <c r="AB74" s="342"/>
      <c r="AC74" s="342"/>
      <c r="AD74" s="342"/>
      <c r="AE74" s="342"/>
      <c r="AF74" s="342"/>
      <c r="AG74" s="342"/>
      <c r="AH74" s="342"/>
      <c r="AI74" s="342"/>
    </row>
    <row r="75" s="343" customFormat="true" ht="40.5" hidden="false" customHeight="true" outlineLevel="0" collapsed="false">
      <c r="A75" s="339" t="n">
        <v>65</v>
      </c>
      <c r="B75" s="325" t="s">
        <v>854</v>
      </c>
      <c r="C75" s="325" t="s">
        <v>31</v>
      </c>
      <c r="D75" s="326" t="n">
        <f aca="false">23.4</f>
        <v>23.4</v>
      </c>
      <c r="E75" s="337"/>
      <c r="F75" s="330"/>
      <c r="G75" s="324"/>
      <c r="H75" s="328"/>
      <c r="I75" s="333"/>
      <c r="J75" s="324"/>
      <c r="K75" s="328"/>
      <c r="L75" s="335"/>
      <c r="M75" s="324"/>
      <c r="N75" s="331"/>
      <c r="O75" s="345"/>
      <c r="P75" s="341"/>
      <c r="Q75" s="342"/>
      <c r="R75" s="346"/>
      <c r="S75" s="346"/>
      <c r="T75" s="346"/>
      <c r="U75" s="342"/>
      <c r="V75" s="342"/>
      <c r="W75" s="342"/>
      <c r="X75" s="342"/>
      <c r="Y75" s="342"/>
      <c r="Z75" s="342"/>
      <c r="AA75" s="342"/>
      <c r="AB75" s="342"/>
      <c r="AC75" s="342"/>
      <c r="AD75" s="342"/>
      <c r="AE75" s="342"/>
      <c r="AF75" s="342"/>
      <c r="AG75" s="342"/>
      <c r="AH75" s="342"/>
      <c r="AI75" s="342"/>
    </row>
    <row r="76" customFormat="false" ht="40.5" hidden="false" customHeight="true" outlineLevel="0" collapsed="false">
      <c r="A76" s="322" t="n">
        <v>66</v>
      </c>
      <c r="B76" s="325" t="s">
        <v>855</v>
      </c>
      <c r="C76" s="325" t="s">
        <v>31</v>
      </c>
      <c r="D76" s="326" t="n">
        <f aca="false">4</f>
        <v>4</v>
      </c>
      <c r="E76" s="337"/>
      <c r="F76" s="330"/>
      <c r="G76" s="324"/>
      <c r="H76" s="344"/>
      <c r="I76" s="333"/>
      <c r="J76" s="324"/>
      <c r="K76" s="350"/>
      <c r="L76" s="335"/>
      <c r="M76" s="324"/>
      <c r="N76" s="331"/>
      <c r="O76" s="331"/>
      <c r="P76" s="328"/>
      <c r="Q76" s="309"/>
      <c r="R76" s="332"/>
      <c r="S76" s="332"/>
      <c r="T76" s="332"/>
      <c r="U76" s="309"/>
      <c r="V76" s="309"/>
      <c r="W76" s="309"/>
      <c r="X76" s="309"/>
      <c r="Y76" s="309"/>
      <c r="Z76" s="309"/>
      <c r="AA76" s="309"/>
      <c r="AB76" s="309"/>
      <c r="AC76" s="309"/>
      <c r="AD76" s="309"/>
      <c r="AE76" s="309"/>
      <c r="AF76" s="309"/>
      <c r="AG76" s="309"/>
      <c r="AH76" s="309"/>
      <c r="AI76" s="309"/>
    </row>
    <row r="77" customFormat="false" ht="40.5" hidden="false" customHeight="true" outlineLevel="0" collapsed="false">
      <c r="A77" s="322" t="n">
        <v>67</v>
      </c>
      <c r="B77" s="325" t="s">
        <v>856</v>
      </c>
      <c r="C77" s="325" t="s">
        <v>31</v>
      </c>
      <c r="D77" s="326" t="n">
        <f aca="false">1</f>
        <v>1</v>
      </c>
      <c r="E77" s="337"/>
      <c r="F77" s="330"/>
      <c r="G77" s="324"/>
      <c r="H77" s="344"/>
      <c r="I77" s="333"/>
      <c r="J77" s="324"/>
      <c r="K77" s="350"/>
      <c r="L77" s="335"/>
      <c r="M77" s="324"/>
      <c r="N77" s="331"/>
      <c r="O77" s="331"/>
      <c r="P77" s="328"/>
      <c r="Q77" s="309"/>
      <c r="R77" s="332"/>
      <c r="S77" s="332"/>
      <c r="T77" s="332"/>
      <c r="U77" s="309"/>
      <c r="V77" s="309"/>
      <c r="W77" s="309"/>
      <c r="X77" s="309"/>
      <c r="Y77" s="309"/>
      <c r="Z77" s="309"/>
      <c r="AA77" s="309"/>
      <c r="AB77" s="309"/>
      <c r="AC77" s="309"/>
      <c r="AD77" s="309"/>
      <c r="AE77" s="309"/>
      <c r="AF77" s="309"/>
      <c r="AG77" s="309"/>
      <c r="AH77" s="309"/>
      <c r="AI77" s="309"/>
    </row>
    <row r="78" customFormat="false" ht="39" hidden="false" customHeight="true" outlineLevel="0" collapsed="false">
      <c r="A78" s="322" t="n">
        <v>68</v>
      </c>
      <c r="B78" s="325" t="s">
        <v>857</v>
      </c>
      <c r="C78" s="325" t="s">
        <v>56</v>
      </c>
      <c r="D78" s="326" t="n">
        <f aca="false">64+24</f>
        <v>88</v>
      </c>
      <c r="E78" s="337"/>
      <c r="F78" s="330"/>
      <c r="G78" s="324"/>
      <c r="H78" s="337"/>
      <c r="I78" s="333"/>
      <c r="J78" s="324"/>
      <c r="K78" s="337"/>
      <c r="L78" s="335"/>
      <c r="M78" s="324"/>
      <c r="N78" s="331"/>
      <c r="O78" s="331"/>
      <c r="P78" s="328"/>
      <c r="Q78" s="309"/>
      <c r="R78" s="332"/>
      <c r="S78" s="332"/>
      <c r="T78" s="332"/>
      <c r="U78" s="309"/>
      <c r="V78" s="309"/>
      <c r="W78" s="309"/>
      <c r="X78" s="309"/>
      <c r="Y78" s="309"/>
      <c r="Z78" s="309"/>
      <c r="AA78" s="309"/>
      <c r="AB78" s="309"/>
      <c r="AC78" s="309"/>
      <c r="AD78" s="309"/>
      <c r="AE78" s="309"/>
      <c r="AF78" s="309"/>
      <c r="AG78" s="309"/>
      <c r="AH78" s="309"/>
      <c r="AI78" s="309"/>
    </row>
    <row r="79" customFormat="false" ht="36.75" hidden="false" customHeight="true" outlineLevel="0" collapsed="false">
      <c r="A79" s="322" t="n">
        <v>69</v>
      </c>
      <c r="B79" s="325" t="s">
        <v>858</v>
      </c>
      <c r="C79" s="325" t="s">
        <v>56</v>
      </c>
      <c r="D79" s="326" t="n">
        <f aca="false">16</f>
        <v>16</v>
      </c>
      <c r="E79" s="337"/>
      <c r="F79" s="330"/>
      <c r="G79" s="324"/>
      <c r="H79" s="337"/>
      <c r="I79" s="333"/>
      <c r="J79" s="324"/>
      <c r="K79" s="337"/>
      <c r="L79" s="335"/>
      <c r="M79" s="324"/>
      <c r="N79" s="331"/>
      <c r="O79" s="331"/>
      <c r="P79" s="328"/>
      <c r="Q79" s="309"/>
      <c r="R79" s="332"/>
      <c r="S79" s="332"/>
      <c r="T79" s="332"/>
      <c r="U79" s="309"/>
      <c r="V79" s="309"/>
      <c r="W79" s="309"/>
      <c r="X79" s="309"/>
      <c r="Y79" s="309"/>
      <c r="Z79" s="309"/>
      <c r="AA79" s="309"/>
      <c r="AB79" s="309"/>
      <c r="AC79" s="309"/>
      <c r="AD79" s="309"/>
      <c r="AE79" s="309"/>
      <c r="AF79" s="309"/>
      <c r="AG79" s="309"/>
      <c r="AH79" s="309"/>
      <c r="AI79" s="309"/>
    </row>
    <row r="80" customFormat="false" ht="38.25" hidden="false" customHeight="true" outlineLevel="0" collapsed="false">
      <c r="A80" s="322" t="n">
        <v>70</v>
      </c>
      <c r="B80" s="325" t="s">
        <v>859</v>
      </c>
      <c r="C80" s="325" t="s">
        <v>56</v>
      </c>
      <c r="D80" s="326" t="n">
        <f aca="false">15+3</f>
        <v>18</v>
      </c>
      <c r="E80" s="337"/>
      <c r="F80" s="330"/>
      <c r="G80" s="324"/>
      <c r="H80" s="337"/>
      <c r="I80" s="333"/>
      <c r="J80" s="324"/>
      <c r="K80" s="337"/>
      <c r="L80" s="335"/>
      <c r="M80" s="324"/>
      <c r="N80" s="331"/>
      <c r="O80" s="331"/>
      <c r="P80" s="327"/>
      <c r="Q80" s="310"/>
      <c r="R80" s="332"/>
      <c r="S80" s="332"/>
      <c r="T80" s="332"/>
      <c r="U80" s="310"/>
      <c r="V80" s="310"/>
      <c r="W80" s="310"/>
      <c r="X80" s="310"/>
      <c r="Y80" s="310"/>
      <c r="Z80" s="310"/>
      <c r="AA80" s="310"/>
      <c r="AB80" s="310"/>
      <c r="AC80" s="310"/>
      <c r="AD80" s="310"/>
      <c r="AE80" s="310"/>
      <c r="AF80" s="310"/>
      <c r="AG80" s="310"/>
      <c r="AH80" s="310"/>
      <c r="AI80" s="310"/>
    </row>
    <row r="81" customFormat="false" ht="36" hidden="false" customHeight="true" outlineLevel="0" collapsed="false">
      <c r="A81" s="322" t="n">
        <v>71</v>
      </c>
      <c r="B81" s="325" t="s">
        <v>860</v>
      </c>
      <c r="C81" s="325" t="s">
        <v>56</v>
      </c>
      <c r="D81" s="326" t="n">
        <f aca="false">2</f>
        <v>2</v>
      </c>
      <c r="E81" s="337"/>
      <c r="F81" s="330"/>
      <c r="G81" s="324"/>
      <c r="H81" s="337"/>
      <c r="I81" s="333"/>
      <c r="J81" s="324"/>
      <c r="K81" s="337"/>
      <c r="L81" s="335"/>
      <c r="M81" s="324"/>
      <c r="N81" s="331"/>
      <c r="O81" s="331"/>
      <c r="P81" s="327"/>
      <c r="Q81" s="310"/>
      <c r="R81" s="332"/>
      <c r="S81" s="332"/>
      <c r="T81" s="332"/>
      <c r="U81" s="310"/>
      <c r="V81" s="310"/>
      <c r="W81" s="310"/>
      <c r="X81" s="310"/>
      <c r="Y81" s="310"/>
      <c r="Z81" s="310"/>
      <c r="AA81" s="310"/>
      <c r="AB81" s="310"/>
      <c r="AC81" s="310"/>
      <c r="AD81" s="310"/>
      <c r="AE81" s="310"/>
      <c r="AF81" s="310"/>
      <c r="AG81" s="310"/>
      <c r="AH81" s="310"/>
      <c r="AI81" s="310"/>
    </row>
    <row r="82" customFormat="false" ht="35.25" hidden="false" customHeight="true" outlineLevel="0" collapsed="false">
      <c r="A82" s="322" t="n">
        <v>72</v>
      </c>
      <c r="B82" s="325" t="s">
        <v>861</v>
      </c>
      <c r="C82" s="325" t="s">
        <v>56</v>
      </c>
      <c r="D82" s="326" t="n">
        <f aca="false">10</f>
        <v>10</v>
      </c>
      <c r="E82" s="337"/>
      <c r="F82" s="330"/>
      <c r="G82" s="324"/>
      <c r="H82" s="337"/>
      <c r="I82" s="333"/>
      <c r="J82" s="324"/>
      <c r="K82" s="337"/>
      <c r="L82" s="335"/>
      <c r="M82" s="324"/>
      <c r="N82" s="331"/>
      <c r="O82" s="331"/>
      <c r="P82" s="327"/>
      <c r="Q82" s="310"/>
      <c r="R82" s="332"/>
      <c r="S82" s="332"/>
      <c r="T82" s="332"/>
      <c r="U82" s="310"/>
      <c r="V82" s="310"/>
      <c r="W82" s="310"/>
      <c r="X82" s="310"/>
      <c r="Y82" s="310"/>
      <c r="Z82" s="310"/>
      <c r="AA82" s="310"/>
      <c r="AB82" s="310"/>
      <c r="AC82" s="310"/>
      <c r="AD82" s="310"/>
      <c r="AE82" s="310"/>
      <c r="AF82" s="310"/>
      <c r="AG82" s="310"/>
      <c r="AH82" s="310"/>
      <c r="AI82" s="310"/>
    </row>
    <row r="83" customFormat="false" ht="34.5" hidden="false" customHeight="true" outlineLevel="0" collapsed="false">
      <c r="A83" s="322" t="n">
        <v>73</v>
      </c>
      <c r="B83" s="325" t="s">
        <v>862</v>
      </c>
      <c r="C83" s="325" t="s">
        <v>56</v>
      </c>
      <c r="D83" s="326" t="n">
        <f aca="false">20+45+33</f>
        <v>98</v>
      </c>
      <c r="E83" s="337"/>
      <c r="F83" s="330"/>
      <c r="G83" s="324"/>
      <c r="H83" s="337"/>
      <c r="I83" s="333"/>
      <c r="J83" s="324"/>
      <c r="K83" s="337"/>
      <c r="L83" s="335"/>
      <c r="M83" s="324"/>
      <c r="N83" s="331"/>
      <c r="O83" s="331"/>
      <c r="P83" s="327"/>
      <c r="Q83" s="310"/>
      <c r="R83" s="332"/>
      <c r="S83" s="332"/>
      <c r="T83" s="332"/>
      <c r="U83" s="310"/>
      <c r="V83" s="310"/>
      <c r="W83" s="310"/>
      <c r="X83" s="310"/>
      <c r="Y83" s="310"/>
      <c r="Z83" s="310"/>
      <c r="AA83" s="310"/>
      <c r="AB83" s="310"/>
      <c r="AC83" s="310"/>
      <c r="AD83" s="310"/>
      <c r="AE83" s="310"/>
      <c r="AF83" s="310"/>
      <c r="AG83" s="310"/>
      <c r="AH83" s="310"/>
      <c r="AI83" s="310"/>
    </row>
    <row r="84" customFormat="false" ht="33.75" hidden="false" customHeight="true" outlineLevel="0" collapsed="false">
      <c r="A84" s="322" t="n">
        <v>74</v>
      </c>
      <c r="B84" s="325" t="s">
        <v>668</v>
      </c>
      <c r="C84" s="325" t="s">
        <v>56</v>
      </c>
      <c r="D84" s="326" t="n">
        <f aca="false">60+152+8+24+348</f>
        <v>592</v>
      </c>
      <c r="E84" s="337"/>
      <c r="F84" s="330"/>
      <c r="G84" s="324"/>
      <c r="H84" s="337"/>
      <c r="I84" s="333"/>
      <c r="J84" s="324"/>
      <c r="K84" s="337"/>
      <c r="L84" s="335"/>
      <c r="M84" s="324"/>
      <c r="N84" s="331"/>
      <c r="O84" s="331"/>
      <c r="P84" s="328"/>
      <c r="Q84" s="309"/>
      <c r="R84" s="332"/>
      <c r="S84" s="332"/>
      <c r="T84" s="332"/>
      <c r="U84" s="309"/>
      <c r="V84" s="309"/>
      <c r="W84" s="309"/>
      <c r="X84" s="309"/>
      <c r="Y84" s="309"/>
      <c r="Z84" s="309"/>
      <c r="AA84" s="309"/>
      <c r="AB84" s="309"/>
      <c r="AC84" s="309"/>
      <c r="AD84" s="309"/>
      <c r="AE84" s="309"/>
      <c r="AF84" s="309"/>
      <c r="AG84" s="309"/>
      <c r="AH84" s="309"/>
      <c r="AI84" s="309"/>
    </row>
    <row r="85" customFormat="false" ht="36.75" hidden="false" customHeight="true" outlineLevel="0" collapsed="false">
      <c r="A85" s="322" t="n">
        <v>75</v>
      </c>
      <c r="B85" s="325" t="s">
        <v>672</v>
      </c>
      <c r="C85" s="325" t="s">
        <v>56</v>
      </c>
      <c r="D85" s="326" t="n">
        <f aca="false">60+152+8+24+348</f>
        <v>592</v>
      </c>
      <c r="E85" s="337"/>
      <c r="F85" s="330"/>
      <c r="G85" s="324"/>
      <c r="H85" s="337"/>
      <c r="I85" s="333"/>
      <c r="J85" s="324"/>
      <c r="K85" s="337"/>
      <c r="L85" s="335"/>
      <c r="M85" s="324"/>
      <c r="N85" s="331"/>
      <c r="O85" s="331"/>
      <c r="P85" s="328"/>
      <c r="Q85" s="309"/>
      <c r="R85" s="332"/>
      <c r="S85" s="332"/>
      <c r="T85" s="332"/>
      <c r="U85" s="309"/>
      <c r="V85" s="309"/>
      <c r="W85" s="309"/>
      <c r="X85" s="309"/>
      <c r="Y85" s="309"/>
      <c r="Z85" s="309"/>
      <c r="AA85" s="309"/>
      <c r="AB85" s="309"/>
      <c r="AC85" s="309"/>
      <c r="AD85" s="309"/>
      <c r="AE85" s="309"/>
      <c r="AF85" s="309"/>
      <c r="AG85" s="309"/>
      <c r="AH85" s="309"/>
      <c r="AI85" s="309"/>
    </row>
    <row r="86" customFormat="false" ht="37.5" hidden="false" customHeight="true" outlineLevel="0" collapsed="false">
      <c r="A86" s="322" t="n">
        <v>76</v>
      </c>
      <c r="B86" s="325" t="s">
        <v>863</v>
      </c>
      <c r="C86" s="325" t="s">
        <v>31</v>
      </c>
      <c r="D86" s="326" t="n">
        <f aca="false">0.24+0.05+0.05</f>
        <v>0.34</v>
      </c>
      <c r="E86" s="337"/>
      <c r="F86" s="330"/>
      <c r="G86" s="324"/>
      <c r="H86" s="337"/>
      <c r="I86" s="333"/>
      <c r="J86" s="324"/>
      <c r="K86" s="337"/>
      <c r="L86" s="335"/>
      <c r="M86" s="324"/>
      <c r="N86" s="331"/>
      <c r="O86" s="331"/>
      <c r="P86" s="328"/>
      <c r="Q86" s="309"/>
      <c r="R86" s="332"/>
      <c r="S86" s="332"/>
      <c r="T86" s="332"/>
      <c r="U86" s="309"/>
      <c r="V86" s="309"/>
      <c r="W86" s="309"/>
      <c r="X86" s="309"/>
      <c r="Y86" s="309"/>
      <c r="Z86" s="309"/>
      <c r="AA86" s="309"/>
      <c r="AB86" s="309"/>
      <c r="AC86" s="309"/>
      <c r="AD86" s="309"/>
      <c r="AE86" s="309"/>
      <c r="AF86" s="309"/>
      <c r="AG86" s="309"/>
      <c r="AH86" s="309"/>
      <c r="AI86" s="309"/>
    </row>
    <row r="87" customFormat="false" ht="37.5" hidden="false" customHeight="true" outlineLevel="0" collapsed="false">
      <c r="A87" s="322" t="n">
        <v>77</v>
      </c>
      <c r="B87" s="325" t="s">
        <v>864</v>
      </c>
      <c r="C87" s="325" t="s">
        <v>31</v>
      </c>
      <c r="D87" s="326" t="n">
        <v>12</v>
      </c>
      <c r="E87" s="337"/>
      <c r="F87" s="330"/>
      <c r="G87" s="324"/>
      <c r="H87" s="337"/>
      <c r="I87" s="333"/>
      <c r="J87" s="324"/>
      <c r="K87" s="337"/>
      <c r="L87" s="335"/>
      <c r="M87" s="324"/>
      <c r="N87" s="331"/>
      <c r="O87" s="331"/>
      <c r="P87" s="328"/>
      <c r="Q87" s="309"/>
      <c r="R87" s="332"/>
      <c r="S87" s="332"/>
      <c r="T87" s="332"/>
      <c r="U87" s="309"/>
      <c r="V87" s="309"/>
      <c r="W87" s="309"/>
      <c r="X87" s="309"/>
      <c r="Y87" s="309"/>
      <c r="Z87" s="309"/>
      <c r="AA87" s="309"/>
      <c r="AB87" s="309"/>
      <c r="AC87" s="309"/>
      <c r="AD87" s="309"/>
      <c r="AE87" s="309"/>
      <c r="AF87" s="309"/>
      <c r="AG87" s="309"/>
      <c r="AH87" s="309"/>
      <c r="AI87" s="309"/>
    </row>
    <row r="88" customFormat="false" ht="37.5" hidden="false" customHeight="true" outlineLevel="0" collapsed="false">
      <c r="A88" s="322" t="n">
        <v>78</v>
      </c>
      <c r="B88" s="325" t="s">
        <v>865</v>
      </c>
      <c r="C88" s="325" t="s">
        <v>56</v>
      </c>
      <c r="D88" s="326" t="n">
        <f aca="false">38+8+12+8</f>
        <v>66</v>
      </c>
      <c r="E88" s="337"/>
      <c r="F88" s="330"/>
      <c r="G88" s="324"/>
      <c r="H88" s="337"/>
      <c r="I88" s="333"/>
      <c r="J88" s="324"/>
      <c r="K88" s="337"/>
      <c r="L88" s="335"/>
      <c r="M88" s="324"/>
      <c r="N88" s="331"/>
      <c r="O88" s="331"/>
      <c r="P88" s="328"/>
      <c r="Q88" s="309"/>
      <c r="R88" s="332"/>
      <c r="S88" s="332"/>
      <c r="T88" s="332"/>
      <c r="U88" s="309"/>
      <c r="V88" s="309"/>
      <c r="W88" s="309"/>
      <c r="X88" s="309"/>
      <c r="Y88" s="309"/>
      <c r="Z88" s="309"/>
      <c r="AA88" s="309"/>
      <c r="AB88" s="309"/>
      <c r="AC88" s="309"/>
      <c r="AD88" s="309"/>
      <c r="AE88" s="309"/>
      <c r="AF88" s="309"/>
      <c r="AG88" s="309"/>
      <c r="AH88" s="309"/>
      <c r="AI88" s="309"/>
    </row>
    <row r="89" customFormat="false" ht="37.5" hidden="false" customHeight="true" outlineLevel="0" collapsed="false">
      <c r="A89" s="322" t="n">
        <v>79</v>
      </c>
      <c r="B89" s="325" t="s">
        <v>866</v>
      </c>
      <c r="C89" s="325" t="s">
        <v>56</v>
      </c>
      <c r="D89" s="326" t="n">
        <f aca="false">140</f>
        <v>140</v>
      </c>
      <c r="E89" s="337"/>
      <c r="F89" s="330"/>
      <c r="G89" s="324"/>
      <c r="H89" s="337"/>
      <c r="I89" s="333"/>
      <c r="J89" s="324"/>
      <c r="K89" s="337"/>
      <c r="L89" s="335"/>
      <c r="M89" s="324"/>
      <c r="N89" s="331"/>
      <c r="O89" s="331"/>
      <c r="P89" s="328"/>
      <c r="Q89" s="309"/>
      <c r="R89" s="332"/>
      <c r="S89" s="332"/>
      <c r="T89" s="332"/>
      <c r="U89" s="309"/>
      <c r="V89" s="309"/>
      <c r="W89" s="309"/>
      <c r="X89" s="309"/>
      <c r="Y89" s="309"/>
      <c r="Z89" s="309"/>
      <c r="AA89" s="309"/>
      <c r="AB89" s="309"/>
      <c r="AC89" s="309"/>
      <c r="AD89" s="309"/>
      <c r="AE89" s="309"/>
      <c r="AF89" s="309"/>
      <c r="AG89" s="309"/>
      <c r="AH89" s="309"/>
      <c r="AI89" s="309"/>
    </row>
    <row r="90" customFormat="false" ht="37.5" hidden="false" customHeight="true" outlineLevel="0" collapsed="false">
      <c r="A90" s="322" t="n">
        <v>80</v>
      </c>
      <c r="B90" s="325" t="s">
        <v>867</v>
      </c>
      <c r="C90" s="325" t="s">
        <v>56</v>
      </c>
      <c r="D90" s="326" t="n">
        <f aca="false">140</f>
        <v>140</v>
      </c>
      <c r="E90" s="337"/>
      <c r="F90" s="330"/>
      <c r="G90" s="324"/>
      <c r="H90" s="337"/>
      <c r="I90" s="333"/>
      <c r="J90" s="324"/>
      <c r="K90" s="337"/>
      <c r="L90" s="335"/>
      <c r="M90" s="324"/>
      <c r="N90" s="331"/>
      <c r="O90" s="331"/>
      <c r="P90" s="328"/>
      <c r="Q90" s="309"/>
      <c r="R90" s="332"/>
      <c r="S90" s="332"/>
      <c r="T90" s="332"/>
      <c r="U90" s="309"/>
      <c r="V90" s="309"/>
      <c r="W90" s="309"/>
      <c r="X90" s="309"/>
      <c r="Y90" s="309"/>
      <c r="Z90" s="309"/>
      <c r="AA90" s="309"/>
      <c r="AB90" s="309"/>
      <c r="AC90" s="309"/>
      <c r="AD90" s="309"/>
      <c r="AE90" s="309"/>
      <c r="AF90" s="309"/>
      <c r="AG90" s="309"/>
      <c r="AH90" s="309"/>
      <c r="AI90" s="309"/>
    </row>
    <row r="91" customFormat="false" ht="37.5" hidden="false" customHeight="true" outlineLevel="0" collapsed="false">
      <c r="A91" s="322" t="n">
        <v>81</v>
      </c>
      <c r="B91" s="325" t="s">
        <v>868</v>
      </c>
      <c r="C91" s="325" t="s">
        <v>56</v>
      </c>
      <c r="D91" s="326" t="n">
        <f aca="false">12</f>
        <v>12</v>
      </c>
      <c r="E91" s="337"/>
      <c r="F91" s="330"/>
      <c r="G91" s="324"/>
      <c r="H91" s="337"/>
      <c r="I91" s="333"/>
      <c r="J91" s="324"/>
      <c r="K91" s="337"/>
      <c r="L91" s="335"/>
      <c r="M91" s="324"/>
      <c r="N91" s="331"/>
      <c r="O91" s="331"/>
      <c r="P91" s="328"/>
      <c r="Q91" s="309"/>
      <c r="R91" s="332"/>
      <c r="S91" s="332"/>
      <c r="T91" s="332"/>
      <c r="U91" s="309"/>
      <c r="V91" s="309"/>
      <c r="W91" s="309"/>
      <c r="X91" s="309"/>
      <c r="Y91" s="309"/>
      <c r="Z91" s="309"/>
      <c r="AA91" s="309"/>
      <c r="AB91" s="309"/>
      <c r="AC91" s="309"/>
      <c r="AD91" s="309"/>
      <c r="AE91" s="309"/>
      <c r="AF91" s="309"/>
      <c r="AG91" s="309"/>
      <c r="AH91" s="309"/>
      <c r="AI91" s="309"/>
    </row>
    <row r="92" customFormat="false" ht="37.5" hidden="false" customHeight="true" outlineLevel="0" collapsed="false">
      <c r="A92" s="322" t="n">
        <v>82</v>
      </c>
      <c r="B92" s="325" t="s">
        <v>869</v>
      </c>
      <c r="C92" s="325" t="s">
        <v>56</v>
      </c>
      <c r="D92" s="326" t="n">
        <f aca="false">140</f>
        <v>140</v>
      </c>
      <c r="E92" s="337"/>
      <c r="F92" s="330"/>
      <c r="G92" s="324"/>
      <c r="H92" s="337"/>
      <c r="I92" s="333"/>
      <c r="J92" s="324"/>
      <c r="K92" s="337"/>
      <c r="L92" s="335"/>
      <c r="M92" s="324"/>
      <c r="N92" s="331"/>
      <c r="O92" s="331"/>
      <c r="P92" s="328"/>
      <c r="Q92" s="309"/>
      <c r="R92" s="332"/>
      <c r="S92" s="332"/>
      <c r="T92" s="332"/>
      <c r="U92" s="309"/>
      <c r="V92" s="309"/>
      <c r="W92" s="309"/>
      <c r="X92" s="309"/>
      <c r="Y92" s="309"/>
      <c r="Z92" s="309"/>
      <c r="AA92" s="309"/>
      <c r="AB92" s="309"/>
      <c r="AC92" s="309"/>
      <c r="AD92" s="309"/>
      <c r="AE92" s="309"/>
      <c r="AF92" s="309"/>
      <c r="AG92" s="309"/>
      <c r="AH92" s="309"/>
      <c r="AI92" s="309"/>
    </row>
    <row r="93" customFormat="false" ht="37.5" hidden="false" customHeight="true" outlineLevel="0" collapsed="false">
      <c r="A93" s="322" t="n">
        <v>83</v>
      </c>
      <c r="B93" s="325" t="s">
        <v>870</v>
      </c>
      <c r="C93" s="325" t="s">
        <v>56</v>
      </c>
      <c r="D93" s="326" t="n">
        <f aca="false">20</f>
        <v>20</v>
      </c>
      <c r="E93" s="337"/>
      <c r="F93" s="330"/>
      <c r="G93" s="324"/>
      <c r="H93" s="337"/>
      <c r="I93" s="333"/>
      <c r="J93" s="324"/>
      <c r="K93" s="337"/>
      <c r="L93" s="335"/>
      <c r="M93" s="324"/>
      <c r="N93" s="331"/>
      <c r="O93" s="331"/>
      <c r="P93" s="328"/>
      <c r="Q93" s="309"/>
      <c r="R93" s="332"/>
      <c r="S93" s="332"/>
      <c r="T93" s="332"/>
      <c r="U93" s="309"/>
      <c r="V93" s="309"/>
      <c r="W93" s="309"/>
      <c r="X93" s="309"/>
      <c r="Y93" s="309"/>
      <c r="Z93" s="309"/>
      <c r="AA93" s="309"/>
      <c r="AB93" s="309"/>
      <c r="AC93" s="309"/>
      <c r="AD93" s="309"/>
      <c r="AE93" s="309"/>
      <c r="AF93" s="309"/>
      <c r="AG93" s="309"/>
      <c r="AH93" s="309"/>
      <c r="AI93" s="309"/>
    </row>
    <row r="94" customFormat="false" ht="37.5" hidden="false" customHeight="true" outlineLevel="0" collapsed="false">
      <c r="A94" s="322" t="n">
        <v>84</v>
      </c>
      <c r="B94" s="325" t="s">
        <v>871</v>
      </c>
      <c r="C94" s="325" t="s">
        <v>56</v>
      </c>
      <c r="D94" s="326" t="n">
        <f aca="false">78</f>
        <v>78</v>
      </c>
      <c r="E94" s="337"/>
      <c r="F94" s="330"/>
      <c r="G94" s="324"/>
      <c r="H94" s="337"/>
      <c r="I94" s="333"/>
      <c r="J94" s="324"/>
      <c r="K94" s="337"/>
      <c r="L94" s="335"/>
      <c r="M94" s="324"/>
      <c r="N94" s="331"/>
      <c r="O94" s="331"/>
      <c r="P94" s="328"/>
      <c r="Q94" s="309"/>
      <c r="R94" s="332"/>
      <c r="S94" s="332"/>
      <c r="T94" s="332"/>
      <c r="U94" s="309"/>
      <c r="V94" s="309"/>
      <c r="W94" s="309"/>
      <c r="X94" s="309"/>
      <c r="Y94" s="309"/>
      <c r="Z94" s="309"/>
      <c r="AA94" s="309"/>
      <c r="AB94" s="309"/>
      <c r="AC94" s="309"/>
      <c r="AD94" s="309"/>
      <c r="AE94" s="309"/>
      <c r="AF94" s="309"/>
      <c r="AG94" s="309"/>
      <c r="AH94" s="309"/>
      <c r="AI94" s="309"/>
    </row>
    <row r="95" customFormat="false" ht="37.5" hidden="false" customHeight="true" outlineLevel="0" collapsed="false">
      <c r="A95" s="322" t="n">
        <v>85</v>
      </c>
      <c r="B95" s="325" t="s">
        <v>872</v>
      </c>
      <c r="C95" s="325" t="s">
        <v>56</v>
      </c>
      <c r="D95" s="326" t="n">
        <f aca="false">48</f>
        <v>48</v>
      </c>
      <c r="E95" s="337"/>
      <c r="F95" s="330"/>
      <c r="G95" s="324"/>
      <c r="H95" s="337"/>
      <c r="I95" s="333"/>
      <c r="J95" s="324"/>
      <c r="K95" s="337"/>
      <c r="L95" s="335"/>
      <c r="M95" s="324"/>
      <c r="N95" s="331"/>
      <c r="O95" s="331"/>
      <c r="P95" s="328"/>
      <c r="Q95" s="309"/>
      <c r="R95" s="332"/>
      <c r="S95" s="332"/>
      <c r="T95" s="332"/>
      <c r="U95" s="309"/>
      <c r="V95" s="309"/>
      <c r="W95" s="309"/>
      <c r="X95" s="309"/>
      <c r="Y95" s="309"/>
      <c r="Z95" s="309"/>
      <c r="AA95" s="309"/>
      <c r="AB95" s="309"/>
      <c r="AC95" s="309"/>
      <c r="AD95" s="309"/>
      <c r="AE95" s="309"/>
      <c r="AF95" s="309"/>
      <c r="AG95" s="309"/>
      <c r="AH95" s="309"/>
      <c r="AI95" s="309"/>
    </row>
    <row r="96" customFormat="false" ht="37.5" hidden="false" customHeight="true" outlineLevel="0" collapsed="false">
      <c r="A96" s="322" t="n">
        <v>86</v>
      </c>
      <c r="B96" s="325" t="s">
        <v>873</v>
      </c>
      <c r="C96" s="325" t="s">
        <v>56</v>
      </c>
      <c r="D96" s="326" t="n">
        <f aca="false">64</f>
        <v>64</v>
      </c>
      <c r="E96" s="337"/>
      <c r="F96" s="330"/>
      <c r="G96" s="324"/>
      <c r="H96" s="337"/>
      <c r="I96" s="333"/>
      <c r="J96" s="324"/>
      <c r="K96" s="337"/>
      <c r="L96" s="335"/>
      <c r="M96" s="324"/>
      <c r="N96" s="331"/>
      <c r="O96" s="331"/>
      <c r="P96" s="328"/>
      <c r="Q96" s="309"/>
      <c r="R96" s="332"/>
      <c r="S96" s="332"/>
      <c r="T96" s="332"/>
      <c r="U96" s="309"/>
      <c r="V96" s="309"/>
      <c r="W96" s="309"/>
      <c r="X96" s="309"/>
      <c r="Y96" s="309"/>
      <c r="Z96" s="309"/>
      <c r="AA96" s="309"/>
      <c r="AB96" s="309"/>
      <c r="AC96" s="309"/>
      <c r="AD96" s="309"/>
      <c r="AE96" s="309"/>
      <c r="AF96" s="309"/>
      <c r="AG96" s="309"/>
      <c r="AH96" s="309"/>
      <c r="AI96" s="309"/>
    </row>
    <row r="97" customFormat="false" ht="37.5" hidden="false" customHeight="true" outlineLevel="0" collapsed="false">
      <c r="A97" s="322" t="n">
        <v>87</v>
      </c>
      <c r="B97" s="325" t="s">
        <v>874</v>
      </c>
      <c r="C97" s="325" t="s">
        <v>56</v>
      </c>
      <c r="D97" s="326" t="n">
        <f aca="false">20</f>
        <v>20</v>
      </c>
      <c r="E97" s="337"/>
      <c r="F97" s="330"/>
      <c r="G97" s="324"/>
      <c r="H97" s="337"/>
      <c r="I97" s="333"/>
      <c r="J97" s="324"/>
      <c r="K97" s="337"/>
      <c r="L97" s="335"/>
      <c r="M97" s="324"/>
      <c r="N97" s="331"/>
      <c r="O97" s="331"/>
      <c r="P97" s="328"/>
      <c r="Q97" s="309"/>
      <c r="R97" s="332"/>
      <c r="S97" s="332"/>
      <c r="T97" s="332"/>
      <c r="U97" s="309"/>
      <c r="V97" s="309"/>
      <c r="W97" s="309"/>
      <c r="X97" s="309"/>
      <c r="Y97" s="309"/>
      <c r="Z97" s="309"/>
      <c r="AA97" s="309"/>
      <c r="AB97" s="309"/>
      <c r="AC97" s="309"/>
      <c r="AD97" s="309"/>
      <c r="AE97" s="309"/>
      <c r="AF97" s="309"/>
      <c r="AG97" s="309"/>
      <c r="AH97" s="309"/>
      <c r="AI97" s="309"/>
    </row>
    <row r="98" customFormat="false" ht="37.5" hidden="false" customHeight="true" outlineLevel="0" collapsed="false">
      <c r="A98" s="322" t="n">
        <v>88</v>
      </c>
      <c r="B98" s="325" t="s">
        <v>875</v>
      </c>
      <c r="C98" s="325" t="s">
        <v>56</v>
      </c>
      <c r="D98" s="326" t="n">
        <f aca="false">10</f>
        <v>10</v>
      </c>
      <c r="E98" s="337"/>
      <c r="F98" s="330"/>
      <c r="G98" s="324"/>
      <c r="H98" s="337"/>
      <c r="I98" s="333"/>
      <c r="J98" s="324"/>
      <c r="K98" s="337"/>
      <c r="L98" s="335"/>
      <c r="M98" s="324"/>
      <c r="N98" s="331"/>
      <c r="O98" s="331"/>
      <c r="P98" s="328"/>
      <c r="Q98" s="309"/>
      <c r="R98" s="332"/>
      <c r="S98" s="332"/>
      <c r="T98" s="332"/>
      <c r="U98" s="309"/>
      <c r="V98" s="309"/>
      <c r="W98" s="309"/>
      <c r="X98" s="309"/>
      <c r="Y98" s="309"/>
      <c r="Z98" s="309"/>
      <c r="AA98" s="309"/>
      <c r="AB98" s="309"/>
      <c r="AC98" s="309"/>
      <c r="AD98" s="309"/>
      <c r="AE98" s="309"/>
      <c r="AF98" s="309"/>
      <c r="AG98" s="309"/>
      <c r="AH98" s="309"/>
      <c r="AI98" s="309"/>
    </row>
    <row r="99" customFormat="false" ht="37.5" hidden="false" customHeight="true" outlineLevel="0" collapsed="false">
      <c r="A99" s="322" t="n">
        <v>89</v>
      </c>
      <c r="B99" s="325" t="s">
        <v>876</v>
      </c>
      <c r="C99" s="325" t="s">
        <v>56</v>
      </c>
      <c r="D99" s="326" t="n">
        <f aca="false">35+32+80+40+30</f>
        <v>217</v>
      </c>
      <c r="E99" s="337"/>
      <c r="F99" s="330"/>
      <c r="G99" s="324"/>
      <c r="H99" s="337"/>
      <c r="I99" s="333"/>
      <c r="J99" s="324"/>
      <c r="K99" s="337"/>
      <c r="L99" s="335"/>
      <c r="M99" s="324"/>
      <c r="N99" s="331"/>
      <c r="O99" s="331"/>
      <c r="P99" s="328"/>
      <c r="Q99" s="309"/>
      <c r="R99" s="332"/>
      <c r="S99" s="332"/>
      <c r="T99" s="332"/>
      <c r="U99" s="309"/>
      <c r="V99" s="309"/>
      <c r="W99" s="309"/>
      <c r="X99" s="309"/>
      <c r="Y99" s="309"/>
      <c r="Z99" s="309"/>
      <c r="AA99" s="309"/>
      <c r="AB99" s="309"/>
      <c r="AC99" s="309"/>
      <c r="AD99" s="309"/>
      <c r="AE99" s="309"/>
      <c r="AF99" s="309"/>
      <c r="AG99" s="309"/>
      <c r="AH99" s="309"/>
      <c r="AI99" s="309"/>
    </row>
    <row r="100" customFormat="false" ht="37.5" hidden="false" customHeight="true" outlineLevel="0" collapsed="false">
      <c r="A100" s="322" t="n">
        <v>90</v>
      </c>
      <c r="B100" s="325" t="s">
        <v>877</v>
      </c>
      <c r="C100" s="325" t="s">
        <v>56</v>
      </c>
      <c r="D100" s="326" t="n">
        <f aca="false">65+136+100</f>
        <v>301</v>
      </c>
      <c r="E100" s="337"/>
      <c r="F100" s="330"/>
      <c r="G100" s="324"/>
      <c r="H100" s="337"/>
      <c r="I100" s="333"/>
      <c r="J100" s="324"/>
      <c r="K100" s="337"/>
      <c r="L100" s="335"/>
      <c r="M100" s="324"/>
      <c r="N100" s="331"/>
      <c r="O100" s="331"/>
      <c r="P100" s="328"/>
      <c r="Q100" s="309"/>
      <c r="R100" s="332"/>
      <c r="S100" s="332"/>
      <c r="T100" s="332"/>
      <c r="U100" s="309"/>
      <c r="V100" s="309"/>
      <c r="W100" s="309"/>
      <c r="X100" s="309"/>
      <c r="Y100" s="309"/>
      <c r="Z100" s="309"/>
      <c r="AA100" s="309"/>
      <c r="AB100" s="309"/>
      <c r="AC100" s="309"/>
      <c r="AD100" s="309"/>
      <c r="AE100" s="309"/>
      <c r="AF100" s="309"/>
      <c r="AG100" s="309"/>
      <c r="AH100" s="309"/>
      <c r="AI100" s="309"/>
    </row>
    <row r="101" customFormat="false" ht="37.5" hidden="false" customHeight="true" outlineLevel="0" collapsed="false">
      <c r="A101" s="322" t="n">
        <v>91</v>
      </c>
      <c r="B101" s="325" t="s">
        <v>878</v>
      </c>
      <c r="C101" s="325" t="s">
        <v>56</v>
      </c>
      <c r="D101" s="326" t="n">
        <f aca="false">16</f>
        <v>16</v>
      </c>
      <c r="E101" s="337"/>
      <c r="F101" s="330"/>
      <c r="G101" s="324"/>
      <c r="H101" s="337"/>
      <c r="I101" s="333"/>
      <c r="J101" s="324"/>
      <c r="K101" s="337"/>
      <c r="L101" s="335"/>
      <c r="M101" s="324"/>
      <c r="N101" s="331"/>
      <c r="O101" s="331"/>
      <c r="P101" s="328"/>
      <c r="Q101" s="309"/>
      <c r="R101" s="332"/>
      <c r="S101" s="332"/>
      <c r="T101" s="332"/>
      <c r="U101" s="309"/>
      <c r="V101" s="309"/>
      <c r="W101" s="309"/>
      <c r="X101" s="309"/>
      <c r="Y101" s="309"/>
      <c r="Z101" s="309"/>
      <c r="AA101" s="309"/>
      <c r="AB101" s="309"/>
      <c r="AC101" s="309"/>
      <c r="AD101" s="309"/>
      <c r="AE101" s="309"/>
      <c r="AF101" s="309"/>
      <c r="AG101" s="309"/>
      <c r="AH101" s="309"/>
      <c r="AI101" s="309"/>
    </row>
    <row r="102" customFormat="false" ht="37.5" hidden="false" customHeight="true" outlineLevel="0" collapsed="false">
      <c r="A102" s="322" t="n">
        <v>92</v>
      </c>
      <c r="B102" s="325" t="s">
        <v>879</v>
      </c>
      <c r="C102" s="325" t="s">
        <v>56</v>
      </c>
      <c r="D102" s="326" t="n">
        <f aca="false">12</f>
        <v>12</v>
      </c>
      <c r="E102" s="337"/>
      <c r="F102" s="330"/>
      <c r="G102" s="324"/>
      <c r="H102" s="337"/>
      <c r="I102" s="333"/>
      <c r="J102" s="324"/>
      <c r="K102" s="337"/>
      <c r="L102" s="335"/>
      <c r="M102" s="324"/>
      <c r="N102" s="331"/>
      <c r="O102" s="331"/>
      <c r="P102" s="328"/>
      <c r="Q102" s="309"/>
      <c r="R102" s="332"/>
      <c r="S102" s="332"/>
      <c r="T102" s="332"/>
      <c r="U102" s="309"/>
      <c r="V102" s="309"/>
      <c r="W102" s="309"/>
      <c r="X102" s="309"/>
      <c r="Y102" s="309"/>
      <c r="Z102" s="309"/>
      <c r="AA102" s="309"/>
      <c r="AB102" s="309"/>
      <c r="AC102" s="309"/>
      <c r="AD102" s="309"/>
      <c r="AE102" s="309"/>
      <c r="AF102" s="309"/>
      <c r="AG102" s="309"/>
      <c r="AH102" s="309"/>
      <c r="AI102" s="309"/>
    </row>
    <row r="103" customFormat="false" ht="37.5" hidden="true" customHeight="true" outlineLevel="0" collapsed="false">
      <c r="A103" s="322"/>
      <c r="B103" s="325"/>
      <c r="C103" s="325"/>
      <c r="D103" s="326"/>
      <c r="E103" s="350"/>
      <c r="F103" s="330"/>
      <c r="G103" s="324"/>
      <c r="H103" s="350"/>
      <c r="I103" s="333"/>
      <c r="J103" s="324"/>
      <c r="K103" s="344"/>
      <c r="L103" s="335"/>
      <c r="M103" s="324"/>
      <c r="N103" s="331"/>
      <c r="O103" s="331"/>
      <c r="P103" s="328"/>
      <c r="Q103" s="309"/>
      <c r="R103" s="332"/>
      <c r="S103" s="332"/>
      <c r="T103" s="332"/>
      <c r="U103" s="309"/>
      <c r="V103" s="309"/>
      <c r="W103" s="309"/>
      <c r="X103" s="309"/>
      <c r="Y103" s="309"/>
      <c r="Z103" s="309"/>
      <c r="AA103" s="309"/>
      <c r="AB103" s="309"/>
      <c r="AC103" s="309"/>
      <c r="AD103" s="309"/>
      <c r="AE103" s="309"/>
      <c r="AF103" s="309"/>
      <c r="AG103" s="309"/>
      <c r="AH103" s="309"/>
      <c r="AI103" s="309"/>
    </row>
    <row r="104" customFormat="false" ht="39" hidden="false" customHeight="true" outlineLevel="0" collapsed="false">
      <c r="A104" s="322" t="n">
        <v>93</v>
      </c>
      <c r="B104" s="325" t="s">
        <v>880</v>
      </c>
      <c r="C104" s="325" t="s">
        <v>56</v>
      </c>
      <c r="D104" s="326" t="n">
        <f aca="false">1</f>
        <v>1</v>
      </c>
      <c r="E104" s="337"/>
      <c r="F104" s="330"/>
      <c r="G104" s="324"/>
      <c r="H104" s="337"/>
      <c r="I104" s="333"/>
      <c r="J104" s="324"/>
      <c r="K104" s="337"/>
      <c r="L104" s="335"/>
      <c r="M104" s="324"/>
      <c r="N104" s="331"/>
      <c r="O104" s="331"/>
      <c r="P104" s="328"/>
      <c r="Q104" s="309"/>
      <c r="R104" s="332"/>
      <c r="S104" s="332"/>
      <c r="T104" s="332"/>
      <c r="U104" s="309"/>
      <c r="V104" s="309"/>
      <c r="W104" s="309"/>
      <c r="X104" s="309"/>
      <c r="Y104" s="309"/>
      <c r="Z104" s="309"/>
      <c r="AA104" s="309"/>
      <c r="AB104" s="309"/>
      <c r="AC104" s="309"/>
      <c r="AD104" s="309"/>
      <c r="AE104" s="309"/>
      <c r="AF104" s="309"/>
      <c r="AG104" s="309"/>
      <c r="AH104" s="309"/>
      <c r="AI104" s="309"/>
    </row>
    <row r="105" customFormat="false" ht="35.25" hidden="false" customHeight="true" outlineLevel="0" collapsed="false">
      <c r="A105" s="322" t="n">
        <v>94</v>
      </c>
      <c r="B105" s="325" t="s">
        <v>881</v>
      </c>
      <c r="C105" s="325" t="s">
        <v>56</v>
      </c>
      <c r="D105" s="326" t="n">
        <f aca="false">10+4+4+4+4+1</f>
        <v>27</v>
      </c>
      <c r="E105" s="337"/>
      <c r="F105" s="330"/>
      <c r="G105" s="324"/>
      <c r="H105" s="337"/>
      <c r="I105" s="333"/>
      <c r="J105" s="324"/>
      <c r="K105" s="337"/>
      <c r="L105" s="335"/>
      <c r="M105" s="324"/>
      <c r="N105" s="331"/>
      <c r="O105" s="331"/>
      <c r="P105" s="328"/>
      <c r="Q105" s="309"/>
      <c r="R105" s="332"/>
      <c r="S105" s="332"/>
      <c r="T105" s="332"/>
      <c r="U105" s="309"/>
      <c r="V105" s="309"/>
      <c r="W105" s="309"/>
      <c r="X105" s="309"/>
      <c r="Y105" s="309"/>
      <c r="Z105" s="309"/>
      <c r="AA105" s="309"/>
      <c r="AB105" s="309"/>
      <c r="AC105" s="309"/>
      <c r="AD105" s="309"/>
      <c r="AE105" s="309"/>
      <c r="AF105" s="309"/>
      <c r="AG105" s="309"/>
      <c r="AH105" s="309"/>
      <c r="AI105" s="309"/>
    </row>
    <row r="106" customFormat="false" ht="36.75" hidden="false" customHeight="true" outlineLevel="0" collapsed="false">
      <c r="A106" s="322" t="n">
        <v>95</v>
      </c>
      <c r="B106" s="325" t="s">
        <v>679</v>
      </c>
      <c r="C106" s="325" t="s">
        <v>56</v>
      </c>
      <c r="D106" s="326" t="n">
        <f aca="false">15+4+4+30+1+6+10</f>
        <v>70</v>
      </c>
      <c r="E106" s="350"/>
      <c r="F106" s="351"/>
      <c r="G106" s="324"/>
      <c r="H106" s="350"/>
      <c r="I106" s="333"/>
      <c r="J106" s="324"/>
      <c r="K106" s="344"/>
      <c r="L106" s="352"/>
      <c r="M106" s="324"/>
      <c r="N106" s="331"/>
      <c r="O106" s="331"/>
      <c r="P106" s="328"/>
      <c r="Q106" s="309"/>
      <c r="R106" s="332"/>
      <c r="S106" s="332"/>
      <c r="T106" s="332"/>
      <c r="U106" s="309"/>
      <c r="V106" s="309"/>
      <c r="W106" s="309"/>
      <c r="X106" s="309"/>
      <c r="Y106" s="309"/>
      <c r="Z106" s="309"/>
      <c r="AA106" s="309"/>
      <c r="AB106" s="309"/>
      <c r="AC106" s="309"/>
      <c r="AD106" s="309"/>
      <c r="AE106" s="309"/>
      <c r="AF106" s="309"/>
      <c r="AG106" s="309"/>
      <c r="AH106" s="309"/>
      <c r="AI106" s="309"/>
    </row>
    <row r="107" customFormat="false" ht="36.75" hidden="false" customHeight="true" outlineLevel="0" collapsed="false">
      <c r="A107" s="322" t="n">
        <v>96</v>
      </c>
      <c r="B107" s="325" t="s">
        <v>882</v>
      </c>
      <c r="C107" s="325" t="s">
        <v>56</v>
      </c>
      <c r="D107" s="326" t="n">
        <f aca="false">6+9+10+2+1+4+4</f>
        <v>36</v>
      </c>
      <c r="E107" s="350"/>
      <c r="F107" s="351"/>
      <c r="G107" s="324"/>
      <c r="H107" s="350"/>
      <c r="I107" s="333"/>
      <c r="J107" s="324"/>
      <c r="K107" s="344"/>
      <c r="L107" s="352"/>
      <c r="M107" s="324"/>
      <c r="N107" s="331"/>
      <c r="O107" s="331"/>
      <c r="P107" s="328"/>
      <c r="Q107" s="309"/>
      <c r="R107" s="332"/>
      <c r="S107" s="332"/>
      <c r="T107" s="332"/>
      <c r="U107" s="309"/>
      <c r="V107" s="309"/>
      <c r="W107" s="309"/>
      <c r="X107" s="309"/>
      <c r="Y107" s="309"/>
      <c r="Z107" s="309"/>
      <c r="AA107" s="309"/>
      <c r="AB107" s="309"/>
      <c r="AC107" s="309"/>
      <c r="AD107" s="309"/>
      <c r="AE107" s="309"/>
      <c r="AF107" s="309"/>
      <c r="AG107" s="309"/>
      <c r="AH107" s="309"/>
      <c r="AI107" s="309"/>
    </row>
    <row r="108" customFormat="false" ht="36.75" hidden="false" customHeight="true" outlineLevel="0" collapsed="false">
      <c r="A108" s="322" t="n">
        <v>97</v>
      </c>
      <c r="B108" s="325" t="s">
        <v>883</v>
      </c>
      <c r="C108" s="325" t="s">
        <v>56</v>
      </c>
      <c r="D108" s="326" t="n">
        <f aca="false">1</f>
        <v>1</v>
      </c>
      <c r="E108" s="350"/>
      <c r="F108" s="351"/>
      <c r="G108" s="324"/>
      <c r="H108" s="350"/>
      <c r="I108" s="333"/>
      <c r="J108" s="324"/>
      <c r="K108" s="344"/>
      <c r="L108" s="352"/>
      <c r="M108" s="324"/>
      <c r="N108" s="331"/>
      <c r="O108" s="331"/>
      <c r="P108" s="328"/>
      <c r="Q108" s="309"/>
      <c r="R108" s="332"/>
      <c r="S108" s="332"/>
      <c r="T108" s="332"/>
      <c r="U108" s="309"/>
      <c r="V108" s="309"/>
      <c r="W108" s="309"/>
      <c r="X108" s="309"/>
      <c r="Y108" s="309"/>
      <c r="Z108" s="309"/>
      <c r="AA108" s="309"/>
      <c r="AB108" s="309"/>
      <c r="AC108" s="309"/>
      <c r="AD108" s="309"/>
      <c r="AE108" s="309"/>
      <c r="AF108" s="309"/>
      <c r="AG108" s="309"/>
      <c r="AH108" s="309"/>
      <c r="AI108" s="309"/>
    </row>
    <row r="109" customFormat="false" ht="36.75" hidden="false" customHeight="true" outlineLevel="0" collapsed="false">
      <c r="A109" s="322" t="n">
        <v>98</v>
      </c>
      <c r="B109" s="325" t="s">
        <v>884</v>
      </c>
      <c r="C109" s="325" t="s">
        <v>56</v>
      </c>
      <c r="D109" s="326" t="n">
        <f aca="false">1</f>
        <v>1</v>
      </c>
      <c r="E109" s="350"/>
      <c r="F109" s="351"/>
      <c r="G109" s="324"/>
      <c r="H109" s="350"/>
      <c r="I109" s="333"/>
      <c r="J109" s="324"/>
      <c r="K109" s="344"/>
      <c r="L109" s="352"/>
      <c r="M109" s="324"/>
      <c r="N109" s="331"/>
      <c r="O109" s="331"/>
      <c r="P109" s="328"/>
      <c r="Q109" s="309"/>
      <c r="R109" s="332"/>
      <c r="S109" s="332"/>
      <c r="T109" s="332"/>
      <c r="U109" s="309"/>
      <c r="V109" s="309"/>
      <c r="W109" s="309"/>
      <c r="X109" s="309"/>
      <c r="Y109" s="309"/>
      <c r="Z109" s="309"/>
      <c r="AA109" s="309"/>
      <c r="AB109" s="309"/>
      <c r="AC109" s="309"/>
      <c r="AD109" s="309"/>
      <c r="AE109" s="309"/>
      <c r="AF109" s="309"/>
      <c r="AG109" s="309"/>
      <c r="AH109" s="309"/>
      <c r="AI109" s="309"/>
    </row>
    <row r="110" customFormat="false" ht="36.75" hidden="false" customHeight="true" outlineLevel="0" collapsed="false">
      <c r="A110" s="322" t="n">
        <v>99</v>
      </c>
      <c r="B110" s="325" t="s">
        <v>885</v>
      </c>
      <c r="C110" s="325" t="s">
        <v>56</v>
      </c>
      <c r="D110" s="326" t="n">
        <f aca="false">3+6+4+1</f>
        <v>14</v>
      </c>
      <c r="E110" s="350"/>
      <c r="F110" s="351"/>
      <c r="G110" s="324"/>
      <c r="H110" s="350"/>
      <c r="I110" s="333"/>
      <c r="J110" s="324"/>
      <c r="K110" s="344"/>
      <c r="L110" s="352"/>
      <c r="M110" s="324"/>
      <c r="N110" s="331"/>
      <c r="O110" s="331"/>
      <c r="P110" s="328"/>
      <c r="Q110" s="309"/>
      <c r="R110" s="332"/>
      <c r="S110" s="332"/>
      <c r="T110" s="332"/>
      <c r="U110" s="309"/>
      <c r="V110" s="309"/>
      <c r="W110" s="309"/>
      <c r="X110" s="309"/>
      <c r="Y110" s="309"/>
      <c r="Z110" s="309"/>
      <c r="AA110" s="309"/>
      <c r="AB110" s="309"/>
      <c r="AC110" s="309"/>
      <c r="AD110" s="309"/>
      <c r="AE110" s="309"/>
      <c r="AF110" s="309"/>
      <c r="AG110" s="309"/>
      <c r="AH110" s="309"/>
      <c r="AI110" s="309"/>
    </row>
    <row r="111" customFormat="false" ht="42" hidden="false" customHeight="true" outlineLevel="0" collapsed="false">
      <c r="A111" s="322" t="n">
        <v>100</v>
      </c>
      <c r="B111" s="325" t="s">
        <v>886</v>
      </c>
      <c r="C111" s="325" t="s">
        <v>31</v>
      </c>
      <c r="D111" s="326" t="n">
        <f aca="false">22.2+61.2+22.2</f>
        <v>105.6</v>
      </c>
      <c r="E111" s="350"/>
      <c r="F111" s="351"/>
      <c r="G111" s="324"/>
      <c r="H111" s="337"/>
      <c r="I111" s="333"/>
      <c r="J111" s="324"/>
      <c r="K111" s="344"/>
      <c r="L111" s="352"/>
      <c r="M111" s="324"/>
      <c r="N111" s="331"/>
      <c r="O111" s="331"/>
      <c r="P111" s="328"/>
      <c r="Q111" s="309"/>
      <c r="R111" s="332"/>
      <c r="S111" s="332"/>
      <c r="T111" s="332"/>
      <c r="U111" s="309"/>
      <c r="V111" s="309"/>
      <c r="W111" s="309"/>
      <c r="X111" s="309"/>
      <c r="Y111" s="309"/>
      <c r="Z111" s="309"/>
      <c r="AA111" s="309"/>
      <c r="AB111" s="309"/>
      <c r="AC111" s="309"/>
      <c r="AD111" s="309"/>
      <c r="AE111" s="309"/>
      <c r="AF111" s="309"/>
      <c r="AG111" s="309"/>
      <c r="AH111" s="309"/>
      <c r="AI111" s="309"/>
    </row>
    <row r="112" customFormat="false" ht="44.25" hidden="false" customHeight="true" outlineLevel="0" collapsed="false">
      <c r="A112" s="322" t="n">
        <v>101</v>
      </c>
      <c r="B112" s="325" t="s">
        <v>887</v>
      </c>
      <c r="C112" s="325" t="s">
        <v>56</v>
      </c>
      <c r="D112" s="326" t="n">
        <f aca="false">1</f>
        <v>1</v>
      </c>
      <c r="E112" s="350"/>
      <c r="F112" s="351"/>
      <c r="G112" s="324"/>
      <c r="H112" s="350"/>
      <c r="I112" s="333"/>
      <c r="J112" s="324"/>
      <c r="K112" s="344"/>
      <c r="L112" s="352"/>
      <c r="M112" s="324"/>
      <c r="N112" s="331"/>
      <c r="O112" s="331"/>
      <c r="P112" s="328"/>
      <c r="Q112" s="309"/>
      <c r="R112" s="332"/>
      <c r="S112" s="332"/>
      <c r="T112" s="332"/>
      <c r="U112" s="309"/>
      <c r="V112" s="309"/>
      <c r="W112" s="309"/>
      <c r="X112" s="309"/>
      <c r="Y112" s="309"/>
      <c r="Z112" s="309"/>
      <c r="AA112" s="309"/>
      <c r="AB112" s="309"/>
      <c r="AC112" s="309"/>
      <c r="AD112" s="309"/>
      <c r="AE112" s="309"/>
      <c r="AF112" s="309"/>
      <c r="AG112" s="309"/>
      <c r="AH112" s="309"/>
      <c r="AI112" s="309"/>
    </row>
    <row r="113" customFormat="false" ht="39" hidden="false" customHeight="true" outlineLevel="0" collapsed="false">
      <c r="A113" s="322" t="n">
        <v>103</v>
      </c>
      <c r="B113" s="325" t="s">
        <v>888</v>
      </c>
      <c r="C113" s="325" t="s">
        <v>31</v>
      </c>
      <c r="D113" s="326" t="n">
        <f aca="false">5.2+5.2</f>
        <v>10.4</v>
      </c>
      <c r="E113" s="337"/>
      <c r="F113" s="330"/>
      <c r="G113" s="324"/>
      <c r="H113" s="337"/>
      <c r="I113" s="333"/>
      <c r="J113" s="324"/>
      <c r="K113" s="337"/>
      <c r="L113" s="335"/>
      <c r="M113" s="324"/>
      <c r="N113" s="331"/>
      <c r="O113" s="331"/>
      <c r="P113" s="328"/>
      <c r="Q113" s="309"/>
      <c r="R113" s="332"/>
      <c r="S113" s="332"/>
      <c r="T113" s="332"/>
      <c r="U113" s="309"/>
      <c r="V113" s="309"/>
      <c r="W113" s="309"/>
      <c r="X113" s="309"/>
      <c r="Y113" s="309"/>
      <c r="Z113" s="309"/>
      <c r="AA113" s="309"/>
      <c r="AB113" s="309"/>
      <c r="AC113" s="309"/>
      <c r="AD113" s="309"/>
      <c r="AE113" s="309"/>
      <c r="AF113" s="309"/>
      <c r="AG113" s="309"/>
      <c r="AH113" s="309"/>
      <c r="AI113" s="309"/>
    </row>
    <row r="114" customFormat="false" ht="36" hidden="false" customHeight="true" outlineLevel="0" collapsed="false">
      <c r="A114" s="322" t="n">
        <v>104</v>
      </c>
      <c r="B114" s="325" t="s">
        <v>889</v>
      </c>
      <c r="C114" s="325" t="s">
        <v>56</v>
      </c>
      <c r="D114" s="326" t="n">
        <f aca="false">1+1</f>
        <v>2</v>
      </c>
      <c r="E114" s="337"/>
      <c r="F114" s="330"/>
      <c r="G114" s="324"/>
      <c r="H114" s="337"/>
      <c r="I114" s="333"/>
      <c r="J114" s="324"/>
      <c r="K114" s="337"/>
      <c r="L114" s="335"/>
      <c r="M114" s="324"/>
      <c r="N114" s="331"/>
      <c r="O114" s="331"/>
      <c r="P114" s="328"/>
      <c r="Q114" s="309"/>
      <c r="R114" s="332"/>
      <c r="S114" s="332"/>
      <c r="T114" s="332"/>
      <c r="U114" s="309"/>
      <c r="V114" s="309"/>
      <c r="W114" s="309"/>
      <c r="X114" s="309"/>
      <c r="Y114" s="309"/>
      <c r="Z114" s="309"/>
      <c r="AA114" s="309"/>
      <c r="AB114" s="309"/>
      <c r="AC114" s="309"/>
      <c r="AD114" s="309"/>
      <c r="AE114" s="309"/>
      <c r="AF114" s="309"/>
      <c r="AG114" s="309"/>
      <c r="AH114" s="309"/>
      <c r="AI114" s="309"/>
    </row>
    <row r="115" customFormat="false" ht="40.7" hidden="false" customHeight="true" outlineLevel="0" collapsed="false">
      <c r="A115" s="322" t="n">
        <v>105</v>
      </c>
      <c r="B115" s="325" t="s">
        <v>890</v>
      </c>
      <c r="C115" s="325" t="s">
        <v>56</v>
      </c>
      <c r="D115" s="326" t="n">
        <f aca="false">9</f>
        <v>9</v>
      </c>
      <c r="E115" s="327"/>
      <c r="F115" s="330"/>
      <c r="G115" s="324"/>
      <c r="H115" s="353"/>
      <c r="I115" s="333"/>
      <c r="J115" s="324"/>
      <c r="K115" s="354"/>
      <c r="L115" s="335"/>
      <c r="M115" s="324"/>
      <c r="N115" s="331"/>
      <c r="O115" s="331"/>
      <c r="P115" s="328"/>
      <c r="Q115" s="309"/>
      <c r="R115" s="332"/>
      <c r="S115" s="332"/>
      <c r="T115" s="332"/>
      <c r="U115" s="309"/>
      <c r="V115" s="309"/>
      <c r="W115" s="309"/>
      <c r="X115" s="309"/>
      <c r="Y115" s="309"/>
      <c r="Z115" s="309"/>
      <c r="AA115" s="309"/>
      <c r="AB115" s="309"/>
      <c r="AC115" s="309"/>
      <c r="AD115" s="309"/>
      <c r="AE115" s="309"/>
      <c r="AF115" s="309"/>
      <c r="AG115" s="309"/>
      <c r="AH115" s="309"/>
      <c r="AI115" s="309"/>
    </row>
    <row r="116" customFormat="false" ht="36" hidden="false" customHeight="true" outlineLevel="0" collapsed="false">
      <c r="A116" s="322" t="n">
        <v>106</v>
      </c>
      <c r="B116" s="325" t="s">
        <v>891</v>
      </c>
      <c r="C116" s="325" t="s">
        <v>56</v>
      </c>
      <c r="D116" s="326" t="n">
        <f aca="false">24</f>
        <v>24</v>
      </c>
      <c r="E116" s="337"/>
      <c r="F116" s="330"/>
      <c r="G116" s="324"/>
      <c r="H116" s="355"/>
      <c r="I116" s="333"/>
      <c r="J116" s="324"/>
      <c r="K116" s="338"/>
      <c r="L116" s="335"/>
      <c r="M116" s="324"/>
      <c r="N116" s="331"/>
      <c r="O116" s="331"/>
      <c r="P116" s="328"/>
      <c r="Q116" s="309"/>
      <c r="R116" s="356"/>
      <c r="S116" s="332"/>
      <c r="T116" s="332"/>
      <c r="U116" s="309"/>
      <c r="V116" s="309"/>
      <c r="W116" s="309"/>
      <c r="X116" s="309"/>
      <c r="Y116" s="309"/>
      <c r="Z116" s="309"/>
      <c r="AA116" s="309"/>
      <c r="AB116" s="309"/>
      <c r="AC116" s="309"/>
      <c r="AD116" s="309"/>
      <c r="AE116" s="309"/>
      <c r="AF116" s="309"/>
      <c r="AG116" s="309"/>
      <c r="AH116" s="309"/>
      <c r="AI116" s="309"/>
    </row>
    <row r="117" customFormat="false" ht="36" hidden="false" customHeight="true" outlineLevel="0" collapsed="false">
      <c r="A117" s="322" t="n">
        <v>107</v>
      </c>
      <c r="B117" s="325" t="s">
        <v>892</v>
      </c>
      <c r="C117" s="325" t="s">
        <v>31</v>
      </c>
      <c r="D117" s="326" t="n">
        <f aca="false">40</f>
        <v>40</v>
      </c>
      <c r="E117" s="337"/>
      <c r="F117" s="330"/>
      <c r="G117" s="324"/>
      <c r="H117" s="357"/>
      <c r="I117" s="333"/>
      <c r="J117" s="324"/>
      <c r="K117" s="357"/>
      <c r="L117" s="335"/>
      <c r="M117" s="324"/>
      <c r="N117" s="331"/>
      <c r="O117" s="331"/>
      <c r="P117" s="328"/>
      <c r="Q117" s="309"/>
      <c r="R117" s="332"/>
      <c r="S117" s="332"/>
      <c r="T117" s="332"/>
      <c r="U117" s="309"/>
      <c r="V117" s="309"/>
      <c r="W117" s="309"/>
      <c r="X117" s="309"/>
      <c r="Y117" s="309"/>
      <c r="Z117" s="309"/>
      <c r="AA117" s="309"/>
      <c r="AB117" s="309"/>
      <c r="AC117" s="309"/>
      <c r="AD117" s="309"/>
      <c r="AE117" s="309"/>
      <c r="AF117" s="309"/>
      <c r="AG117" s="309"/>
      <c r="AH117" s="309"/>
      <c r="AI117" s="309"/>
    </row>
    <row r="118" customFormat="false" ht="36" hidden="false" customHeight="true" outlineLevel="0" collapsed="false">
      <c r="A118" s="322" t="n">
        <v>108</v>
      </c>
      <c r="B118" s="325" t="s">
        <v>893</v>
      </c>
      <c r="C118" s="325" t="s">
        <v>31</v>
      </c>
      <c r="D118" s="326" t="n">
        <f aca="false">20+100+12</f>
        <v>132</v>
      </c>
      <c r="E118" s="337"/>
      <c r="F118" s="330"/>
      <c r="G118" s="324"/>
      <c r="H118" s="357"/>
      <c r="I118" s="333"/>
      <c r="J118" s="324"/>
      <c r="K118" s="357"/>
      <c r="L118" s="335"/>
      <c r="M118" s="324"/>
      <c r="N118" s="331"/>
      <c r="O118" s="331"/>
      <c r="P118" s="328"/>
      <c r="Q118" s="309"/>
      <c r="R118" s="332"/>
      <c r="S118" s="332"/>
      <c r="T118" s="332"/>
      <c r="U118" s="309"/>
      <c r="V118" s="309"/>
      <c r="W118" s="309"/>
      <c r="X118" s="309"/>
      <c r="Y118" s="309"/>
      <c r="Z118" s="309"/>
      <c r="AA118" s="309"/>
      <c r="AB118" s="309"/>
      <c r="AC118" s="309"/>
      <c r="AD118" s="309"/>
      <c r="AE118" s="309"/>
      <c r="AF118" s="309"/>
      <c r="AG118" s="309"/>
      <c r="AH118" s="309"/>
      <c r="AI118" s="309"/>
    </row>
    <row r="119" customFormat="false" ht="36" hidden="false" customHeight="true" outlineLevel="0" collapsed="false">
      <c r="A119" s="322" t="n">
        <v>109</v>
      </c>
      <c r="B119" s="325" t="s">
        <v>894</v>
      </c>
      <c r="C119" s="325" t="s">
        <v>31</v>
      </c>
      <c r="D119" s="326" t="n">
        <f aca="false">(25*7)</f>
        <v>175</v>
      </c>
      <c r="E119" s="337"/>
      <c r="F119" s="330"/>
      <c r="G119" s="324"/>
      <c r="H119" s="357"/>
      <c r="I119" s="333"/>
      <c r="J119" s="324"/>
      <c r="K119" s="357"/>
      <c r="L119" s="335"/>
      <c r="M119" s="324"/>
      <c r="N119" s="331"/>
      <c r="O119" s="331"/>
      <c r="P119" s="328"/>
      <c r="Q119" s="309"/>
      <c r="R119" s="332"/>
      <c r="S119" s="332"/>
      <c r="T119" s="332"/>
      <c r="U119" s="309"/>
      <c r="V119" s="309"/>
      <c r="W119" s="309"/>
      <c r="X119" s="309"/>
      <c r="Y119" s="309"/>
      <c r="Z119" s="309"/>
      <c r="AA119" s="309"/>
      <c r="AB119" s="309"/>
      <c r="AC119" s="309"/>
      <c r="AD119" s="309"/>
      <c r="AE119" s="309"/>
      <c r="AF119" s="309"/>
      <c r="AG119" s="309"/>
      <c r="AH119" s="309"/>
      <c r="AI119" s="309"/>
    </row>
    <row r="120" customFormat="false" ht="36" hidden="false" customHeight="true" outlineLevel="0" collapsed="false">
      <c r="A120" s="322" t="n">
        <v>110</v>
      </c>
      <c r="B120" s="325" t="s">
        <v>895</v>
      </c>
      <c r="C120" s="325" t="s">
        <v>56</v>
      </c>
      <c r="D120" s="326" t="n">
        <f aca="false">3+2+3+3</f>
        <v>11</v>
      </c>
      <c r="E120" s="337"/>
      <c r="F120" s="330"/>
      <c r="G120" s="324"/>
      <c r="H120" s="357"/>
      <c r="I120" s="333"/>
      <c r="J120" s="324"/>
      <c r="K120" s="357"/>
      <c r="L120" s="335"/>
      <c r="M120" s="324"/>
      <c r="N120" s="331"/>
      <c r="O120" s="331"/>
      <c r="P120" s="328"/>
      <c r="Q120" s="309"/>
      <c r="R120" s="332"/>
      <c r="S120" s="332"/>
      <c r="T120" s="332"/>
      <c r="U120" s="309"/>
      <c r="V120" s="309"/>
      <c r="W120" s="309"/>
      <c r="X120" s="309"/>
      <c r="Y120" s="309"/>
      <c r="Z120" s="309"/>
      <c r="AA120" s="309"/>
      <c r="AB120" s="309"/>
      <c r="AC120" s="309"/>
      <c r="AD120" s="309"/>
      <c r="AE120" s="309"/>
      <c r="AF120" s="309"/>
      <c r="AG120" s="309"/>
      <c r="AH120" s="309"/>
      <c r="AI120" s="309"/>
    </row>
    <row r="121" customFormat="false" ht="36" hidden="false" customHeight="true" outlineLevel="0" collapsed="false">
      <c r="A121" s="322" t="n">
        <v>111</v>
      </c>
      <c r="B121" s="325" t="s">
        <v>896</v>
      </c>
      <c r="C121" s="325" t="s">
        <v>31</v>
      </c>
      <c r="D121" s="326" t="n">
        <f aca="false">1500</f>
        <v>1500</v>
      </c>
      <c r="E121" s="337"/>
      <c r="F121" s="330"/>
      <c r="G121" s="324"/>
      <c r="H121" s="357"/>
      <c r="I121" s="333"/>
      <c r="J121" s="324"/>
      <c r="K121" s="357"/>
      <c r="L121" s="335"/>
      <c r="M121" s="324"/>
      <c r="N121" s="331"/>
      <c r="O121" s="331"/>
      <c r="P121" s="328"/>
      <c r="Q121" s="309"/>
      <c r="R121" s="332"/>
      <c r="S121" s="332"/>
      <c r="T121" s="332"/>
      <c r="U121" s="309"/>
      <c r="V121" s="309"/>
      <c r="W121" s="309"/>
      <c r="X121" s="309"/>
      <c r="Y121" s="309"/>
      <c r="Z121" s="309"/>
      <c r="AA121" s="309"/>
      <c r="AB121" s="309"/>
      <c r="AC121" s="309"/>
      <c r="AD121" s="309"/>
      <c r="AE121" s="309"/>
      <c r="AF121" s="309"/>
      <c r="AG121" s="309"/>
      <c r="AH121" s="309"/>
      <c r="AI121" s="309"/>
    </row>
    <row r="122" customFormat="false" ht="36" hidden="false" customHeight="true" outlineLevel="0" collapsed="false">
      <c r="A122" s="322" t="n">
        <v>112</v>
      </c>
      <c r="B122" s="325" t="s">
        <v>897</v>
      </c>
      <c r="C122" s="325" t="s">
        <v>31</v>
      </c>
      <c r="D122" s="326" t="n">
        <f aca="false">150</f>
        <v>150</v>
      </c>
      <c r="E122" s="337"/>
      <c r="F122" s="330"/>
      <c r="G122" s="324"/>
      <c r="H122" s="357"/>
      <c r="I122" s="333"/>
      <c r="J122" s="324"/>
      <c r="K122" s="357"/>
      <c r="L122" s="335"/>
      <c r="M122" s="324"/>
      <c r="N122" s="331"/>
      <c r="O122" s="331"/>
      <c r="P122" s="328"/>
      <c r="Q122" s="309"/>
      <c r="R122" s="332"/>
      <c r="S122" s="332"/>
      <c r="T122" s="332"/>
      <c r="U122" s="309"/>
      <c r="V122" s="309"/>
      <c r="W122" s="309"/>
      <c r="X122" s="309"/>
      <c r="Y122" s="309"/>
      <c r="Z122" s="309"/>
      <c r="AA122" s="309"/>
      <c r="AB122" s="309"/>
      <c r="AC122" s="309"/>
      <c r="AD122" s="309"/>
      <c r="AE122" s="309"/>
      <c r="AF122" s="309"/>
      <c r="AG122" s="309"/>
      <c r="AH122" s="309"/>
      <c r="AI122" s="309"/>
    </row>
    <row r="123" customFormat="false" ht="36" hidden="false" customHeight="true" outlineLevel="0" collapsed="false">
      <c r="A123" s="322" t="n">
        <v>113</v>
      </c>
      <c r="B123" s="325" t="s">
        <v>898</v>
      </c>
      <c r="C123" s="325" t="s">
        <v>31</v>
      </c>
      <c r="D123" s="326" t="n">
        <f aca="false">172</f>
        <v>172</v>
      </c>
      <c r="E123" s="337"/>
      <c r="F123" s="330"/>
      <c r="G123" s="324"/>
      <c r="H123" s="357"/>
      <c r="I123" s="333"/>
      <c r="J123" s="324"/>
      <c r="K123" s="357"/>
      <c r="L123" s="335"/>
      <c r="M123" s="324"/>
      <c r="N123" s="331"/>
      <c r="O123" s="331"/>
      <c r="P123" s="328"/>
      <c r="Q123" s="309"/>
      <c r="R123" s="332"/>
      <c r="S123" s="332"/>
      <c r="T123" s="332"/>
      <c r="U123" s="309"/>
      <c r="V123" s="309"/>
      <c r="W123" s="309"/>
      <c r="X123" s="309"/>
      <c r="Y123" s="309"/>
      <c r="Z123" s="309"/>
      <c r="AA123" s="309"/>
      <c r="AB123" s="309"/>
      <c r="AC123" s="309"/>
      <c r="AD123" s="309"/>
      <c r="AE123" s="309"/>
      <c r="AF123" s="309"/>
      <c r="AG123" s="309"/>
      <c r="AH123" s="309"/>
      <c r="AI123" s="309"/>
    </row>
    <row r="124" customFormat="false" ht="36" hidden="false" customHeight="true" outlineLevel="0" collapsed="false">
      <c r="A124" s="322" t="n">
        <v>114</v>
      </c>
      <c r="B124" s="325" t="s">
        <v>899</v>
      </c>
      <c r="C124" s="325" t="s">
        <v>31</v>
      </c>
      <c r="D124" s="326" t="n">
        <f aca="false">300+146+167+225+4+4+83.5+50+5+168+339+6+62</f>
        <v>1559.5</v>
      </c>
      <c r="E124" s="337"/>
      <c r="F124" s="330"/>
      <c r="G124" s="324"/>
      <c r="H124" s="357"/>
      <c r="I124" s="333"/>
      <c r="J124" s="324"/>
      <c r="K124" s="357"/>
      <c r="L124" s="335"/>
      <c r="M124" s="324"/>
      <c r="N124" s="331"/>
      <c r="O124" s="331"/>
      <c r="P124" s="328"/>
      <c r="Q124" s="309"/>
      <c r="R124" s="332"/>
      <c r="S124" s="332"/>
      <c r="T124" s="332"/>
      <c r="U124" s="309"/>
      <c r="V124" s="309"/>
      <c r="W124" s="309"/>
      <c r="X124" s="309"/>
      <c r="Y124" s="309"/>
      <c r="Z124" s="309"/>
      <c r="AA124" s="309"/>
      <c r="AB124" s="309"/>
      <c r="AC124" s="309"/>
      <c r="AD124" s="309"/>
      <c r="AE124" s="309"/>
      <c r="AF124" s="309"/>
      <c r="AG124" s="309"/>
      <c r="AH124" s="309"/>
      <c r="AI124" s="309"/>
    </row>
    <row r="125" customFormat="false" ht="36" hidden="false" customHeight="true" outlineLevel="0" collapsed="false">
      <c r="A125" s="322" t="n">
        <v>115</v>
      </c>
      <c r="B125" s="325" t="s">
        <v>900</v>
      </c>
      <c r="C125" s="325" t="s">
        <v>31</v>
      </c>
      <c r="D125" s="326" t="n">
        <f aca="false">40</f>
        <v>40</v>
      </c>
      <c r="E125" s="337"/>
      <c r="F125" s="330"/>
      <c r="G125" s="324"/>
      <c r="H125" s="357"/>
      <c r="I125" s="333"/>
      <c r="J125" s="324"/>
      <c r="K125" s="357"/>
      <c r="L125" s="335"/>
      <c r="M125" s="324"/>
      <c r="N125" s="331"/>
      <c r="O125" s="331"/>
      <c r="P125" s="328"/>
      <c r="Q125" s="309"/>
      <c r="R125" s="332"/>
      <c r="S125" s="332"/>
      <c r="T125" s="332"/>
      <c r="U125" s="309"/>
      <c r="V125" s="309"/>
      <c r="W125" s="309"/>
      <c r="X125" s="309"/>
      <c r="Y125" s="309"/>
      <c r="Z125" s="309"/>
      <c r="AA125" s="309"/>
      <c r="AB125" s="309"/>
      <c r="AC125" s="309"/>
      <c r="AD125" s="309"/>
      <c r="AE125" s="309"/>
      <c r="AF125" s="309"/>
      <c r="AG125" s="309"/>
      <c r="AH125" s="309"/>
      <c r="AI125" s="309"/>
    </row>
    <row r="126" customFormat="false" ht="36" hidden="false" customHeight="true" outlineLevel="0" collapsed="false">
      <c r="A126" s="322" t="n">
        <v>116</v>
      </c>
      <c r="B126" s="325" t="s">
        <v>901</v>
      </c>
      <c r="C126" s="325" t="s">
        <v>31</v>
      </c>
      <c r="D126" s="326" t="n">
        <f aca="false">120+80+240+20+100</f>
        <v>560</v>
      </c>
      <c r="E126" s="337"/>
      <c r="F126" s="330"/>
      <c r="G126" s="324"/>
      <c r="H126" s="357"/>
      <c r="I126" s="333"/>
      <c r="J126" s="324"/>
      <c r="K126" s="357"/>
      <c r="L126" s="335"/>
      <c r="M126" s="324"/>
      <c r="N126" s="331"/>
      <c r="O126" s="331"/>
      <c r="P126" s="328"/>
      <c r="Q126" s="309"/>
      <c r="R126" s="332"/>
      <c r="S126" s="332"/>
      <c r="T126" s="332"/>
      <c r="U126" s="309"/>
      <c r="V126" s="309"/>
      <c r="W126" s="309"/>
      <c r="X126" s="309"/>
      <c r="Y126" s="309"/>
      <c r="Z126" s="309"/>
      <c r="AA126" s="309"/>
      <c r="AB126" s="309"/>
      <c r="AC126" s="309"/>
      <c r="AD126" s="309"/>
      <c r="AE126" s="309"/>
      <c r="AF126" s="309"/>
      <c r="AG126" s="309"/>
      <c r="AH126" s="309"/>
      <c r="AI126" s="309"/>
    </row>
    <row r="127" customFormat="false" ht="38.25" hidden="false" customHeight="true" outlineLevel="0" collapsed="false">
      <c r="A127" s="322" t="n">
        <v>117</v>
      </c>
      <c r="B127" s="325" t="s">
        <v>902</v>
      </c>
      <c r="C127" s="325" t="s">
        <v>31</v>
      </c>
      <c r="D127" s="326" t="n">
        <f aca="false">25*5</f>
        <v>125</v>
      </c>
      <c r="E127" s="337"/>
      <c r="F127" s="330"/>
      <c r="G127" s="324"/>
      <c r="H127" s="357"/>
      <c r="I127" s="333"/>
      <c r="J127" s="324"/>
      <c r="K127" s="357"/>
      <c r="L127" s="335"/>
      <c r="M127" s="324"/>
      <c r="N127" s="331"/>
      <c r="O127" s="331"/>
      <c r="P127" s="328"/>
      <c r="Q127" s="309"/>
      <c r="R127" s="332"/>
      <c r="S127" s="332"/>
      <c r="T127" s="332"/>
      <c r="U127" s="309"/>
      <c r="V127" s="309"/>
      <c r="W127" s="309"/>
      <c r="X127" s="309"/>
      <c r="Y127" s="309"/>
      <c r="Z127" s="309"/>
      <c r="AA127" s="309"/>
      <c r="AB127" s="309"/>
      <c r="AC127" s="309"/>
      <c r="AD127" s="309"/>
      <c r="AE127" s="309"/>
      <c r="AF127" s="309"/>
      <c r="AG127" s="309"/>
      <c r="AH127" s="309"/>
      <c r="AI127" s="309"/>
    </row>
    <row r="128" customFormat="false" ht="35.25" hidden="false" customHeight="true" outlineLevel="0" collapsed="false">
      <c r="A128" s="322" t="n">
        <v>118</v>
      </c>
      <c r="B128" s="325" t="s">
        <v>903</v>
      </c>
      <c r="C128" s="325" t="s">
        <v>31</v>
      </c>
      <c r="D128" s="326" t="n">
        <f aca="false">500</f>
        <v>500</v>
      </c>
      <c r="E128" s="337"/>
      <c r="F128" s="330"/>
      <c r="G128" s="324"/>
      <c r="H128" s="357"/>
      <c r="I128" s="333"/>
      <c r="J128" s="324"/>
      <c r="K128" s="357"/>
      <c r="L128" s="335"/>
      <c r="M128" s="324"/>
      <c r="N128" s="331"/>
      <c r="O128" s="331"/>
      <c r="P128" s="328"/>
      <c r="Q128" s="309"/>
      <c r="R128" s="332"/>
      <c r="S128" s="332"/>
      <c r="T128" s="332"/>
      <c r="U128" s="309"/>
      <c r="V128" s="309"/>
      <c r="W128" s="309"/>
      <c r="X128" s="309"/>
      <c r="Y128" s="309"/>
      <c r="Z128" s="309"/>
      <c r="AA128" s="309"/>
      <c r="AB128" s="309"/>
      <c r="AC128" s="309"/>
      <c r="AD128" s="309"/>
      <c r="AE128" s="309"/>
      <c r="AF128" s="309"/>
      <c r="AG128" s="309"/>
      <c r="AH128" s="309"/>
      <c r="AI128" s="309"/>
    </row>
    <row r="129" customFormat="false" ht="33.75" hidden="false" customHeight="true" outlineLevel="0" collapsed="false">
      <c r="A129" s="322" t="n">
        <v>119</v>
      </c>
      <c r="B129" s="325" t="s">
        <v>904</v>
      </c>
      <c r="C129" s="325" t="s">
        <v>31</v>
      </c>
      <c r="D129" s="326" t="n">
        <f aca="false">40</f>
        <v>40</v>
      </c>
      <c r="E129" s="337"/>
      <c r="F129" s="330"/>
      <c r="G129" s="324"/>
      <c r="H129" s="357"/>
      <c r="I129" s="333"/>
      <c r="J129" s="324"/>
      <c r="K129" s="357"/>
      <c r="L129" s="335"/>
      <c r="M129" s="324"/>
      <c r="N129" s="331"/>
      <c r="O129" s="331"/>
      <c r="P129" s="328"/>
      <c r="Q129" s="309"/>
      <c r="R129" s="332"/>
      <c r="S129" s="332"/>
      <c r="T129" s="332"/>
      <c r="U129" s="309"/>
      <c r="V129" s="309"/>
      <c r="W129" s="309"/>
      <c r="X129" s="309"/>
      <c r="Y129" s="309"/>
      <c r="Z129" s="309"/>
      <c r="AA129" s="309"/>
      <c r="AB129" s="309"/>
      <c r="AC129" s="309"/>
      <c r="AD129" s="309"/>
      <c r="AE129" s="309"/>
      <c r="AF129" s="309"/>
      <c r="AG129" s="309"/>
      <c r="AH129" s="309"/>
      <c r="AI129" s="309"/>
    </row>
    <row r="130" customFormat="false" ht="41.25" hidden="false" customHeight="true" outlineLevel="0" collapsed="false">
      <c r="A130" s="322" t="n">
        <v>120</v>
      </c>
      <c r="B130" s="325" t="s">
        <v>905</v>
      </c>
      <c r="C130" s="325" t="s">
        <v>56</v>
      </c>
      <c r="D130" s="326" t="n">
        <f aca="false">42</f>
        <v>42</v>
      </c>
      <c r="E130" s="337"/>
      <c r="F130" s="330"/>
      <c r="G130" s="324"/>
      <c r="H130" s="357"/>
      <c r="I130" s="333"/>
      <c r="J130" s="324"/>
      <c r="K130" s="357"/>
      <c r="L130" s="335"/>
      <c r="M130" s="324"/>
      <c r="N130" s="331"/>
      <c r="O130" s="331"/>
      <c r="P130" s="328"/>
      <c r="Q130" s="309"/>
      <c r="R130" s="332"/>
      <c r="S130" s="332"/>
      <c r="T130" s="332"/>
      <c r="U130" s="309"/>
      <c r="V130" s="309"/>
      <c r="W130" s="309"/>
      <c r="X130" s="309"/>
      <c r="Y130" s="309"/>
      <c r="Z130" s="309"/>
      <c r="AA130" s="309"/>
      <c r="AB130" s="309"/>
      <c r="AC130" s="309"/>
      <c r="AD130" s="309"/>
      <c r="AE130" s="309"/>
      <c r="AF130" s="309"/>
      <c r="AG130" s="309"/>
      <c r="AH130" s="309"/>
      <c r="AI130" s="309"/>
    </row>
    <row r="131" customFormat="false" ht="36" hidden="false" customHeight="true" outlineLevel="0" collapsed="false">
      <c r="A131" s="322" t="n">
        <v>121</v>
      </c>
      <c r="B131" s="325" t="s">
        <v>906</v>
      </c>
      <c r="C131" s="325" t="s">
        <v>31</v>
      </c>
      <c r="D131" s="326" t="n">
        <f aca="false">50+100+370+50+50+50+25+25+25+80+80</f>
        <v>905</v>
      </c>
      <c r="E131" s="337"/>
      <c r="F131" s="330"/>
      <c r="G131" s="324"/>
      <c r="H131" s="357"/>
      <c r="I131" s="333"/>
      <c r="J131" s="324"/>
      <c r="K131" s="357"/>
      <c r="L131" s="335"/>
      <c r="M131" s="324"/>
      <c r="N131" s="331"/>
      <c r="O131" s="331"/>
      <c r="P131" s="328"/>
      <c r="Q131" s="309"/>
      <c r="R131" s="332"/>
      <c r="S131" s="332"/>
      <c r="T131" s="332"/>
      <c r="U131" s="309"/>
      <c r="V131" s="309"/>
      <c r="W131" s="309"/>
      <c r="X131" s="309"/>
      <c r="Y131" s="309"/>
      <c r="Z131" s="309"/>
      <c r="AA131" s="309"/>
      <c r="AB131" s="309"/>
      <c r="AC131" s="309"/>
      <c r="AD131" s="309"/>
      <c r="AE131" s="309"/>
      <c r="AF131" s="309"/>
      <c r="AG131" s="309"/>
      <c r="AH131" s="309"/>
      <c r="AI131" s="309"/>
    </row>
    <row r="132" customFormat="false" ht="38.25" hidden="false" customHeight="true" outlineLevel="0" collapsed="false">
      <c r="A132" s="322" t="n">
        <v>122</v>
      </c>
      <c r="B132" s="325" t="s">
        <v>907</v>
      </c>
      <c r="C132" s="325" t="s">
        <v>31</v>
      </c>
      <c r="D132" s="326" t="n">
        <f aca="false">58.4+373.5</f>
        <v>431.9</v>
      </c>
      <c r="E132" s="337"/>
      <c r="F132" s="330"/>
      <c r="G132" s="324"/>
      <c r="H132" s="357"/>
      <c r="I132" s="333"/>
      <c r="J132" s="324"/>
      <c r="K132" s="357"/>
      <c r="L132" s="335"/>
      <c r="M132" s="324"/>
      <c r="N132" s="331"/>
      <c r="O132" s="331"/>
      <c r="P132" s="328"/>
      <c r="Q132" s="309"/>
      <c r="R132" s="332"/>
      <c r="S132" s="332"/>
      <c r="T132" s="332"/>
      <c r="U132" s="309"/>
      <c r="V132" s="309"/>
      <c r="W132" s="309"/>
      <c r="X132" s="309"/>
      <c r="Y132" s="309"/>
      <c r="Z132" s="309"/>
      <c r="AA132" s="309"/>
      <c r="AB132" s="309"/>
      <c r="AC132" s="309"/>
      <c r="AD132" s="309"/>
      <c r="AE132" s="309"/>
      <c r="AF132" s="309"/>
      <c r="AG132" s="309"/>
      <c r="AH132" s="309"/>
      <c r="AI132" s="309"/>
    </row>
    <row r="133" customFormat="false" ht="36" hidden="false" customHeight="true" outlineLevel="0" collapsed="false">
      <c r="A133" s="322" t="n">
        <v>123</v>
      </c>
      <c r="B133" s="325" t="s">
        <v>464</v>
      </c>
      <c r="C133" s="325" t="s">
        <v>56</v>
      </c>
      <c r="D133" s="326" t="n">
        <f aca="false">1</f>
        <v>1</v>
      </c>
      <c r="E133" s="337"/>
      <c r="F133" s="330"/>
      <c r="G133" s="324"/>
      <c r="H133" s="357"/>
      <c r="I133" s="333"/>
      <c r="J133" s="324"/>
      <c r="K133" s="357"/>
      <c r="L133" s="335"/>
      <c r="M133" s="324"/>
      <c r="N133" s="331"/>
      <c r="O133" s="331"/>
      <c r="P133" s="328"/>
      <c r="Q133" s="309"/>
      <c r="R133" s="332"/>
      <c r="S133" s="332"/>
      <c r="T133" s="332"/>
      <c r="U133" s="309"/>
      <c r="V133" s="309"/>
      <c r="W133" s="309"/>
      <c r="X133" s="309"/>
      <c r="Y133" s="309"/>
      <c r="Z133" s="309"/>
      <c r="AA133" s="309"/>
      <c r="AB133" s="309"/>
      <c r="AC133" s="309"/>
      <c r="AD133" s="309"/>
      <c r="AE133" s="309"/>
      <c r="AF133" s="309"/>
      <c r="AG133" s="309"/>
      <c r="AH133" s="309"/>
      <c r="AI133" s="309"/>
    </row>
    <row r="134" s="343" customFormat="true" ht="55.1" hidden="false" customHeight="true" outlineLevel="0" collapsed="false">
      <c r="A134" s="358" t="n">
        <v>124</v>
      </c>
      <c r="B134" s="325" t="s">
        <v>908</v>
      </c>
      <c r="C134" s="325" t="s">
        <v>56</v>
      </c>
      <c r="D134" s="326" t="n">
        <f aca="false">12</f>
        <v>12</v>
      </c>
      <c r="E134" s="327"/>
      <c r="F134" s="330"/>
      <c r="G134" s="324"/>
      <c r="H134" s="328"/>
      <c r="I134" s="333"/>
      <c r="J134" s="324"/>
      <c r="K134" s="328"/>
      <c r="L134" s="335"/>
      <c r="M134" s="324"/>
      <c r="N134" s="345"/>
      <c r="O134" s="345"/>
      <c r="P134" s="341"/>
      <c r="Q134" s="342"/>
      <c r="R134" s="346"/>
      <c r="S134" s="346"/>
      <c r="T134" s="346"/>
      <c r="U134" s="342"/>
      <c r="V134" s="342"/>
      <c r="W134" s="342"/>
      <c r="X134" s="342"/>
      <c r="Y134" s="342"/>
      <c r="Z134" s="342"/>
      <c r="AA134" s="342"/>
      <c r="AB134" s="342"/>
      <c r="AC134" s="342"/>
      <c r="AD134" s="342"/>
      <c r="AE134" s="342"/>
      <c r="AF134" s="342"/>
      <c r="AG134" s="342"/>
      <c r="AH134" s="342"/>
      <c r="AI134" s="342"/>
    </row>
    <row r="135" s="343" customFormat="true" ht="39" hidden="false" customHeight="true" outlineLevel="0" collapsed="false">
      <c r="A135" s="358" t="n">
        <v>125</v>
      </c>
      <c r="B135" s="325" t="s">
        <v>909</v>
      </c>
      <c r="C135" s="325" t="s">
        <v>56</v>
      </c>
      <c r="D135" s="326" t="n">
        <f aca="false">208</f>
        <v>208</v>
      </c>
      <c r="E135" s="327"/>
      <c r="F135" s="330"/>
      <c r="G135" s="324"/>
      <c r="H135" s="328"/>
      <c r="I135" s="333"/>
      <c r="J135" s="324"/>
      <c r="K135" s="328"/>
      <c r="L135" s="335"/>
      <c r="M135" s="324"/>
      <c r="N135" s="345"/>
      <c r="O135" s="345"/>
      <c r="P135" s="341"/>
      <c r="Q135" s="342"/>
      <c r="R135" s="346"/>
      <c r="S135" s="346"/>
      <c r="T135" s="346"/>
      <c r="U135" s="342"/>
      <c r="V135" s="342"/>
      <c r="W135" s="342"/>
      <c r="X135" s="342"/>
      <c r="Y135" s="342"/>
      <c r="Z135" s="342"/>
      <c r="AA135" s="342"/>
      <c r="AB135" s="342"/>
      <c r="AC135" s="342"/>
      <c r="AD135" s="342"/>
      <c r="AE135" s="342"/>
      <c r="AF135" s="342"/>
      <c r="AG135" s="342"/>
      <c r="AH135" s="342"/>
      <c r="AI135" s="342"/>
    </row>
    <row r="136" s="343" customFormat="true" ht="39.85" hidden="false" customHeight="true" outlineLevel="0" collapsed="false">
      <c r="A136" s="358" t="n">
        <v>126</v>
      </c>
      <c r="B136" s="325" t="s">
        <v>910</v>
      </c>
      <c r="C136" s="325" t="s">
        <v>56</v>
      </c>
      <c r="D136" s="326" t="n">
        <f aca="false">80</f>
        <v>80</v>
      </c>
      <c r="E136" s="327"/>
      <c r="F136" s="359"/>
      <c r="G136" s="324"/>
      <c r="H136" s="328"/>
      <c r="I136" s="333"/>
      <c r="J136" s="324"/>
      <c r="K136" s="328"/>
      <c r="L136" s="335"/>
      <c r="M136" s="324"/>
      <c r="N136" s="345"/>
      <c r="O136" s="345"/>
      <c r="P136" s="341"/>
      <c r="Q136" s="342"/>
      <c r="R136" s="346"/>
      <c r="S136" s="346"/>
      <c r="T136" s="346"/>
      <c r="U136" s="342"/>
      <c r="V136" s="342"/>
      <c r="W136" s="342"/>
      <c r="X136" s="342"/>
      <c r="Y136" s="342"/>
      <c r="Z136" s="342"/>
      <c r="AA136" s="342"/>
      <c r="AB136" s="342"/>
      <c r="AC136" s="342"/>
      <c r="AD136" s="342"/>
      <c r="AE136" s="342"/>
      <c r="AF136" s="342"/>
      <c r="AG136" s="342"/>
      <c r="AH136" s="342"/>
      <c r="AI136" s="342"/>
    </row>
    <row r="137" s="343" customFormat="true" ht="40.7" hidden="false" customHeight="true" outlineLevel="0" collapsed="false">
      <c r="A137" s="358" t="n">
        <v>127</v>
      </c>
      <c r="B137" s="325" t="s">
        <v>911</v>
      </c>
      <c r="C137" s="325" t="s">
        <v>56</v>
      </c>
      <c r="D137" s="326" t="n">
        <f aca="false">128</f>
        <v>128</v>
      </c>
      <c r="E137" s="327"/>
      <c r="F137" s="330"/>
      <c r="G137" s="324"/>
      <c r="H137" s="328"/>
      <c r="I137" s="333"/>
      <c r="J137" s="324"/>
      <c r="K137" s="328"/>
      <c r="L137" s="335"/>
      <c r="M137" s="324"/>
      <c r="N137" s="345"/>
      <c r="O137" s="345"/>
      <c r="P137" s="341"/>
      <c r="Q137" s="342"/>
      <c r="R137" s="346"/>
      <c r="S137" s="346"/>
      <c r="T137" s="346"/>
      <c r="U137" s="342"/>
      <c r="V137" s="342"/>
      <c r="W137" s="342"/>
      <c r="X137" s="342"/>
      <c r="Y137" s="342"/>
      <c r="Z137" s="342"/>
      <c r="AA137" s="342"/>
      <c r="AB137" s="342"/>
      <c r="AC137" s="342"/>
      <c r="AD137" s="342"/>
      <c r="AE137" s="342"/>
      <c r="AF137" s="342"/>
      <c r="AG137" s="342"/>
      <c r="AH137" s="342"/>
      <c r="AI137" s="342"/>
    </row>
    <row r="138" s="343" customFormat="true" ht="51.7" hidden="false" customHeight="true" outlineLevel="0" collapsed="false">
      <c r="A138" s="358" t="n">
        <v>128</v>
      </c>
      <c r="B138" s="325" t="s">
        <v>912</v>
      </c>
      <c r="C138" s="325" t="s">
        <v>56</v>
      </c>
      <c r="D138" s="326" t="n">
        <f aca="false">64</f>
        <v>64</v>
      </c>
      <c r="E138" s="327"/>
      <c r="F138" s="330"/>
      <c r="G138" s="324"/>
      <c r="H138" s="328"/>
      <c r="I138" s="333"/>
      <c r="J138" s="324"/>
      <c r="K138" s="328"/>
      <c r="L138" s="335"/>
      <c r="M138" s="324"/>
      <c r="N138" s="345"/>
      <c r="O138" s="345"/>
      <c r="P138" s="341"/>
      <c r="Q138" s="342"/>
      <c r="R138" s="346"/>
      <c r="S138" s="346"/>
      <c r="T138" s="346"/>
      <c r="U138" s="342"/>
      <c r="V138" s="342"/>
      <c r="W138" s="342"/>
      <c r="X138" s="342"/>
      <c r="Y138" s="342"/>
      <c r="Z138" s="342"/>
      <c r="AA138" s="342"/>
      <c r="AB138" s="342"/>
      <c r="AC138" s="342"/>
      <c r="AD138" s="342"/>
      <c r="AE138" s="342"/>
      <c r="AF138" s="342"/>
      <c r="AG138" s="342"/>
      <c r="AH138" s="342"/>
      <c r="AI138" s="342"/>
    </row>
    <row r="139" s="343" customFormat="true" ht="41.55" hidden="false" customHeight="true" outlineLevel="0" collapsed="false">
      <c r="A139" s="358" t="n">
        <v>129</v>
      </c>
      <c r="B139" s="325" t="s">
        <v>913</v>
      </c>
      <c r="C139" s="325" t="s">
        <v>56</v>
      </c>
      <c r="D139" s="326" t="n">
        <f aca="false">140</f>
        <v>140</v>
      </c>
      <c r="E139" s="327"/>
      <c r="F139" s="330"/>
      <c r="G139" s="324"/>
      <c r="H139" s="328"/>
      <c r="I139" s="333"/>
      <c r="J139" s="324"/>
      <c r="K139" s="328"/>
      <c r="L139" s="335"/>
      <c r="M139" s="324"/>
      <c r="N139" s="345"/>
      <c r="O139" s="345"/>
      <c r="P139" s="341"/>
      <c r="Q139" s="342"/>
      <c r="R139" s="346"/>
      <c r="S139" s="346"/>
      <c r="T139" s="346"/>
      <c r="U139" s="342"/>
      <c r="V139" s="342"/>
      <c r="W139" s="342"/>
      <c r="X139" s="342"/>
      <c r="Y139" s="342"/>
      <c r="Z139" s="342"/>
      <c r="AA139" s="342"/>
      <c r="AB139" s="342"/>
      <c r="AC139" s="342"/>
      <c r="AD139" s="342"/>
      <c r="AE139" s="342"/>
      <c r="AF139" s="342"/>
      <c r="AG139" s="342"/>
      <c r="AH139" s="342"/>
      <c r="AI139" s="342"/>
    </row>
    <row r="140" customFormat="false" ht="42" hidden="false" customHeight="true" outlineLevel="0" collapsed="false">
      <c r="A140" s="322" t="n">
        <v>130</v>
      </c>
      <c r="B140" s="325" t="s">
        <v>914</v>
      </c>
      <c r="C140" s="325" t="s">
        <v>56</v>
      </c>
      <c r="D140" s="326" t="n">
        <v>2</v>
      </c>
      <c r="E140" s="337"/>
      <c r="F140" s="330"/>
      <c r="G140" s="324"/>
      <c r="H140" s="360"/>
      <c r="I140" s="333"/>
      <c r="J140" s="324"/>
      <c r="K140" s="337"/>
      <c r="L140" s="335"/>
      <c r="M140" s="324"/>
      <c r="N140" s="331"/>
      <c r="O140" s="331"/>
      <c r="P140" s="328"/>
      <c r="Q140" s="309"/>
      <c r="R140" s="332"/>
      <c r="S140" s="332"/>
      <c r="T140" s="332"/>
      <c r="U140" s="309"/>
      <c r="V140" s="309"/>
      <c r="W140" s="309"/>
      <c r="X140" s="309"/>
      <c r="Y140" s="309"/>
      <c r="Z140" s="309"/>
      <c r="AA140" s="309"/>
      <c r="AB140" s="309"/>
      <c r="AC140" s="309"/>
      <c r="AD140" s="309"/>
      <c r="AE140" s="309"/>
      <c r="AF140" s="309"/>
      <c r="AG140" s="309"/>
      <c r="AH140" s="309"/>
      <c r="AI140" s="309"/>
    </row>
    <row r="141" customFormat="false" ht="36.75" hidden="false" customHeight="true" outlineLevel="0" collapsed="false">
      <c r="A141" s="322" t="n">
        <v>131</v>
      </c>
      <c r="B141" s="361" t="s">
        <v>915</v>
      </c>
      <c r="C141" s="325" t="s">
        <v>56</v>
      </c>
      <c r="D141" s="326" t="n">
        <v>1</v>
      </c>
      <c r="E141" s="327"/>
      <c r="F141" s="330"/>
      <c r="G141" s="324"/>
      <c r="H141" s="328"/>
      <c r="I141" s="333"/>
      <c r="J141" s="324"/>
      <c r="K141" s="328"/>
      <c r="L141" s="335"/>
      <c r="M141" s="324"/>
      <c r="N141" s="331"/>
      <c r="O141" s="331"/>
      <c r="P141" s="328"/>
      <c r="Q141" s="309"/>
      <c r="R141" s="332"/>
      <c r="S141" s="332"/>
      <c r="T141" s="332"/>
      <c r="U141" s="309"/>
      <c r="V141" s="309"/>
      <c r="W141" s="309"/>
      <c r="X141" s="309"/>
      <c r="Y141" s="309"/>
      <c r="Z141" s="309"/>
      <c r="AA141" s="309"/>
      <c r="AB141" s="309"/>
      <c r="AC141" s="309"/>
      <c r="AD141" s="309"/>
      <c r="AE141" s="309"/>
      <c r="AF141" s="309"/>
      <c r="AG141" s="309"/>
      <c r="AH141" s="309"/>
      <c r="AI141" s="309"/>
    </row>
    <row r="142" customFormat="false" ht="36.75" hidden="false" customHeight="true" outlineLevel="0" collapsed="false">
      <c r="A142" s="322" t="n">
        <v>132</v>
      </c>
      <c r="B142" s="325" t="s">
        <v>916</v>
      </c>
      <c r="C142" s="362" t="s">
        <v>56</v>
      </c>
      <c r="D142" s="326" t="n">
        <v>1</v>
      </c>
      <c r="E142" s="338"/>
      <c r="F142" s="330"/>
      <c r="G142" s="324"/>
      <c r="H142" s="338"/>
      <c r="I142" s="333"/>
      <c r="J142" s="324"/>
      <c r="K142" s="363"/>
      <c r="L142" s="364"/>
      <c r="M142" s="324"/>
      <c r="N142" s="331"/>
      <c r="O142" s="331"/>
      <c r="P142" s="328"/>
      <c r="Q142" s="309"/>
      <c r="R142" s="332"/>
      <c r="S142" s="332"/>
      <c r="T142" s="332"/>
      <c r="U142" s="309"/>
      <c r="V142" s="309"/>
      <c r="W142" s="309"/>
      <c r="X142" s="309"/>
      <c r="Y142" s="309"/>
      <c r="Z142" s="309"/>
      <c r="AA142" s="309"/>
      <c r="AB142" s="309"/>
      <c r="AC142" s="309"/>
      <c r="AD142" s="309"/>
      <c r="AE142" s="309"/>
      <c r="AF142" s="309"/>
      <c r="AG142" s="309"/>
      <c r="AH142" s="309"/>
      <c r="AI142" s="309"/>
    </row>
    <row r="143" customFormat="false" ht="36.75" hidden="false" customHeight="true" outlineLevel="0" collapsed="false">
      <c r="A143" s="322" t="n">
        <v>133</v>
      </c>
      <c r="B143" s="325" t="s">
        <v>917</v>
      </c>
      <c r="C143" s="362" t="s">
        <v>56</v>
      </c>
      <c r="D143" s="326" t="n">
        <f aca="false">1</f>
        <v>1</v>
      </c>
      <c r="E143" s="338"/>
      <c r="F143" s="330"/>
      <c r="G143" s="324"/>
      <c r="H143" s="338"/>
      <c r="I143" s="333"/>
      <c r="J143" s="324"/>
      <c r="K143" s="363"/>
      <c r="L143" s="364"/>
      <c r="M143" s="324"/>
      <c r="N143" s="331"/>
      <c r="O143" s="331"/>
      <c r="P143" s="328"/>
      <c r="Q143" s="309"/>
      <c r="R143" s="332"/>
      <c r="S143" s="332"/>
      <c r="T143" s="332"/>
      <c r="U143" s="309"/>
      <c r="V143" s="309"/>
      <c r="W143" s="309"/>
      <c r="X143" s="309"/>
      <c r="Y143" s="309"/>
      <c r="Z143" s="309"/>
      <c r="AA143" s="309"/>
      <c r="AB143" s="309"/>
      <c r="AC143" s="309"/>
      <c r="AD143" s="309"/>
      <c r="AE143" s="309"/>
      <c r="AF143" s="309"/>
      <c r="AG143" s="309"/>
      <c r="AH143" s="309"/>
      <c r="AI143" s="309"/>
    </row>
    <row r="144" customFormat="false" ht="36.75" hidden="false" customHeight="true" outlineLevel="0" collapsed="false">
      <c r="A144" s="322" t="n">
        <v>134</v>
      </c>
      <c r="B144" s="325" t="s">
        <v>918</v>
      </c>
      <c r="C144" s="362" t="s">
        <v>257</v>
      </c>
      <c r="D144" s="326" t="n">
        <f aca="false">8</f>
        <v>8</v>
      </c>
      <c r="E144" s="357"/>
      <c r="F144" s="330"/>
      <c r="G144" s="324"/>
      <c r="H144" s="357"/>
      <c r="I144" s="333"/>
      <c r="J144" s="324"/>
      <c r="K144" s="357"/>
      <c r="L144" s="364"/>
      <c r="M144" s="324"/>
      <c r="N144" s="331"/>
      <c r="O144" s="331"/>
      <c r="P144" s="328"/>
      <c r="Q144" s="309"/>
      <c r="R144" s="332"/>
      <c r="S144" s="332"/>
      <c r="T144" s="332"/>
      <c r="U144" s="309"/>
      <c r="V144" s="309"/>
      <c r="W144" s="309"/>
      <c r="X144" s="309"/>
      <c r="Y144" s="309"/>
      <c r="Z144" s="309"/>
      <c r="AA144" s="309"/>
      <c r="AB144" s="309"/>
      <c r="AC144" s="309"/>
      <c r="AD144" s="309"/>
      <c r="AE144" s="309"/>
      <c r="AF144" s="309"/>
      <c r="AG144" s="309"/>
      <c r="AH144" s="309"/>
      <c r="AI144" s="309"/>
    </row>
    <row r="145" customFormat="false" ht="36.75" hidden="false" customHeight="true" outlineLevel="0" collapsed="false">
      <c r="A145" s="322" t="n">
        <v>135</v>
      </c>
      <c r="B145" s="325" t="s">
        <v>919</v>
      </c>
      <c r="C145" s="362" t="s">
        <v>56</v>
      </c>
      <c r="D145" s="326" t="n">
        <v>1</v>
      </c>
      <c r="E145" s="337"/>
      <c r="F145" s="330"/>
      <c r="G145" s="324"/>
      <c r="H145" s="328"/>
      <c r="I145" s="333"/>
      <c r="J145" s="324"/>
      <c r="K145" s="328"/>
      <c r="L145" s="364"/>
      <c r="M145" s="324"/>
      <c r="N145" s="331"/>
      <c r="O145" s="331"/>
      <c r="P145" s="328"/>
      <c r="Q145" s="309"/>
      <c r="R145" s="332"/>
      <c r="S145" s="332"/>
      <c r="T145" s="332"/>
      <c r="U145" s="309"/>
      <c r="V145" s="309"/>
      <c r="W145" s="309"/>
      <c r="X145" s="309"/>
      <c r="Y145" s="309"/>
      <c r="Z145" s="309"/>
      <c r="AA145" s="309"/>
      <c r="AB145" s="309"/>
      <c r="AC145" s="309"/>
      <c r="AD145" s="309"/>
      <c r="AE145" s="309"/>
      <c r="AF145" s="309"/>
      <c r="AG145" s="309"/>
      <c r="AH145" s="309"/>
      <c r="AI145" s="309"/>
    </row>
    <row r="146" customFormat="false" ht="36.75" hidden="false" customHeight="true" outlineLevel="0" collapsed="false">
      <c r="A146" s="322" t="n">
        <v>136</v>
      </c>
      <c r="B146" s="325" t="s">
        <v>920</v>
      </c>
      <c r="C146" s="365" t="s">
        <v>56</v>
      </c>
      <c r="D146" s="335" t="n">
        <f aca="false">1</f>
        <v>1</v>
      </c>
      <c r="E146" s="337"/>
      <c r="F146" s="366"/>
      <c r="G146" s="324"/>
      <c r="H146" s="328"/>
      <c r="I146" s="333"/>
      <c r="J146" s="324"/>
      <c r="K146" s="328"/>
      <c r="L146" s="364"/>
      <c r="M146" s="324"/>
      <c r="N146" s="331"/>
      <c r="O146" s="331"/>
      <c r="P146" s="328"/>
      <c r="Q146" s="309"/>
      <c r="R146" s="332"/>
      <c r="S146" s="332"/>
      <c r="T146" s="332"/>
      <c r="U146" s="309"/>
      <c r="V146" s="309"/>
      <c r="W146" s="309"/>
      <c r="X146" s="309"/>
      <c r="Y146" s="309"/>
      <c r="Z146" s="309"/>
      <c r="AA146" s="309"/>
      <c r="AB146" s="309"/>
      <c r="AC146" s="309"/>
      <c r="AD146" s="309"/>
      <c r="AE146" s="309"/>
      <c r="AF146" s="309"/>
      <c r="AG146" s="309"/>
      <c r="AH146" s="309"/>
      <c r="AI146" s="309"/>
    </row>
    <row r="147" s="368" customFormat="true" ht="27.75" hidden="false" customHeight="true" outlineLevel="0" collapsed="false">
      <c r="A147" s="322" t="n">
        <v>137</v>
      </c>
      <c r="B147" s="325" t="s">
        <v>921</v>
      </c>
      <c r="C147" s="365" t="s">
        <v>257</v>
      </c>
      <c r="D147" s="335" t="n">
        <f aca="false">60</f>
        <v>60</v>
      </c>
      <c r="E147" s="357"/>
      <c r="F147" s="366"/>
      <c r="G147" s="324"/>
      <c r="H147" s="357"/>
      <c r="I147" s="333"/>
      <c r="J147" s="324"/>
      <c r="K147" s="357"/>
      <c r="L147" s="364"/>
      <c r="M147" s="324"/>
      <c r="N147" s="331"/>
      <c r="O147" s="320"/>
      <c r="P147" s="327"/>
      <c r="Q147" s="310"/>
      <c r="R147" s="367"/>
      <c r="S147" s="367"/>
      <c r="T147" s="367"/>
      <c r="U147" s="310"/>
      <c r="V147" s="310"/>
      <c r="W147" s="310"/>
      <c r="X147" s="310"/>
      <c r="Y147" s="310"/>
      <c r="Z147" s="310"/>
      <c r="AA147" s="310"/>
      <c r="AB147" s="310"/>
      <c r="AC147" s="310"/>
      <c r="AD147" s="310"/>
      <c r="AE147" s="310"/>
      <c r="AF147" s="310"/>
      <c r="AG147" s="310"/>
      <c r="AH147" s="310"/>
      <c r="AI147" s="310"/>
    </row>
    <row r="148" s="368" customFormat="true" ht="27.75" hidden="false" customHeight="true" outlineLevel="0" collapsed="false">
      <c r="A148" s="322" t="n">
        <v>138</v>
      </c>
      <c r="B148" s="325" t="s">
        <v>922</v>
      </c>
      <c r="C148" s="365" t="s">
        <v>257</v>
      </c>
      <c r="D148" s="335" t="n">
        <f aca="false">60</f>
        <v>60</v>
      </c>
      <c r="E148" s="357"/>
      <c r="F148" s="366"/>
      <c r="G148" s="324"/>
      <c r="H148" s="357"/>
      <c r="I148" s="333"/>
      <c r="J148" s="324"/>
      <c r="K148" s="357"/>
      <c r="L148" s="364"/>
      <c r="M148" s="324"/>
      <c r="N148" s="331"/>
      <c r="O148" s="320"/>
      <c r="P148" s="327"/>
      <c r="Q148" s="310"/>
      <c r="R148" s="367"/>
      <c r="S148" s="367"/>
      <c r="T148" s="367"/>
      <c r="U148" s="310"/>
      <c r="V148" s="310"/>
      <c r="W148" s="310"/>
      <c r="X148" s="310"/>
      <c r="Y148" s="310"/>
      <c r="Z148" s="310"/>
      <c r="AA148" s="310"/>
      <c r="AB148" s="310"/>
      <c r="AC148" s="310"/>
      <c r="AD148" s="310"/>
      <c r="AE148" s="310"/>
      <c r="AF148" s="310"/>
      <c r="AG148" s="310"/>
      <c r="AH148" s="310"/>
      <c r="AI148" s="310"/>
    </row>
    <row r="149" s="1" customFormat="true" ht="27.75" hidden="false" customHeight="true" outlineLevel="0" collapsed="false">
      <c r="A149" s="358" t="n">
        <v>139</v>
      </c>
      <c r="B149" s="325" t="s">
        <v>923</v>
      </c>
      <c r="C149" s="365" t="s">
        <v>56</v>
      </c>
      <c r="D149" s="335" t="n">
        <f aca="false">8</f>
        <v>8</v>
      </c>
      <c r="E149" s="357"/>
      <c r="F149" s="366"/>
      <c r="G149" s="324"/>
      <c r="H149" s="357"/>
      <c r="I149" s="333"/>
      <c r="J149" s="324"/>
      <c r="K149" s="357"/>
      <c r="L149" s="364"/>
      <c r="M149" s="324"/>
      <c r="N149" s="331"/>
      <c r="O149" s="369"/>
      <c r="P149" s="328"/>
      <c r="Q149" s="309"/>
      <c r="R149" s="332"/>
      <c r="S149" s="332"/>
      <c r="T149" s="332"/>
      <c r="U149" s="309"/>
      <c r="V149" s="309"/>
      <c r="W149" s="309"/>
      <c r="X149" s="309"/>
      <c r="Y149" s="309"/>
      <c r="Z149" s="309"/>
      <c r="AA149" s="309"/>
      <c r="AB149" s="309"/>
      <c r="AC149" s="309"/>
      <c r="AD149" s="309"/>
      <c r="AE149" s="309"/>
      <c r="AF149" s="309"/>
      <c r="AG149" s="309"/>
      <c r="AH149" s="309"/>
      <c r="AI149" s="309"/>
    </row>
    <row r="150" s="1" customFormat="true" ht="47.25" hidden="false" customHeight="true" outlineLevel="0" collapsed="false">
      <c r="A150" s="358" t="n">
        <v>140</v>
      </c>
      <c r="B150" s="365" t="s">
        <v>924</v>
      </c>
      <c r="C150" s="365" t="s">
        <v>56</v>
      </c>
      <c r="D150" s="335" t="n">
        <f aca="false">8</f>
        <v>8</v>
      </c>
      <c r="E150" s="357"/>
      <c r="F150" s="366"/>
      <c r="G150" s="324"/>
      <c r="H150" s="357"/>
      <c r="I150" s="333"/>
      <c r="J150" s="324"/>
      <c r="K150" s="357"/>
      <c r="L150" s="364"/>
      <c r="M150" s="324"/>
      <c r="N150" s="331"/>
      <c r="O150" s="369"/>
      <c r="P150" s="328"/>
      <c r="Q150" s="309"/>
      <c r="R150" s="332"/>
      <c r="S150" s="332"/>
      <c r="T150" s="332"/>
      <c r="U150" s="309"/>
      <c r="V150" s="309"/>
      <c r="W150" s="309"/>
      <c r="X150" s="309"/>
      <c r="Y150" s="309"/>
      <c r="Z150" s="309"/>
      <c r="AA150" s="309"/>
      <c r="AB150" s="309"/>
      <c r="AC150" s="309"/>
      <c r="AD150" s="309"/>
      <c r="AE150" s="309"/>
      <c r="AF150" s="309"/>
      <c r="AG150" s="309"/>
      <c r="AH150" s="309"/>
      <c r="AI150" s="309"/>
    </row>
    <row r="151" customFormat="false" ht="27.75" hidden="false" customHeight="true" outlineLevel="0" collapsed="false">
      <c r="A151" s="322" t="n">
        <v>141</v>
      </c>
      <c r="B151" s="365" t="s">
        <v>925</v>
      </c>
      <c r="C151" s="365" t="s">
        <v>56</v>
      </c>
      <c r="D151" s="335" t="n">
        <f aca="false">8</f>
        <v>8</v>
      </c>
      <c r="E151" s="357"/>
      <c r="F151" s="366"/>
      <c r="G151" s="324"/>
      <c r="H151" s="357"/>
      <c r="I151" s="333"/>
      <c r="J151" s="324"/>
      <c r="K151" s="357"/>
      <c r="L151" s="364"/>
      <c r="M151" s="324"/>
      <c r="N151" s="331"/>
      <c r="O151" s="331"/>
      <c r="P151" s="328"/>
      <c r="Q151" s="309"/>
      <c r="R151" s="332"/>
      <c r="S151" s="332"/>
      <c r="T151" s="332"/>
      <c r="U151" s="309"/>
      <c r="V151" s="309"/>
      <c r="W151" s="309"/>
      <c r="X151" s="309"/>
      <c r="Y151" s="309"/>
      <c r="Z151" s="309"/>
      <c r="AA151" s="309"/>
      <c r="AB151" s="309"/>
      <c r="AC151" s="309"/>
      <c r="AD151" s="309"/>
      <c r="AE151" s="309"/>
      <c r="AF151" s="309"/>
      <c r="AG151" s="309"/>
      <c r="AH151" s="309"/>
      <c r="AI151" s="309"/>
    </row>
    <row r="152" s="368" customFormat="true" ht="27.75" hidden="false" customHeight="true" outlineLevel="0" collapsed="false">
      <c r="A152" s="322" t="n">
        <v>142</v>
      </c>
      <c r="B152" s="365" t="s">
        <v>926</v>
      </c>
      <c r="C152" s="365" t="s">
        <v>56</v>
      </c>
      <c r="D152" s="335" t="n">
        <f aca="false">8</f>
        <v>8</v>
      </c>
      <c r="E152" s="357"/>
      <c r="F152" s="366"/>
      <c r="G152" s="324"/>
      <c r="H152" s="357"/>
      <c r="I152" s="333"/>
      <c r="J152" s="324"/>
      <c r="K152" s="357"/>
      <c r="L152" s="364"/>
      <c r="M152" s="324"/>
      <c r="N152" s="331"/>
      <c r="O152" s="320"/>
      <c r="P152" s="327"/>
      <c r="Q152" s="310"/>
      <c r="R152" s="367"/>
      <c r="S152" s="367"/>
      <c r="T152" s="367"/>
      <c r="U152" s="310"/>
      <c r="V152" s="310"/>
      <c r="W152" s="310"/>
      <c r="X152" s="310"/>
      <c r="Y152" s="310"/>
      <c r="Z152" s="310"/>
      <c r="AA152" s="310"/>
      <c r="AB152" s="310"/>
      <c r="AC152" s="310"/>
      <c r="AD152" s="310"/>
      <c r="AE152" s="310"/>
      <c r="AF152" s="310"/>
      <c r="AG152" s="310"/>
      <c r="AH152" s="310"/>
      <c r="AI152" s="310"/>
    </row>
    <row r="153" customFormat="false" ht="36.75" hidden="false" customHeight="true" outlineLevel="0" collapsed="false">
      <c r="A153" s="322" t="n">
        <v>143</v>
      </c>
      <c r="B153" s="365" t="s">
        <v>927</v>
      </c>
      <c r="C153" s="365" t="s">
        <v>56</v>
      </c>
      <c r="D153" s="335" t="n">
        <f aca="false">24</f>
        <v>24</v>
      </c>
      <c r="E153" s="337"/>
      <c r="F153" s="366"/>
      <c r="G153" s="324"/>
      <c r="H153" s="357"/>
      <c r="I153" s="333"/>
      <c r="J153" s="324"/>
      <c r="K153" s="357"/>
      <c r="L153" s="364"/>
      <c r="M153" s="324"/>
      <c r="N153" s="331"/>
      <c r="O153" s="331"/>
      <c r="P153" s="328"/>
      <c r="Q153" s="309"/>
      <c r="R153" s="332"/>
      <c r="S153" s="332"/>
      <c r="T153" s="332"/>
      <c r="U153" s="309"/>
      <c r="V153" s="309"/>
      <c r="W153" s="309"/>
      <c r="X153" s="309"/>
      <c r="Y153" s="309"/>
      <c r="Z153" s="309"/>
      <c r="AA153" s="309"/>
      <c r="AB153" s="309"/>
      <c r="AC153" s="309"/>
      <c r="AD153" s="309"/>
      <c r="AE153" s="309"/>
      <c r="AF153" s="309"/>
      <c r="AG153" s="309"/>
      <c r="AH153" s="309"/>
      <c r="AI153" s="309"/>
    </row>
    <row r="154" customFormat="false" ht="37.5" hidden="false" customHeight="true" outlineLevel="0" collapsed="false">
      <c r="A154" s="322" t="n">
        <v>144</v>
      </c>
      <c r="B154" s="365" t="s">
        <v>928</v>
      </c>
      <c r="C154" s="365" t="s">
        <v>56</v>
      </c>
      <c r="D154" s="335" t="n">
        <f aca="false">1</f>
        <v>1</v>
      </c>
      <c r="E154" s="337"/>
      <c r="F154" s="366"/>
      <c r="G154" s="324"/>
      <c r="H154" s="357"/>
      <c r="I154" s="333"/>
      <c r="J154" s="324"/>
      <c r="K154" s="357"/>
      <c r="L154" s="364"/>
      <c r="M154" s="324"/>
      <c r="N154" s="331"/>
      <c r="O154" s="331"/>
      <c r="P154" s="328"/>
      <c r="Q154" s="309"/>
      <c r="R154" s="332"/>
      <c r="S154" s="332"/>
      <c r="T154" s="332"/>
      <c r="U154" s="309"/>
      <c r="V154" s="309"/>
      <c r="W154" s="309"/>
      <c r="X154" s="309"/>
      <c r="Y154" s="309"/>
      <c r="Z154" s="309"/>
      <c r="AA154" s="309"/>
      <c r="AB154" s="309"/>
      <c r="AC154" s="309"/>
      <c r="AD154" s="309"/>
      <c r="AE154" s="309"/>
      <c r="AF154" s="309"/>
      <c r="AG154" s="309"/>
      <c r="AH154" s="309"/>
      <c r="AI154" s="309"/>
    </row>
    <row r="155" customFormat="false" ht="44.25" hidden="false" customHeight="true" outlineLevel="0" collapsed="false">
      <c r="A155" s="322" t="n">
        <v>145</v>
      </c>
      <c r="B155" s="327" t="s">
        <v>929</v>
      </c>
      <c r="C155" s="370" t="s">
        <v>56</v>
      </c>
      <c r="D155" s="324" t="n">
        <f aca="false">2</f>
        <v>2</v>
      </c>
      <c r="E155" s="337"/>
      <c r="F155" s="366"/>
      <c r="G155" s="324"/>
      <c r="H155" s="357"/>
      <c r="I155" s="333"/>
      <c r="J155" s="324"/>
      <c r="K155" s="357"/>
      <c r="L155" s="364"/>
      <c r="M155" s="324"/>
      <c r="N155" s="331"/>
      <c r="O155" s="331"/>
      <c r="P155" s="328"/>
      <c r="Q155" s="309"/>
      <c r="R155" s="332"/>
      <c r="S155" s="332"/>
      <c r="T155" s="332"/>
      <c r="U155" s="309"/>
      <c r="V155" s="309"/>
      <c r="W155" s="309"/>
      <c r="X155" s="309"/>
      <c r="Y155" s="309"/>
      <c r="Z155" s="309"/>
      <c r="AA155" s="309"/>
      <c r="AB155" s="309"/>
      <c r="AC155" s="309"/>
      <c r="AD155" s="309"/>
      <c r="AE155" s="309"/>
      <c r="AF155" s="309"/>
      <c r="AG155" s="309"/>
      <c r="AH155" s="309"/>
      <c r="AI155" s="309"/>
    </row>
    <row r="156" customFormat="false" ht="39" hidden="false" customHeight="true" outlineLevel="0" collapsed="false">
      <c r="A156" s="322" t="n">
        <v>146</v>
      </c>
      <c r="B156" s="371" t="s">
        <v>930</v>
      </c>
      <c r="C156" s="370" t="s">
        <v>56</v>
      </c>
      <c r="D156" s="324" t="n">
        <f aca="false">6+10</f>
        <v>16</v>
      </c>
      <c r="E156" s="357"/>
      <c r="F156" s="366"/>
      <c r="G156" s="324"/>
      <c r="H156" s="357"/>
      <c r="I156" s="333"/>
      <c r="J156" s="324"/>
      <c r="K156" s="357"/>
      <c r="L156" s="364"/>
      <c r="M156" s="324"/>
      <c r="N156" s="331"/>
      <c r="O156" s="331"/>
      <c r="P156" s="328"/>
      <c r="Q156" s="309"/>
      <c r="R156" s="332"/>
      <c r="S156" s="332"/>
      <c r="T156" s="332"/>
      <c r="U156" s="309"/>
      <c r="V156" s="309"/>
      <c r="W156" s="309"/>
      <c r="X156" s="309"/>
      <c r="Y156" s="309"/>
      <c r="Z156" s="309"/>
      <c r="AA156" s="309"/>
      <c r="AB156" s="309"/>
      <c r="AC156" s="309"/>
      <c r="AD156" s="309"/>
      <c r="AE156" s="309"/>
      <c r="AF156" s="309"/>
      <c r="AG156" s="309"/>
      <c r="AH156" s="309"/>
      <c r="AI156" s="309"/>
    </row>
    <row r="157" customFormat="false" ht="48.3" hidden="false" customHeight="true" outlineLevel="0" collapsed="false">
      <c r="A157" s="322" t="n">
        <v>147</v>
      </c>
      <c r="B157" s="371" t="s">
        <v>931</v>
      </c>
      <c r="C157" s="372" t="s">
        <v>257</v>
      </c>
      <c r="D157" s="324" t="n">
        <f aca="false">6</f>
        <v>6</v>
      </c>
      <c r="E157" s="353"/>
      <c r="F157" s="366"/>
      <c r="G157" s="324"/>
      <c r="H157" s="373"/>
      <c r="I157" s="333"/>
      <c r="J157" s="324"/>
      <c r="K157" s="363"/>
      <c r="L157" s="364"/>
      <c r="M157" s="324"/>
      <c r="N157" s="331"/>
      <c r="O157" s="331"/>
      <c r="P157" s="328"/>
      <c r="Q157" s="309"/>
      <c r="R157" s="332"/>
      <c r="S157" s="332"/>
      <c r="T157" s="332"/>
      <c r="U157" s="309"/>
      <c r="V157" s="309"/>
      <c r="W157" s="309"/>
      <c r="X157" s="309"/>
      <c r="Y157" s="309"/>
      <c r="Z157" s="309"/>
      <c r="AA157" s="309"/>
      <c r="AB157" s="309"/>
      <c r="AC157" s="309"/>
      <c r="AD157" s="309"/>
      <c r="AE157" s="309"/>
      <c r="AF157" s="309"/>
      <c r="AG157" s="309"/>
      <c r="AH157" s="309"/>
      <c r="AI157" s="309"/>
    </row>
    <row r="158" s="1" customFormat="true" ht="60.75" hidden="false" customHeight="true" outlineLevel="0" collapsed="false">
      <c r="A158" s="358" t="n">
        <v>148</v>
      </c>
      <c r="B158" s="371" t="s">
        <v>932</v>
      </c>
      <c r="C158" s="370" t="s">
        <v>359</v>
      </c>
      <c r="D158" s="324" t="n">
        <f aca="false">131</f>
        <v>131</v>
      </c>
      <c r="E158" s="357"/>
      <c r="F158" s="366"/>
      <c r="G158" s="324"/>
      <c r="H158" s="357"/>
      <c r="I158" s="333"/>
      <c r="J158" s="324"/>
      <c r="K158" s="357"/>
      <c r="L158" s="364"/>
      <c r="M158" s="324"/>
      <c r="N158" s="331"/>
      <c r="O158" s="369"/>
      <c r="P158" s="328"/>
      <c r="Q158" s="309"/>
      <c r="R158" s="332"/>
      <c r="S158" s="332"/>
      <c r="T158" s="332"/>
      <c r="U158" s="309"/>
      <c r="V158" s="309"/>
      <c r="W158" s="309"/>
      <c r="X158" s="309"/>
      <c r="Y158" s="309"/>
      <c r="Z158" s="309"/>
      <c r="AA158" s="309"/>
      <c r="AB158" s="309"/>
      <c r="AC158" s="309"/>
      <c r="AD158" s="309"/>
      <c r="AE158" s="309"/>
      <c r="AF158" s="309"/>
      <c r="AG158" s="309"/>
      <c r="AH158" s="309"/>
      <c r="AI158" s="309"/>
    </row>
    <row r="159" s="368" customFormat="true" ht="41.55" hidden="false" customHeight="true" outlineLevel="0" collapsed="false">
      <c r="A159" s="322" t="n">
        <v>149</v>
      </c>
      <c r="B159" s="371" t="s">
        <v>933</v>
      </c>
      <c r="C159" s="370" t="s">
        <v>257</v>
      </c>
      <c r="D159" s="324" t="n">
        <f aca="false">65</f>
        <v>65</v>
      </c>
      <c r="E159" s="337"/>
      <c r="F159" s="366"/>
      <c r="G159" s="324"/>
      <c r="H159" s="357"/>
      <c r="I159" s="333"/>
      <c r="J159" s="324"/>
      <c r="K159" s="357"/>
      <c r="L159" s="364"/>
      <c r="M159" s="324"/>
      <c r="N159" s="331"/>
      <c r="O159" s="320"/>
      <c r="P159" s="327"/>
      <c r="Q159" s="310"/>
      <c r="R159" s="367"/>
      <c r="S159" s="367"/>
      <c r="T159" s="367"/>
      <c r="U159" s="310"/>
      <c r="V159" s="310"/>
      <c r="W159" s="310"/>
      <c r="X159" s="310"/>
      <c r="Y159" s="310"/>
      <c r="Z159" s="310"/>
      <c r="AA159" s="310"/>
      <c r="AB159" s="310"/>
      <c r="AC159" s="310"/>
      <c r="AD159" s="310"/>
      <c r="AE159" s="310"/>
      <c r="AF159" s="310"/>
      <c r="AG159" s="310"/>
      <c r="AH159" s="310"/>
      <c r="AI159" s="310"/>
    </row>
    <row r="160" s="368" customFormat="true" ht="60.75" hidden="false" customHeight="true" outlineLevel="0" collapsed="false">
      <c r="A160" s="322" t="n">
        <v>150</v>
      </c>
      <c r="B160" s="374" t="s">
        <v>934</v>
      </c>
      <c r="C160" s="370" t="s">
        <v>56</v>
      </c>
      <c r="D160" s="375" t="n">
        <f aca="false">55</f>
        <v>55</v>
      </c>
      <c r="E160" s="337"/>
      <c r="F160" s="366"/>
      <c r="G160" s="324"/>
      <c r="H160" s="357"/>
      <c r="I160" s="333"/>
      <c r="J160" s="324"/>
      <c r="K160" s="357"/>
      <c r="L160" s="364"/>
      <c r="M160" s="324"/>
      <c r="N160" s="331"/>
      <c r="O160" s="320"/>
      <c r="P160" s="327"/>
      <c r="Q160" s="310"/>
      <c r="R160" s="367"/>
      <c r="S160" s="367"/>
      <c r="T160" s="367"/>
      <c r="U160" s="310"/>
      <c r="V160" s="310"/>
      <c r="W160" s="310"/>
      <c r="X160" s="310"/>
      <c r="Y160" s="310"/>
      <c r="Z160" s="310"/>
      <c r="AA160" s="310"/>
      <c r="AB160" s="310"/>
      <c r="AC160" s="310"/>
      <c r="AD160" s="310"/>
      <c r="AE160" s="310"/>
      <c r="AF160" s="310"/>
      <c r="AG160" s="310"/>
      <c r="AH160" s="310"/>
      <c r="AI160" s="310"/>
    </row>
    <row r="161" s="343" customFormat="true" ht="48.3" hidden="false" customHeight="true" outlineLevel="0" collapsed="false">
      <c r="A161" s="339" t="n">
        <v>151</v>
      </c>
      <c r="B161" s="376" t="s">
        <v>935</v>
      </c>
      <c r="C161" s="370" t="s">
        <v>56</v>
      </c>
      <c r="D161" s="375" t="n">
        <v>1</v>
      </c>
      <c r="E161" s="337"/>
      <c r="F161" s="366"/>
      <c r="G161" s="324"/>
      <c r="H161" s="328"/>
      <c r="I161" s="333"/>
      <c r="J161" s="324"/>
      <c r="K161" s="355"/>
      <c r="L161" s="364"/>
      <c r="M161" s="324"/>
      <c r="N161" s="331"/>
      <c r="O161" s="345"/>
      <c r="P161" s="341"/>
      <c r="Q161" s="342"/>
      <c r="R161" s="346"/>
      <c r="S161" s="346"/>
      <c r="T161" s="346"/>
      <c r="U161" s="342"/>
      <c r="V161" s="342"/>
      <c r="W161" s="342"/>
      <c r="X161" s="342"/>
      <c r="Y161" s="342"/>
      <c r="Z161" s="342"/>
      <c r="AA161" s="342"/>
      <c r="AB161" s="342"/>
      <c r="AC161" s="342"/>
      <c r="AD161" s="342"/>
      <c r="AE161" s="342"/>
      <c r="AF161" s="342"/>
      <c r="AG161" s="342"/>
      <c r="AH161" s="342"/>
      <c r="AI161" s="342"/>
    </row>
    <row r="162" s="343" customFormat="true" ht="60.75" hidden="false" customHeight="true" outlineLevel="0" collapsed="false">
      <c r="A162" s="339" t="n">
        <v>152</v>
      </c>
      <c r="B162" s="376" t="s">
        <v>936</v>
      </c>
      <c r="C162" s="370" t="s">
        <v>56</v>
      </c>
      <c r="D162" s="375" t="n">
        <v>2</v>
      </c>
      <c r="E162" s="337"/>
      <c r="F162" s="366"/>
      <c r="G162" s="324"/>
      <c r="H162" s="328"/>
      <c r="I162" s="333"/>
      <c r="J162" s="324"/>
      <c r="K162" s="355"/>
      <c r="L162" s="364"/>
      <c r="M162" s="324"/>
      <c r="N162" s="331"/>
      <c r="O162" s="345"/>
      <c r="P162" s="341"/>
      <c r="Q162" s="342"/>
      <c r="R162" s="346"/>
      <c r="S162" s="346"/>
      <c r="T162" s="346"/>
      <c r="U162" s="342"/>
      <c r="V162" s="342"/>
      <c r="W162" s="342"/>
      <c r="X162" s="342"/>
      <c r="Y162" s="342"/>
      <c r="Z162" s="342"/>
      <c r="AA162" s="342"/>
      <c r="AB162" s="342"/>
      <c r="AC162" s="342"/>
      <c r="AD162" s="342"/>
      <c r="AE162" s="342"/>
      <c r="AF162" s="342"/>
      <c r="AG162" s="342"/>
      <c r="AH162" s="342"/>
      <c r="AI162" s="342"/>
    </row>
    <row r="163" s="343" customFormat="true" ht="60.75" hidden="false" customHeight="true" outlineLevel="0" collapsed="false">
      <c r="A163" s="339" t="n">
        <v>153</v>
      </c>
      <c r="B163" s="376" t="s">
        <v>937</v>
      </c>
      <c r="C163" s="370" t="s">
        <v>359</v>
      </c>
      <c r="D163" s="375" t="n">
        <v>153</v>
      </c>
      <c r="E163" s="337"/>
      <c r="F163" s="366"/>
      <c r="G163" s="324"/>
      <c r="H163" s="328"/>
      <c r="I163" s="333"/>
      <c r="J163" s="324"/>
      <c r="K163" s="355"/>
      <c r="L163" s="364"/>
      <c r="M163" s="324"/>
      <c r="N163" s="331"/>
      <c r="O163" s="345"/>
      <c r="P163" s="341"/>
      <c r="Q163" s="342"/>
      <c r="R163" s="346"/>
      <c r="S163" s="346"/>
      <c r="T163" s="346"/>
      <c r="U163" s="342"/>
      <c r="V163" s="342"/>
      <c r="W163" s="342"/>
      <c r="X163" s="342"/>
      <c r="Y163" s="342"/>
      <c r="Z163" s="342"/>
      <c r="AA163" s="342"/>
      <c r="AB163" s="342"/>
      <c r="AC163" s="342"/>
      <c r="AD163" s="342"/>
      <c r="AE163" s="342"/>
      <c r="AF163" s="342"/>
      <c r="AG163" s="342"/>
      <c r="AH163" s="342"/>
      <c r="AI163" s="342"/>
    </row>
    <row r="164" s="343" customFormat="true" ht="42.75" hidden="false" customHeight="true" outlineLevel="0" collapsed="false">
      <c r="A164" s="339" t="n">
        <v>154</v>
      </c>
      <c r="B164" s="376" t="s">
        <v>938</v>
      </c>
      <c r="C164" s="370" t="s">
        <v>359</v>
      </c>
      <c r="D164" s="375" t="n">
        <f aca="false">34+17+33+36</f>
        <v>120</v>
      </c>
      <c r="E164" s="337"/>
      <c r="F164" s="366"/>
      <c r="G164" s="324"/>
      <c r="H164" s="355"/>
      <c r="I164" s="333"/>
      <c r="J164" s="324"/>
      <c r="K164" s="355"/>
      <c r="L164" s="364"/>
      <c r="M164" s="324"/>
      <c r="N164" s="331"/>
      <c r="O164" s="345"/>
      <c r="P164" s="341"/>
      <c r="Q164" s="342"/>
      <c r="R164" s="346"/>
      <c r="S164" s="346"/>
      <c r="T164" s="346"/>
      <c r="U164" s="342"/>
      <c r="V164" s="342"/>
      <c r="W164" s="342"/>
      <c r="X164" s="342"/>
      <c r="Y164" s="342"/>
      <c r="Z164" s="342"/>
      <c r="AA164" s="342"/>
      <c r="AB164" s="342"/>
      <c r="AC164" s="342"/>
      <c r="AD164" s="342"/>
      <c r="AE164" s="342"/>
      <c r="AF164" s="342"/>
      <c r="AG164" s="342"/>
      <c r="AH164" s="342"/>
      <c r="AI164" s="342"/>
    </row>
    <row r="165" s="343" customFormat="true" ht="42.75" hidden="false" customHeight="true" outlineLevel="0" collapsed="false">
      <c r="A165" s="339" t="n">
        <v>155</v>
      </c>
      <c r="B165" s="376" t="s">
        <v>939</v>
      </c>
      <c r="C165" s="370" t="s">
        <v>359</v>
      </c>
      <c r="D165" s="375" t="n">
        <f aca="false">10.7</f>
        <v>10.7</v>
      </c>
      <c r="E165" s="337"/>
      <c r="F165" s="366"/>
      <c r="G165" s="324"/>
      <c r="H165" s="328"/>
      <c r="I165" s="333"/>
      <c r="J165" s="324"/>
      <c r="K165" s="355"/>
      <c r="L165" s="364"/>
      <c r="M165" s="324"/>
      <c r="N165" s="331"/>
      <c r="O165" s="345"/>
      <c r="P165" s="341"/>
      <c r="Q165" s="342"/>
      <c r="R165" s="346"/>
      <c r="S165" s="346"/>
      <c r="T165" s="346"/>
      <c r="U165" s="342"/>
      <c r="V165" s="342"/>
      <c r="W165" s="342"/>
      <c r="X165" s="342"/>
      <c r="Y165" s="342"/>
      <c r="Z165" s="342"/>
      <c r="AA165" s="342"/>
      <c r="AB165" s="342"/>
      <c r="AC165" s="342"/>
      <c r="AD165" s="342"/>
      <c r="AE165" s="342"/>
      <c r="AF165" s="342"/>
      <c r="AG165" s="342"/>
      <c r="AH165" s="342"/>
      <c r="AI165" s="342"/>
    </row>
    <row r="166" s="368" customFormat="true" ht="42.75" hidden="false" customHeight="true" outlineLevel="0" collapsed="false">
      <c r="A166" s="322" t="n">
        <v>156</v>
      </c>
      <c r="B166" s="376" t="s">
        <v>940</v>
      </c>
      <c r="C166" s="370" t="s">
        <v>941</v>
      </c>
      <c r="D166" s="375" t="n">
        <v>21</v>
      </c>
      <c r="E166" s="357"/>
      <c r="F166" s="366"/>
      <c r="G166" s="324"/>
      <c r="H166" s="377"/>
      <c r="I166" s="378"/>
      <c r="J166" s="324"/>
      <c r="K166" s="357"/>
      <c r="L166" s="364"/>
      <c r="M166" s="324"/>
      <c r="N166" s="331"/>
      <c r="O166" s="320"/>
      <c r="P166" s="327"/>
      <c r="Q166" s="310"/>
      <c r="R166" s="367"/>
      <c r="S166" s="367"/>
      <c r="T166" s="367"/>
      <c r="U166" s="310"/>
      <c r="V166" s="310"/>
      <c r="W166" s="310"/>
      <c r="X166" s="310"/>
      <c r="Y166" s="310"/>
      <c r="Z166" s="310"/>
      <c r="AA166" s="310"/>
      <c r="AB166" s="310"/>
      <c r="AC166" s="310"/>
      <c r="AD166" s="310"/>
      <c r="AE166" s="310"/>
      <c r="AF166" s="310"/>
      <c r="AG166" s="310"/>
      <c r="AH166" s="310"/>
      <c r="AI166" s="310"/>
    </row>
    <row r="167" s="343" customFormat="true" ht="42.75" hidden="false" customHeight="true" outlineLevel="0" collapsed="false">
      <c r="A167" s="339" t="n">
        <v>157</v>
      </c>
      <c r="B167" s="376" t="s">
        <v>942</v>
      </c>
      <c r="C167" s="370" t="s">
        <v>359</v>
      </c>
      <c r="D167" s="375" t="n">
        <f aca="false">450</f>
        <v>450</v>
      </c>
      <c r="E167" s="337"/>
      <c r="F167" s="366"/>
      <c r="G167" s="324"/>
      <c r="H167" s="328"/>
      <c r="I167" s="333"/>
      <c r="J167" s="324"/>
      <c r="K167" s="355"/>
      <c r="L167" s="364"/>
      <c r="M167" s="324"/>
      <c r="N167" s="331"/>
      <c r="O167" s="345"/>
      <c r="P167" s="341"/>
      <c r="Q167" s="342"/>
      <c r="R167" s="346"/>
      <c r="S167" s="346"/>
      <c r="T167" s="346"/>
      <c r="U167" s="342"/>
      <c r="V167" s="342"/>
      <c r="W167" s="342"/>
      <c r="X167" s="342"/>
      <c r="Y167" s="342"/>
      <c r="Z167" s="342"/>
      <c r="AA167" s="342"/>
      <c r="AB167" s="342"/>
      <c r="AC167" s="342"/>
      <c r="AD167" s="342"/>
      <c r="AE167" s="342"/>
      <c r="AF167" s="342"/>
      <c r="AG167" s="342"/>
      <c r="AH167" s="342"/>
      <c r="AI167" s="342"/>
    </row>
    <row r="168" s="343" customFormat="true" ht="42.75" hidden="false" customHeight="true" outlineLevel="0" collapsed="false">
      <c r="A168" s="339" t="n">
        <v>158</v>
      </c>
      <c r="B168" s="325" t="s">
        <v>943</v>
      </c>
      <c r="C168" s="370" t="s">
        <v>359</v>
      </c>
      <c r="D168" s="375" t="n">
        <f aca="false">7.5+76+65+16+94</f>
        <v>258.5</v>
      </c>
      <c r="E168" s="337"/>
      <c r="F168" s="366"/>
      <c r="G168" s="324"/>
      <c r="H168" s="328"/>
      <c r="I168" s="333"/>
      <c r="J168" s="324"/>
      <c r="K168" s="355"/>
      <c r="L168" s="364"/>
      <c r="M168" s="324"/>
      <c r="N168" s="331"/>
      <c r="O168" s="345"/>
      <c r="P168" s="341"/>
      <c r="Q168" s="342"/>
      <c r="R168" s="346"/>
      <c r="S168" s="346"/>
      <c r="T168" s="346"/>
      <c r="U168" s="342"/>
      <c r="V168" s="342"/>
      <c r="W168" s="342"/>
      <c r="X168" s="342"/>
      <c r="Y168" s="342"/>
      <c r="Z168" s="342"/>
      <c r="AA168" s="342"/>
      <c r="AB168" s="342"/>
      <c r="AC168" s="342"/>
      <c r="AD168" s="342"/>
      <c r="AE168" s="342"/>
      <c r="AF168" s="342"/>
      <c r="AG168" s="342"/>
      <c r="AH168" s="342"/>
      <c r="AI168" s="342"/>
    </row>
    <row r="169" s="343" customFormat="true" ht="33.9" hidden="false" customHeight="true" outlineLevel="0" collapsed="false">
      <c r="A169" s="339" t="n">
        <v>159</v>
      </c>
      <c r="B169" s="325" t="s">
        <v>944</v>
      </c>
      <c r="C169" s="325" t="s">
        <v>56</v>
      </c>
      <c r="D169" s="326" t="n">
        <f aca="false">12</f>
        <v>12</v>
      </c>
      <c r="E169" s="337"/>
      <c r="F169" s="366"/>
      <c r="G169" s="324"/>
      <c r="H169" s="328"/>
      <c r="I169" s="333"/>
      <c r="J169" s="324"/>
      <c r="K169" s="355"/>
      <c r="L169" s="364"/>
      <c r="M169" s="324"/>
      <c r="N169" s="331"/>
      <c r="O169" s="345"/>
      <c r="P169" s="341"/>
      <c r="Q169" s="342"/>
      <c r="R169" s="346"/>
      <c r="S169" s="346"/>
      <c r="T169" s="346"/>
      <c r="U169" s="342"/>
      <c r="V169" s="342"/>
      <c r="W169" s="342"/>
      <c r="X169" s="342"/>
      <c r="Y169" s="342"/>
      <c r="Z169" s="342"/>
      <c r="AA169" s="342"/>
      <c r="AB169" s="342"/>
      <c r="AC169" s="342"/>
      <c r="AD169" s="342"/>
      <c r="AE169" s="342"/>
      <c r="AF169" s="342"/>
      <c r="AG169" s="342"/>
      <c r="AH169" s="342"/>
      <c r="AI169" s="342"/>
    </row>
    <row r="170" s="343" customFormat="true" ht="36.75" hidden="false" customHeight="true" outlineLevel="0" collapsed="false">
      <c r="A170" s="339" t="n">
        <v>160</v>
      </c>
      <c r="B170" s="376" t="s">
        <v>945</v>
      </c>
      <c r="C170" s="370" t="s">
        <v>56</v>
      </c>
      <c r="D170" s="375" t="n">
        <f aca="false">26</f>
        <v>26</v>
      </c>
      <c r="E170" s="337"/>
      <c r="F170" s="366"/>
      <c r="G170" s="324"/>
      <c r="H170" s="328"/>
      <c r="I170" s="333"/>
      <c r="J170" s="324"/>
      <c r="K170" s="355"/>
      <c r="L170" s="364"/>
      <c r="M170" s="324"/>
      <c r="N170" s="331"/>
      <c r="O170" s="345"/>
      <c r="P170" s="341"/>
      <c r="Q170" s="342"/>
      <c r="R170" s="346"/>
      <c r="S170" s="346"/>
      <c r="T170" s="346"/>
      <c r="U170" s="342"/>
      <c r="V170" s="342"/>
      <c r="W170" s="342"/>
      <c r="X170" s="342"/>
      <c r="Y170" s="342"/>
      <c r="Z170" s="342"/>
      <c r="AA170" s="342"/>
      <c r="AB170" s="342"/>
      <c r="AC170" s="342"/>
      <c r="AD170" s="342"/>
      <c r="AE170" s="342"/>
      <c r="AF170" s="342"/>
      <c r="AG170" s="342"/>
      <c r="AH170" s="342"/>
      <c r="AI170" s="342"/>
    </row>
    <row r="171" s="343" customFormat="true" ht="36.75" hidden="false" customHeight="true" outlineLevel="0" collapsed="false">
      <c r="A171" s="339" t="n">
        <v>161</v>
      </c>
      <c r="B171" s="376" t="s">
        <v>946</v>
      </c>
      <c r="C171" s="370" t="s">
        <v>56</v>
      </c>
      <c r="D171" s="375" t="n">
        <f aca="false">4</f>
        <v>4</v>
      </c>
      <c r="E171" s="337"/>
      <c r="F171" s="366"/>
      <c r="G171" s="324"/>
      <c r="H171" s="328"/>
      <c r="I171" s="333"/>
      <c r="J171" s="324"/>
      <c r="K171" s="355"/>
      <c r="L171" s="364"/>
      <c r="M171" s="324"/>
      <c r="N171" s="331"/>
      <c r="O171" s="345"/>
      <c r="P171" s="341"/>
      <c r="Q171" s="342"/>
      <c r="R171" s="346"/>
      <c r="S171" s="346"/>
      <c r="T171" s="346"/>
      <c r="U171" s="342"/>
      <c r="V171" s="342"/>
      <c r="W171" s="342"/>
      <c r="X171" s="342"/>
      <c r="Y171" s="342"/>
      <c r="Z171" s="342"/>
      <c r="AA171" s="342"/>
      <c r="AB171" s="342"/>
      <c r="AC171" s="342"/>
      <c r="AD171" s="342"/>
      <c r="AE171" s="342"/>
      <c r="AF171" s="342"/>
      <c r="AG171" s="342"/>
      <c r="AH171" s="342"/>
      <c r="AI171" s="342"/>
    </row>
    <row r="172" s="343" customFormat="true" ht="36.75" hidden="false" customHeight="true" outlineLevel="0" collapsed="false">
      <c r="A172" s="339" t="n">
        <v>162</v>
      </c>
      <c r="B172" s="376" t="s">
        <v>947</v>
      </c>
      <c r="C172" s="370" t="s">
        <v>56</v>
      </c>
      <c r="D172" s="375" t="n">
        <f aca="false">11</f>
        <v>11</v>
      </c>
      <c r="E172" s="337"/>
      <c r="F172" s="366"/>
      <c r="G172" s="324"/>
      <c r="H172" s="328"/>
      <c r="I172" s="333"/>
      <c r="J172" s="324"/>
      <c r="K172" s="355"/>
      <c r="L172" s="364"/>
      <c r="M172" s="324"/>
      <c r="N172" s="331"/>
      <c r="O172" s="345"/>
      <c r="P172" s="341"/>
      <c r="Q172" s="342"/>
      <c r="R172" s="346"/>
      <c r="S172" s="346"/>
      <c r="T172" s="346"/>
      <c r="U172" s="342"/>
      <c r="V172" s="342"/>
      <c r="W172" s="342"/>
      <c r="X172" s="342"/>
      <c r="Y172" s="342"/>
      <c r="Z172" s="342"/>
      <c r="AA172" s="342"/>
      <c r="AB172" s="342"/>
      <c r="AC172" s="342"/>
      <c r="AD172" s="342"/>
      <c r="AE172" s="342"/>
      <c r="AF172" s="342"/>
      <c r="AG172" s="342"/>
      <c r="AH172" s="342"/>
      <c r="AI172" s="342"/>
    </row>
    <row r="173" customFormat="false" ht="51" hidden="false" customHeight="true" outlineLevel="0" collapsed="false">
      <c r="A173" s="322" t="n">
        <v>163</v>
      </c>
      <c r="B173" s="376" t="s">
        <v>948</v>
      </c>
      <c r="C173" s="370" t="s">
        <v>56</v>
      </c>
      <c r="D173" s="375" t="n">
        <f aca="false">30</f>
        <v>30</v>
      </c>
      <c r="E173" s="338"/>
      <c r="F173" s="366"/>
      <c r="G173" s="324"/>
      <c r="H173" s="338"/>
      <c r="I173" s="333"/>
      <c r="J173" s="324"/>
      <c r="K173" s="363"/>
      <c r="L173" s="364"/>
      <c r="M173" s="324"/>
      <c r="N173" s="331"/>
      <c r="O173" s="331"/>
      <c r="P173" s="328"/>
      <c r="Q173" s="309"/>
      <c r="R173" s="332"/>
      <c r="S173" s="332"/>
      <c r="T173" s="332"/>
      <c r="U173" s="309"/>
      <c r="V173" s="309"/>
      <c r="W173" s="309"/>
      <c r="X173" s="309"/>
      <c r="Y173" s="309"/>
      <c r="Z173" s="309"/>
      <c r="AA173" s="309"/>
      <c r="AB173" s="309"/>
      <c r="AC173" s="309"/>
      <c r="AD173" s="309"/>
      <c r="AE173" s="309"/>
      <c r="AF173" s="309"/>
      <c r="AG173" s="309"/>
      <c r="AH173" s="309"/>
      <c r="AI173" s="309"/>
    </row>
    <row r="174" customFormat="false" ht="41.25" hidden="false" customHeight="true" outlineLevel="0" collapsed="false">
      <c r="A174" s="322" t="n">
        <v>164</v>
      </c>
      <c r="B174" s="376" t="s">
        <v>949</v>
      </c>
      <c r="C174" s="370" t="s">
        <v>56</v>
      </c>
      <c r="D174" s="375" t="n">
        <f aca="false">90</f>
        <v>90</v>
      </c>
      <c r="E174" s="338"/>
      <c r="F174" s="366"/>
      <c r="G174" s="324"/>
      <c r="H174" s="338"/>
      <c r="I174" s="333"/>
      <c r="J174" s="324"/>
      <c r="K174" s="363"/>
      <c r="L174" s="364"/>
      <c r="M174" s="324"/>
      <c r="N174" s="331"/>
      <c r="O174" s="331"/>
      <c r="P174" s="328"/>
      <c r="Q174" s="309"/>
      <c r="R174" s="332"/>
      <c r="S174" s="332"/>
      <c r="T174" s="332"/>
      <c r="U174" s="309"/>
      <c r="V174" s="309"/>
      <c r="W174" s="309"/>
      <c r="X174" s="309"/>
      <c r="Y174" s="309"/>
      <c r="Z174" s="309"/>
      <c r="AA174" s="309"/>
      <c r="AB174" s="309"/>
      <c r="AC174" s="309"/>
      <c r="AD174" s="309"/>
      <c r="AE174" s="309"/>
      <c r="AF174" s="309"/>
      <c r="AG174" s="309"/>
      <c r="AH174" s="309"/>
      <c r="AI174" s="309"/>
    </row>
    <row r="175" customFormat="false" ht="40.5" hidden="false" customHeight="true" outlineLevel="0" collapsed="false">
      <c r="A175" s="322" t="n">
        <v>165</v>
      </c>
      <c r="B175" s="376" t="s">
        <v>950</v>
      </c>
      <c r="C175" s="370" t="s">
        <v>56</v>
      </c>
      <c r="D175" s="375" t="n">
        <f aca="false">10</f>
        <v>10</v>
      </c>
      <c r="E175" s="338"/>
      <c r="F175" s="366"/>
      <c r="G175" s="324"/>
      <c r="H175" s="338"/>
      <c r="I175" s="333"/>
      <c r="J175" s="324"/>
      <c r="K175" s="363"/>
      <c r="L175" s="364"/>
      <c r="M175" s="324"/>
      <c r="N175" s="331"/>
      <c r="O175" s="331"/>
      <c r="P175" s="328"/>
      <c r="Q175" s="309"/>
      <c r="R175" s="332"/>
      <c r="S175" s="332"/>
      <c r="T175" s="332"/>
      <c r="U175" s="309"/>
      <c r="V175" s="309"/>
      <c r="W175" s="309"/>
      <c r="X175" s="309"/>
      <c r="Y175" s="309"/>
      <c r="Z175" s="309"/>
      <c r="AA175" s="309"/>
      <c r="AB175" s="309"/>
      <c r="AC175" s="309"/>
      <c r="AD175" s="309"/>
      <c r="AE175" s="309"/>
      <c r="AF175" s="309"/>
      <c r="AG175" s="309"/>
      <c r="AH175" s="309"/>
      <c r="AI175" s="309"/>
    </row>
    <row r="176" customFormat="false" ht="51.75" hidden="false" customHeight="true" outlineLevel="0" collapsed="false">
      <c r="A176" s="322" t="n">
        <v>166</v>
      </c>
      <c r="B176" s="376" t="s">
        <v>951</v>
      </c>
      <c r="C176" s="370" t="s">
        <v>56</v>
      </c>
      <c r="D176" s="375" t="n">
        <f aca="false">10</f>
        <v>10</v>
      </c>
      <c r="E176" s="338"/>
      <c r="F176" s="366"/>
      <c r="G176" s="324"/>
      <c r="H176" s="338"/>
      <c r="I176" s="333"/>
      <c r="J176" s="324"/>
      <c r="K176" s="363"/>
      <c r="L176" s="364"/>
      <c r="M176" s="324"/>
      <c r="N176" s="331"/>
      <c r="O176" s="331"/>
      <c r="P176" s="328"/>
      <c r="Q176" s="309"/>
      <c r="R176" s="332"/>
      <c r="S176" s="332"/>
      <c r="T176" s="332"/>
      <c r="U176" s="309"/>
      <c r="V176" s="309"/>
      <c r="W176" s="309"/>
      <c r="X176" s="309"/>
      <c r="Y176" s="309"/>
      <c r="Z176" s="309"/>
      <c r="AA176" s="309"/>
      <c r="AB176" s="309"/>
      <c r="AC176" s="309"/>
      <c r="AD176" s="309"/>
      <c r="AE176" s="309"/>
      <c r="AF176" s="309"/>
      <c r="AG176" s="309"/>
      <c r="AH176" s="309"/>
      <c r="AI176" s="309"/>
    </row>
    <row r="177" customFormat="false" ht="46.5" hidden="false" customHeight="true" outlineLevel="0" collapsed="false">
      <c r="A177" s="322" t="n">
        <v>167</v>
      </c>
      <c r="B177" s="376" t="s">
        <v>952</v>
      </c>
      <c r="C177" s="370" t="s">
        <v>56</v>
      </c>
      <c r="D177" s="375" t="n">
        <f aca="false">10</f>
        <v>10</v>
      </c>
      <c r="E177" s="338"/>
      <c r="F177" s="366"/>
      <c r="G177" s="324"/>
      <c r="H177" s="338"/>
      <c r="I177" s="333"/>
      <c r="J177" s="324"/>
      <c r="K177" s="363"/>
      <c r="L177" s="364"/>
      <c r="M177" s="324"/>
      <c r="N177" s="331"/>
      <c r="O177" s="331"/>
      <c r="P177" s="328"/>
      <c r="Q177" s="309"/>
      <c r="R177" s="332"/>
      <c r="S177" s="332"/>
      <c r="T177" s="332"/>
      <c r="U177" s="309"/>
      <c r="V177" s="309"/>
      <c r="W177" s="309"/>
      <c r="X177" s="309"/>
      <c r="Y177" s="309"/>
      <c r="Z177" s="309"/>
      <c r="AA177" s="309"/>
      <c r="AB177" s="309"/>
      <c r="AC177" s="309"/>
      <c r="AD177" s="309"/>
      <c r="AE177" s="309"/>
      <c r="AF177" s="309"/>
      <c r="AG177" s="309"/>
      <c r="AH177" s="309"/>
      <c r="AI177" s="309"/>
    </row>
    <row r="178" customFormat="false" ht="51.75" hidden="false" customHeight="true" outlineLevel="0" collapsed="false">
      <c r="A178" s="322" t="n">
        <v>168</v>
      </c>
      <c r="B178" s="376" t="s">
        <v>953</v>
      </c>
      <c r="C178" s="370" t="s">
        <v>56</v>
      </c>
      <c r="D178" s="375" t="n">
        <f aca="false">10</f>
        <v>10</v>
      </c>
      <c r="E178" s="338"/>
      <c r="F178" s="366"/>
      <c r="G178" s="324"/>
      <c r="H178" s="338"/>
      <c r="I178" s="333"/>
      <c r="J178" s="324"/>
      <c r="K178" s="363"/>
      <c r="L178" s="364"/>
      <c r="M178" s="324"/>
      <c r="N178" s="331"/>
      <c r="O178" s="331"/>
      <c r="P178" s="328"/>
      <c r="Q178" s="309"/>
      <c r="R178" s="332"/>
      <c r="S178" s="332"/>
      <c r="T178" s="332"/>
      <c r="U178" s="309"/>
      <c r="V178" s="309"/>
      <c r="W178" s="309"/>
      <c r="X178" s="309"/>
      <c r="Y178" s="309"/>
      <c r="Z178" s="309"/>
      <c r="AA178" s="309"/>
      <c r="AB178" s="309"/>
      <c r="AC178" s="309"/>
      <c r="AD178" s="309"/>
      <c r="AE178" s="309"/>
      <c r="AF178" s="309"/>
      <c r="AG178" s="309"/>
      <c r="AH178" s="309"/>
      <c r="AI178" s="309"/>
    </row>
    <row r="179" customFormat="false" ht="53.25" hidden="false" customHeight="true" outlineLevel="0" collapsed="false">
      <c r="A179" s="322" t="n">
        <v>169</v>
      </c>
      <c r="B179" s="376" t="s">
        <v>954</v>
      </c>
      <c r="C179" s="370" t="s">
        <v>56</v>
      </c>
      <c r="D179" s="375" t="n">
        <f aca="false">10</f>
        <v>10</v>
      </c>
      <c r="E179" s="338"/>
      <c r="F179" s="366"/>
      <c r="G179" s="324"/>
      <c r="H179" s="338"/>
      <c r="I179" s="333"/>
      <c r="J179" s="324"/>
      <c r="K179" s="363"/>
      <c r="L179" s="364"/>
      <c r="M179" s="324"/>
      <c r="N179" s="331"/>
      <c r="O179" s="331"/>
      <c r="P179" s="328"/>
      <c r="Q179" s="309"/>
      <c r="R179" s="332"/>
      <c r="S179" s="332"/>
      <c r="T179" s="332"/>
      <c r="U179" s="309"/>
      <c r="V179" s="309"/>
      <c r="W179" s="309"/>
      <c r="X179" s="309"/>
      <c r="Y179" s="309"/>
      <c r="Z179" s="309"/>
      <c r="AA179" s="309"/>
      <c r="AB179" s="309"/>
      <c r="AC179" s="309"/>
      <c r="AD179" s="309"/>
      <c r="AE179" s="309"/>
      <c r="AF179" s="309"/>
      <c r="AG179" s="309"/>
      <c r="AH179" s="309"/>
      <c r="AI179" s="309"/>
    </row>
    <row r="180" customFormat="false" ht="42" hidden="false" customHeight="true" outlineLevel="0" collapsed="false">
      <c r="A180" s="322" t="n">
        <v>170</v>
      </c>
      <c r="B180" s="376" t="s">
        <v>955</v>
      </c>
      <c r="C180" s="370" t="s">
        <v>56</v>
      </c>
      <c r="D180" s="375" t="n">
        <f aca="false">1</f>
        <v>1</v>
      </c>
      <c r="E180" s="338"/>
      <c r="F180" s="366"/>
      <c r="G180" s="324"/>
      <c r="H180" s="338"/>
      <c r="I180" s="333"/>
      <c r="J180" s="324"/>
      <c r="K180" s="363"/>
      <c r="L180" s="364"/>
      <c r="M180" s="324"/>
      <c r="N180" s="331"/>
      <c r="O180" s="331"/>
      <c r="P180" s="328"/>
      <c r="Q180" s="309"/>
      <c r="R180" s="332"/>
      <c r="S180" s="332"/>
      <c r="T180" s="332"/>
      <c r="U180" s="309"/>
      <c r="V180" s="309"/>
      <c r="W180" s="309"/>
      <c r="X180" s="309"/>
      <c r="Y180" s="309"/>
      <c r="Z180" s="309"/>
      <c r="AA180" s="309"/>
      <c r="AB180" s="309"/>
      <c r="AC180" s="309"/>
      <c r="AD180" s="309"/>
      <c r="AE180" s="309"/>
      <c r="AF180" s="309"/>
      <c r="AG180" s="309"/>
      <c r="AH180" s="309"/>
      <c r="AI180" s="309"/>
    </row>
    <row r="181" customFormat="false" ht="42.75" hidden="false" customHeight="true" outlineLevel="0" collapsed="false">
      <c r="A181" s="322" t="n">
        <v>171</v>
      </c>
      <c r="B181" s="376" t="s">
        <v>956</v>
      </c>
      <c r="C181" s="370" t="s">
        <v>56</v>
      </c>
      <c r="D181" s="375" t="n">
        <f aca="false">2</f>
        <v>2</v>
      </c>
      <c r="E181" s="338"/>
      <c r="F181" s="366"/>
      <c r="G181" s="324"/>
      <c r="H181" s="338"/>
      <c r="I181" s="333"/>
      <c r="J181" s="324"/>
      <c r="K181" s="363"/>
      <c r="L181" s="364"/>
      <c r="M181" s="324"/>
      <c r="N181" s="331"/>
      <c r="O181" s="331"/>
      <c r="P181" s="328"/>
      <c r="Q181" s="309"/>
      <c r="R181" s="332"/>
      <c r="S181" s="332"/>
      <c r="T181" s="332"/>
      <c r="U181" s="309"/>
      <c r="V181" s="309"/>
      <c r="W181" s="309"/>
      <c r="X181" s="309"/>
      <c r="Y181" s="309"/>
      <c r="Z181" s="309"/>
      <c r="AA181" s="309"/>
      <c r="AB181" s="309"/>
      <c r="AC181" s="309"/>
      <c r="AD181" s="309"/>
      <c r="AE181" s="309"/>
      <c r="AF181" s="309"/>
      <c r="AG181" s="309"/>
      <c r="AH181" s="309"/>
      <c r="AI181" s="309"/>
    </row>
    <row r="182" customFormat="false" ht="48" hidden="false" customHeight="true" outlineLevel="0" collapsed="false">
      <c r="A182" s="322" t="n">
        <v>172</v>
      </c>
      <c r="B182" s="376" t="s">
        <v>957</v>
      </c>
      <c r="C182" s="370" t="s">
        <v>56</v>
      </c>
      <c r="D182" s="375" t="n">
        <f aca="false">10</f>
        <v>10</v>
      </c>
      <c r="E182" s="338"/>
      <c r="F182" s="366"/>
      <c r="G182" s="324"/>
      <c r="H182" s="338"/>
      <c r="I182" s="333"/>
      <c r="J182" s="324"/>
      <c r="K182" s="363"/>
      <c r="L182" s="364"/>
      <c r="M182" s="324"/>
      <c r="N182" s="331"/>
      <c r="O182" s="331"/>
      <c r="P182" s="328"/>
      <c r="Q182" s="309"/>
      <c r="R182" s="332"/>
      <c r="S182" s="332"/>
      <c r="T182" s="332"/>
      <c r="U182" s="309"/>
      <c r="V182" s="309"/>
      <c r="W182" s="309"/>
      <c r="X182" s="309"/>
      <c r="Y182" s="309"/>
      <c r="Z182" s="309"/>
      <c r="AA182" s="309"/>
      <c r="AB182" s="309"/>
      <c r="AC182" s="309"/>
      <c r="AD182" s="309"/>
      <c r="AE182" s="309"/>
      <c r="AF182" s="309"/>
      <c r="AG182" s="309"/>
      <c r="AH182" s="309"/>
      <c r="AI182" s="309"/>
    </row>
    <row r="183" customFormat="false" ht="40.5" hidden="false" customHeight="true" outlineLevel="0" collapsed="false">
      <c r="A183" s="322" t="n">
        <v>173</v>
      </c>
      <c r="B183" s="376" t="s">
        <v>958</v>
      </c>
      <c r="C183" s="370" t="s">
        <v>56</v>
      </c>
      <c r="D183" s="375" t="n">
        <f aca="false">20</f>
        <v>20</v>
      </c>
      <c r="E183" s="338"/>
      <c r="F183" s="366"/>
      <c r="G183" s="324"/>
      <c r="H183" s="338"/>
      <c r="I183" s="333"/>
      <c r="J183" s="324"/>
      <c r="K183" s="363"/>
      <c r="L183" s="364"/>
      <c r="M183" s="324"/>
      <c r="N183" s="331"/>
      <c r="O183" s="331"/>
      <c r="P183" s="328"/>
      <c r="Q183" s="309"/>
      <c r="R183" s="332"/>
      <c r="S183" s="332"/>
      <c r="T183" s="332"/>
      <c r="U183" s="309"/>
      <c r="V183" s="309"/>
      <c r="W183" s="309"/>
      <c r="X183" s="309"/>
      <c r="Y183" s="309"/>
      <c r="Z183" s="309"/>
      <c r="AA183" s="309"/>
      <c r="AB183" s="309"/>
      <c r="AC183" s="309"/>
      <c r="AD183" s="309"/>
      <c r="AE183" s="309"/>
      <c r="AF183" s="309"/>
      <c r="AG183" s="309"/>
      <c r="AH183" s="309"/>
      <c r="AI183" s="309"/>
    </row>
    <row r="184" customFormat="false" ht="39.75" hidden="false" customHeight="true" outlineLevel="0" collapsed="false">
      <c r="A184" s="322" t="n">
        <v>174</v>
      </c>
      <c r="B184" s="376" t="s">
        <v>959</v>
      </c>
      <c r="C184" s="370" t="s">
        <v>56</v>
      </c>
      <c r="D184" s="375" t="n">
        <f aca="false">4</f>
        <v>4</v>
      </c>
      <c r="E184" s="338"/>
      <c r="F184" s="366"/>
      <c r="G184" s="324"/>
      <c r="H184" s="338"/>
      <c r="I184" s="333"/>
      <c r="J184" s="324"/>
      <c r="K184" s="363"/>
      <c r="L184" s="364"/>
      <c r="M184" s="324"/>
      <c r="N184" s="331"/>
      <c r="O184" s="331"/>
      <c r="P184" s="328"/>
      <c r="Q184" s="309"/>
      <c r="R184" s="332"/>
      <c r="S184" s="332"/>
      <c r="T184" s="332"/>
      <c r="U184" s="309"/>
      <c r="V184" s="309"/>
      <c r="W184" s="309"/>
      <c r="X184" s="309"/>
      <c r="Y184" s="309"/>
      <c r="Z184" s="309"/>
      <c r="AA184" s="309"/>
      <c r="AB184" s="309"/>
      <c r="AC184" s="309"/>
      <c r="AD184" s="309"/>
      <c r="AE184" s="309"/>
      <c r="AF184" s="309"/>
      <c r="AG184" s="309"/>
      <c r="AH184" s="309"/>
      <c r="AI184" s="309"/>
    </row>
    <row r="185" customFormat="false" ht="36" hidden="false" customHeight="true" outlineLevel="0" collapsed="false">
      <c r="A185" s="322" t="n">
        <v>175</v>
      </c>
      <c r="B185" s="376" t="s">
        <v>960</v>
      </c>
      <c r="C185" s="370" t="s">
        <v>56</v>
      </c>
      <c r="D185" s="375" t="n">
        <v>1</v>
      </c>
      <c r="E185" s="338"/>
      <c r="F185" s="366"/>
      <c r="G185" s="324"/>
      <c r="H185" s="338"/>
      <c r="I185" s="333"/>
      <c r="J185" s="324"/>
      <c r="K185" s="363"/>
      <c r="L185" s="364"/>
      <c r="M185" s="324"/>
      <c r="N185" s="331"/>
      <c r="O185" s="331"/>
      <c r="P185" s="328"/>
      <c r="Q185" s="309"/>
      <c r="R185" s="332"/>
      <c r="S185" s="332"/>
      <c r="T185" s="332"/>
      <c r="U185" s="309"/>
      <c r="V185" s="309"/>
      <c r="W185" s="309"/>
      <c r="X185" s="309"/>
      <c r="Y185" s="309"/>
      <c r="Z185" s="309"/>
      <c r="AA185" s="309"/>
      <c r="AB185" s="309"/>
      <c r="AC185" s="309"/>
      <c r="AD185" s="309"/>
      <c r="AE185" s="309"/>
      <c r="AF185" s="309"/>
      <c r="AG185" s="309"/>
      <c r="AH185" s="309"/>
      <c r="AI185" s="309"/>
    </row>
    <row r="186" customFormat="false" ht="39" hidden="false" customHeight="true" outlineLevel="0" collapsed="false">
      <c r="A186" s="322" t="n">
        <v>176</v>
      </c>
      <c r="B186" s="376" t="s">
        <v>961</v>
      </c>
      <c r="C186" s="370" t="s">
        <v>56</v>
      </c>
      <c r="D186" s="375" t="n">
        <f aca="false">1</f>
        <v>1</v>
      </c>
      <c r="E186" s="338"/>
      <c r="F186" s="366"/>
      <c r="G186" s="324"/>
      <c r="H186" s="338"/>
      <c r="I186" s="333"/>
      <c r="J186" s="324"/>
      <c r="K186" s="363"/>
      <c r="L186" s="364"/>
      <c r="M186" s="324"/>
      <c r="N186" s="331"/>
      <c r="O186" s="331"/>
      <c r="P186" s="328"/>
      <c r="Q186" s="309"/>
      <c r="R186" s="332"/>
      <c r="S186" s="332"/>
      <c r="T186" s="332"/>
      <c r="U186" s="309"/>
      <c r="V186" s="309"/>
      <c r="W186" s="309"/>
      <c r="X186" s="309"/>
      <c r="Y186" s="309"/>
      <c r="Z186" s="309"/>
      <c r="AA186" s="309"/>
      <c r="AB186" s="309"/>
      <c r="AC186" s="309"/>
      <c r="AD186" s="309"/>
      <c r="AE186" s="309"/>
      <c r="AF186" s="309"/>
      <c r="AG186" s="309"/>
      <c r="AH186" s="309"/>
      <c r="AI186" s="309"/>
    </row>
    <row r="187" customFormat="false" ht="39" hidden="false" customHeight="true" outlineLevel="0" collapsed="false">
      <c r="A187" s="322" t="n">
        <v>177</v>
      </c>
      <c r="B187" s="376" t="s">
        <v>962</v>
      </c>
      <c r="C187" s="370" t="s">
        <v>56</v>
      </c>
      <c r="D187" s="375" t="n">
        <f aca="false">1</f>
        <v>1</v>
      </c>
      <c r="E187" s="338"/>
      <c r="F187" s="366"/>
      <c r="G187" s="324"/>
      <c r="H187" s="338"/>
      <c r="I187" s="333"/>
      <c r="J187" s="324"/>
      <c r="K187" s="363"/>
      <c r="L187" s="364"/>
      <c r="M187" s="324"/>
      <c r="N187" s="331"/>
      <c r="O187" s="331"/>
      <c r="P187" s="328"/>
      <c r="Q187" s="309"/>
      <c r="R187" s="332"/>
      <c r="S187" s="332"/>
      <c r="T187" s="332"/>
      <c r="U187" s="309"/>
      <c r="V187" s="309"/>
      <c r="W187" s="309"/>
      <c r="X187" s="309"/>
      <c r="Y187" s="309"/>
      <c r="Z187" s="309"/>
      <c r="AA187" s="309"/>
      <c r="AB187" s="309"/>
      <c r="AC187" s="309"/>
      <c r="AD187" s="309"/>
      <c r="AE187" s="309"/>
      <c r="AF187" s="309"/>
      <c r="AG187" s="309"/>
      <c r="AH187" s="309"/>
      <c r="AI187" s="309"/>
    </row>
    <row r="188" customFormat="false" ht="40.7" hidden="false" customHeight="true" outlineLevel="0" collapsed="false">
      <c r="A188" s="322" t="n">
        <v>178</v>
      </c>
      <c r="B188" s="376" t="s">
        <v>963</v>
      </c>
      <c r="C188" s="370" t="s">
        <v>56</v>
      </c>
      <c r="D188" s="375" t="n">
        <f aca="false">8</f>
        <v>8</v>
      </c>
      <c r="E188" s="379"/>
      <c r="F188" s="380"/>
      <c r="G188" s="324"/>
      <c r="H188" s="373"/>
      <c r="I188" s="333"/>
      <c r="J188" s="324"/>
      <c r="K188" s="363"/>
      <c r="L188" s="324"/>
      <c r="M188" s="324"/>
      <c r="N188" s="331"/>
      <c r="O188" s="331"/>
      <c r="P188" s="328"/>
      <c r="Q188" s="309"/>
      <c r="R188" s="332"/>
      <c r="S188" s="332"/>
      <c r="T188" s="332"/>
      <c r="U188" s="309"/>
      <c r="V188" s="309"/>
      <c r="W188" s="309"/>
      <c r="X188" s="309"/>
      <c r="Y188" s="309"/>
      <c r="Z188" s="309"/>
      <c r="AA188" s="309"/>
      <c r="AB188" s="309"/>
      <c r="AC188" s="309"/>
      <c r="AD188" s="309"/>
      <c r="AE188" s="309"/>
      <c r="AF188" s="309"/>
      <c r="AG188" s="309"/>
      <c r="AH188" s="309"/>
      <c r="AI188" s="309"/>
    </row>
    <row r="189" customFormat="false" ht="43.5" hidden="false" customHeight="true" outlineLevel="0" collapsed="false">
      <c r="A189" s="322" t="n">
        <v>179</v>
      </c>
      <c r="B189" s="376" t="s">
        <v>964</v>
      </c>
      <c r="C189" s="370" t="s">
        <v>56</v>
      </c>
      <c r="D189" s="375" t="n">
        <f aca="false">2</f>
        <v>2</v>
      </c>
      <c r="E189" s="337"/>
      <c r="F189" s="366"/>
      <c r="G189" s="324"/>
      <c r="H189" s="373"/>
      <c r="I189" s="333"/>
      <c r="J189" s="324"/>
      <c r="K189" s="363"/>
      <c r="L189" s="364"/>
      <c r="M189" s="324"/>
      <c r="N189" s="331"/>
      <c r="O189" s="331"/>
      <c r="P189" s="328"/>
      <c r="Q189" s="309"/>
      <c r="R189" s="332"/>
      <c r="S189" s="332"/>
      <c r="T189" s="332"/>
      <c r="U189" s="309"/>
      <c r="V189" s="309"/>
      <c r="W189" s="309"/>
      <c r="X189" s="309"/>
      <c r="Y189" s="309"/>
      <c r="Z189" s="309"/>
      <c r="AA189" s="309"/>
      <c r="AB189" s="309"/>
      <c r="AC189" s="309"/>
      <c r="AD189" s="309"/>
      <c r="AE189" s="309"/>
      <c r="AF189" s="309"/>
      <c r="AG189" s="309"/>
      <c r="AH189" s="309"/>
      <c r="AI189" s="309"/>
    </row>
    <row r="190" customFormat="false" ht="37.5" hidden="false" customHeight="true" outlineLevel="0" collapsed="false">
      <c r="A190" s="322" t="n">
        <v>180</v>
      </c>
      <c r="B190" s="376" t="s">
        <v>965</v>
      </c>
      <c r="C190" s="370" t="s">
        <v>56</v>
      </c>
      <c r="D190" s="375" t="n">
        <f aca="false">4</f>
        <v>4</v>
      </c>
      <c r="E190" s="337"/>
      <c r="F190" s="366"/>
      <c r="G190" s="324"/>
      <c r="H190" s="373"/>
      <c r="I190" s="333"/>
      <c r="J190" s="324"/>
      <c r="K190" s="363"/>
      <c r="L190" s="364"/>
      <c r="M190" s="324"/>
      <c r="N190" s="331"/>
      <c r="O190" s="331"/>
      <c r="P190" s="328"/>
      <c r="Q190" s="309"/>
      <c r="R190" s="332"/>
      <c r="S190" s="332"/>
      <c r="T190" s="332"/>
      <c r="U190" s="309"/>
      <c r="V190" s="309"/>
      <c r="W190" s="309"/>
      <c r="X190" s="309"/>
      <c r="Y190" s="309"/>
      <c r="Z190" s="309"/>
      <c r="AA190" s="309"/>
      <c r="AB190" s="309"/>
      <c r="AC190" s="309"/>
      <c r="AD190" s="309"/>
      <c r="AE190" s="309"/>
      <c r="AF190" s="309"/>
      <c r="AG190" s="309"/>
      <c r="AH190" s="309"/>
      <c r="AI190" s="309"/>
    </row>
    <row r="191" customFormat="false" ht="42.75" hidden="false" customHeight="true" outlineLevel="0" collapsed="false">
      <c r="A191" s="322" t="n">
        <v>181</v>
      </c>
      <c r="B191" s="376" t="s">
        <v>966</v>
      </c>
      <c r="C191" s="370" t="s">
        <v>56</v>
      </c>
      <c r="D191" s="375" t="n">
        <f aca="false">6</f>
        <v>6</v>
      </c>
      <c r="E191" s="337"/>
      <c r="F191" s="366"/>
      <c r="G191" s="324"/>
      <c r="H191" s="373"/>
      <c r="I191" s="333"/>
      <c r="J191" s="324"/>
      <c r="K191" s="363"/>
      <c r="L191" s="364"/>
      <c r="M191" s="324"/>
      <c r="N191" s="331"/>
      <c r="O191" s="331"/>
      <c r="P191" s="328"/>
      <c r="Q191" s="309"/>
      <c r="R191" s="332"/>
      <c r="S191" s="332"/>
      <c r="T191" s="332"/>
      <c r="U191" s="309"/>
      <c r="V191" s="309"/>
      <c r="W191" s="309"/>
      <c r="X191" s="309"/>
      <c r="Y191" s="309"/>
      <c r="Z191" s="309"/>
      <c r="AA191" s="309"/>
      <c r="AB191" s="309"/>
      <c r="AC191" s="309"/>
      <c r="AD191" s="309"/>
      <c r="AE191" s="309"/>
      <c r="AF191" s="309"/>
      <c r="AG191" s="309"/>
      <c r="AH191" s="309"/>
      <c r="AI191" s="309"/>
    </row>
    <row r="192" customFormat="false" ht="39.75" hidden="false" customHeight="true" outlineLevel="0" collapsed="false">
      <c r="A192" s="322" t="n">
        <v>182</v>
      </c>
      <c r="B192" s="376" t="s">
        <v>967</v>
      </c>
      <c r="C192" s="370" t="s">
        <v>56</v>
      </c>
      <c r="D192" s="375" t="n">
        <f aca="false">4</f>
        <v>4</v>
      </c>
      <c r="E192" s="337"/>
      <c r="F192" s="366"/>
      <c r="G192" s="324"/>
      <c r="H192" s="373"/>
      <c r="I192" s="333"/>
      <c r="J192" s="324"/>
      <c r="K192" s="363"/>
      <c r="L192" s="364"/>
      <c r="M192" s="324"/>
      <c r="N192" s="331"/>
      <c r="O192" s="331"/>
      <c r="P192" s="328"/>
      <c r="Q192" s="309"/>
      <c r="R192" s="332"/>
      <c r="S192" s="332"/>
      <c r="T192" s="332"/>
      <c r="U192" s="309"/>
      <c r="V192" s="309"/>
      <c r="W192" s="309"/>
      <c r="X192" s="309"/>
      <c r="Y192" s="309"/>
      <c r="Z192" s="309"/>
      <c r="AA192" s="309"/>
      <c r="AB192" s="309"/>
      <c r="AC192" s="309"/>
      <c r="AD192" s="309"/>
      <c r="AE192" s="309"/>
      <c r="AF192" s="309"/>
      <c r="AG192" s="309"/>
      <c r="AH192" s="309"/>
      <c r="AI192" s="309"/>
    </row>
    <row r="193" customFormat="false" ht="42.75" hidden="false" customHeight="true" outlineLevel="0" collapsed="false">
      <c r="A193" s="322" t="n">
        <v>183</v>
      </c>
      <c r="B193" s="376" t="s">
        <v>968</v>
      </c>
      <c r="C193" s="370" t="s">
        <v>56</v>
      </c>
      <c r="D193" s="375" t="n">
        <f aca="false">2</f>
        <v>2</v>
      </c>
      <c r="E193" s="337"/>
      <c r="F193" s="366"/>
      <c r="G193" s="324"/>
      <c r="H193" s="373"/>
      <c r="I193" s="333"/>
      <c r="J193" s="324"/>
      <c r="K193" s="363"/>
      <c r="L193" s="364"/>
      <c r="M193" s="324"/>
      <c r="N193" s="331"/>
      <c r="O193" s="331"/>
      <c r="P193" s="328"/>
      <c r="Q193" s="309"/>
      <c r="R193" s="332"/>
      <c r="S193" s="332"/>
      <c r="T193" s="332"/>
      <c r="U193" s="309"/>
      <c r="V193" s="309"/>
      <c r="W193" s="309"/>
      <c r="X193" s="309"/>
      <c r="Y193" s="309"/>
      <c r="Z193" s="309"/>
      <c r="AA193" s="309"/>
      <c r="AB193" s="309"/>
      <c r="AC193" s="309"/>
      <c r="AD193" s="309"/>
      <c r="AE193" s="309"/>
      <c r="AF193" s="309"/>
      <c r="AG193" s="309"/>
      <c r="AH193" s="309"/>
      <c r="AI193" s="309"/>
    </row>
    <row r="194" customFormat="false" ht="42.75" hidden="false" customHeight="true" outlineLevel="0" collapsed="false">
      <c r="A194" s="322" t="n">
        <v>184</v>
      </c>
      <c r="B194" s="376" t="s">
        <v>969</v>
      </c>
      <c r="C194" s="370" t="s">
        <v>56</v>
      </c>
      <c r="D194" s="375" t="n">
        <f aca="false">4</f>
        <v>4</v>
      </c>
      <c r="E194" s="337"/>
      <c r="F194" s="366"/>
      <c r="G194" s="324"/>
      <c r="H194" s="373"/>
      <c r="I194" s="333"/>
      <c r="J194" s="324"/>
      <c r="K194" s="363"/>
      <c r="L194" s="364"/>
      <c r="M194" s="324"/>
      <c r="N194" s="331"/>
      <c r="O194" s="331"/>
      <c r="P194" s="328"/>
      <c r="Q194" s="309"/>
      <c r="R194" s="332"/>
      <c r="S194" s="332"/>
      <c r="T194" s="332"/>
      <c r="U194" s="309"/>
      <c r="V194" s="309"/>
      <c r="W194" s="309"/>
      <c r="X194" s="309"/>
      <c r="Y194" s="309"/>
      <c r="Z194" s="309"/>
      <c r="AA194" s="309"/>
      <c r="AB194" s="309"/>
      <c r="AC194" s="309"/>
      <c r="AD194" s="309"/>
      <c r="AE194" s="309"/>
      <c r="AF194" s="309"/>
      <c r="AG194" s="309"/>
      <c r="AH194" s="309"/>
      <c r="AI194" s="309"/>
    </row>
    <row r="195" customFormat="false" ht="42.75" hidden="false" customHeight="true" outlineLevel="0" collapsed="false">
      <c r="A195" s="322" t="n">
        <v>185</v>
      </c>
      <c r="B195" s="381" t="s">
        <v>970</v>
      </c>
      <c r="C195" s="370" t="s">
        <v>56</v>
      </c>
      <c r="D195" s="375" t="n">
        <f aca="false">110</f>
        <v>110</v>
      </c>
      <c r="E195" s="337"/>
      <c r="F195" s="366"/>
      <c r="G195" s="324"/>
      <c r="H195" s="363"/>
      <c r="I195" s="333"/>
      <c r="J195" s="324"/>
      <c r="K195" s="357"/>
      <c r="L195" s="364"/>
      <c r="M195" s="324"/>
      <c r="N195" s="331"/>
      <c r="O195" s="331"/>
      <c r="P195" s="328"/>
      <c r="Q195" s="309"/>
      <c r="R195" s="332"/>
      <c r="S195" s="332"/>
      <c r="T195" s="332"/>
      <c r="U195" s="309"/>
      <c r="V195" s="309"/>
      <c r="W195" s="309"/>
      <c r="X195" s="309"/>
      <c r="Y195" s="309"/>
      <c r="Z195" s="309"/>
      <c r="AA195" s="309"/>
      <c r="AB195" s="309"/>
      <c r="AC195" s="309"/>
      <c r="AD195" s="309"/>
      <c r="AE195" s="309"/>
      <c r="AF195" s="309"/>
      <c r="AG195" s="309"/>
      <c r="AH195" s="309"/>
      <c r="AI195" s="309"/>
    </row>
    <row r="196" s="392" customFormat="true" ht="47.45" hidden="false" customHeight="true" outlineLevel="0" collapsed="false">
      <c r="A196" s="382" t="n">
        <v>186</v>
      </c>
      <c r="B196" s="383" t="s">
        <v>971</v>
      </c>
      <c r="C196" s="382" t="s">
        <v>56</v>
      </c>
      <c r="D196" s="384" t="n">
        <f aca="false">3</f>
        <v>3</v>
      </c>
      <c r="E196" s="385"/>
      <c r="F196" s="386"/>
      <c r="G196" s="384"/>
      <c r="H196" s="354"/>
      <c r="I196" s="387"/>
      <c r="J196" s="384"/>
      <c r="K196" s="354"/>
      <c r="L196" s="388"/>
      <c r="M196" s="384"/>
      <c r="N196" s="389"/>
      <c r="O196" s="389"/>
      <c r="P196" s="354"/>
      <c r="Q196" s="390"/>
      <c r="R196" s="391"/>
      <c r="S196" s="391"/>
      <c r="T196" s="391"/>
      <c r="U196" s="390"/>
      <c r="V196" s="390"/>
      <c r="W196" s="390"/>
      <c r="X196" s="390"/>
      <c r="Y196" s="390"/>
      <c r="Z196" s="390"/>
      <c r="AA196" s="390"/>
      <c r="AB196" s="390"/>
      <c r="AC196" s="390"/>
      <c r="AD196" s="390"/>
      <c r="AE196" s="390"/>
      <c r="AF196" s="390"/>
      <c r="AG196" s="390"/>
      <c r="AH196" s="390"/>
      <c r="AI196" s="390"/>
    </row>
    <row r="197" customFormat="false" ht="31.5" hidden="false" customHeight="true" outlineLevel="0" collapsed="false">
      <c r="A197" s="322" t="n">
        <v>187</v>
      </c>
      <c r="B197" s="381" t="s">
        <v>972</v>
      </c>
      <c r="C197" s="370" t="s">
        <v>56</v>
      </c>
      <c r="D197" s="375" t="n">
        <f aca="false">60</f>
        <v>60</v>
      </c>
      <c r="E197" s="379"/>
      <c r="F197" s="366"/>
      <c r="G197" s="324"/>
      <c r="H197" s="363"/>
      <c r="I197" s="333"/>
      <c r="J197" s="324"/>
      <c r="K197" s="357"/>
      <c r="L197" s="364"/>
      <c r="M197" s="324"/>
      <c r="N197" s="331"/>
      <c r="O197" s="331"/>
      <c r="P197" s="328"/>
      <c r="Q197" s="309"/>
      <c r="R197" s="332"/>
      <c r="S197" s="332"/>
      <c r="T197" s="332"/>
      <c r="U197" s="309"/>
      <c r="V197" s="309"/>
      <c r="W197" s="309"/>
      <c r="X197" s="309"/>
      <c r="Y197" s="309"/>
      <c r="Z197" s="309"/>
      <c r="AA197" s="309"/>
      <c r="AB197" s="309"/>
      <c r="AC197" s="309"/>
      <c r="AD197" s="309"/>
      <c r="AE197" s="309"/>
      <c r="AF197" s="309"/>
      <c r="AG197" s="309"/>
      <c r="AH197" s="309"/>
      <c r="AI197" s="309"/>
    </row>
    <row r="198" customFormat="false" ht="60.75" hidden="false" customHeight="true" outlineLevel="0" collapsed="false">
      <c r="A198" s="322" t="n">
        <v>188</v>
      </c>
      <c r="B198" s="381" t="s">
        <v>973</v>
      </c>
      <c r="C198" s="370" t="s">
        <v>56</v>
      </c>
      <c r="D198" s="375" t="n">
        <f aca="false">1</f>
        <v>1</v>
      </c>
      <c r="E198" s="379"/>
      <c r="F198" s="366"/>
      <c r="G198" s="324"/>
      <c r="H198" s="363"/>
      <c r="I198" s="333"/>
      <c r="J198" s="324"/>
      <c r="K198" s="357"/>
      <c r="L198" s="364"/>
      <c r="M198" s="324"/>
      <c r="N198" s="331"/>
      <c r="O198" s="331"/>
      <c r="P198" s="328"/>
      <c r="Q198" s="309"/>
      <c r="R198" s="332"/>
      <c r="S198" s="332"/>
      <c r="T198" s="332"/>
      <c r="U198" s="309"/>
      <c r="V198" s="309"/>
      <c r="W198" s="309"/>
      <c r="X198" s="309"/>
      <c r="Y198" s="309"/>
      <c r="Z198" s="309"/>
      <c r="AA198" s="309"/>
      <c r="AB198" s="309"/>
      <c r="AC198" s="309"/>
      <c r="AD198" s="309"/>
      <c r="AE198" s="309"/>
      <c r="AF198" s="309"/>
      <c r="AG198" s="309"/>
      <c r="AH198" s="309"/>
      <c r="AI198" s="309"/>
    </row>
    <row r="199" customFormat="false" ht="60.75" hidden="false" customHeight="true" outlineLevel="0" collapsed="false">
      <c r="A199" s="322" t="n">
        <v>189</v>
      </c>
      <c r="B199" s="363" t="s">
        <v>974</v>
      </c>
      <c r="C199" s="370" t="s">
        <v>56</v>
      </c>
      <c r="D199" s="375" t="n">
        <f aca="false">1</f>
        <v>1</v>
      </c>
      <c r="E199" s="363"/>
      <c r="F199" s="366"/>
      <c r="G199" s="324"/>
      <c r="H199" s="363"/>
      <c r="I199" s="333"/>
      <c r="J199" s="324"/>
      <c r="K199" s="353"/>
      <c r="L199" s="364"/>
      <c r="M199" s="324"/>
      <c r="N199" s="331"/>
      <c r="O199" s="331"/>
      <c r="P199" s="328"/>
      <c r="Q199" s="309"/>
      <c r="R199" s="332"/>
      <c r="S199" s="332"/>
      <c r="T199" s="332"/>
      <c r="U199" s="309"/>
      <c r="V199" s="309"/>
      <c r="W199" s="309"/>
      <c r="X199" s="309"/>
      <c r="Y199" s="309"/>
      <c r="Z199" s="309"/>
      <c r="AA199" s="309"/>
      <c r="AB199" s="309"/>
      <c r="AC199" s="309"/>
      <c r="AD199" s="309"/>
      <c r="AE199" s="309"/>
      <c r="AF199" s="309"/>
      <c r="AG199" s="309"/>
      <c r="AH199" s="309"/>
      <c r="AI199" s="309"/>
    </row>
    <row r="200" customFormat="false" ht="38.25" hidden="false" customHeight="true" outlineLevel="0" collapsed="false">
      <c r="A200" s="322" t="s">
        <v>975</v>
      </c>
      <c r="B200" s="363" t="s">
        <v>976</v>
      </c>
      <c r="C200" s="370" t="s">
        <v>56</v>
      </c>
      <c r="D200" s="375" t="n">
        <v>1</v>
      </c>
      <c r="E200" s="363"/>
      <c r="F200" s="366"/>
      <c r="G200" s="324"/>
      <c r="H200" s="363"/>
      <c r="I200" s="333"/>
      <c r="J200" s="324"/>
      <c r="K200" s="353"/>
      <c r="L200" s="364"/>
      <c r="M200" s="324"/>
      <c r="N200" s="331"/>
      <c r="O200" s="331"/>
      <c r="P200" s="328"/>
      <c r="Q200" s="309"/>
      <c r="R200" s="332"/>
      <c r="S200" s="332"/>
      <c r="T200" s="332"/>
      <c r="U200" s="309"/>
      <c r="V200" s="309"/>
      <c r="W200" s="309"/>
      <c r="X200" s="309"/>
      <c r="Y200" s="309"/>
      <c r="Z200" s="309"/>
      <c r="AA200" s="309"/>
      <c r="AB200" s="309"/>
      <c r="AC200" s="309"/>
      <c r="AD200" s="309"/>
      <c r="AE200" s="309"/>
      <c r="AF200" s="309"/>
      <c r="AG200" s="309"/>
      <c r="AH200" s="309"/>
      <c r="AI200" s="309"/>
    </row>
    <row r="201" customFormat="false" ht="60.75" hidden="false" customHeight="true" outlineLevel="0" collapsed="false">
      <c r="A201" s="322" t="n">
        <v>190</v>
      </c>
      <c r="B201" s="363" t="s">
        <v>977</v>
      </c>
      <c r="C201" s="370" t="s">
        <v>56</v>
      </c>
      <c r="D201" s="375" t="n">
        <f aca="false">2</f>
        <v>2</v>
      </c>
      <c r="E201" s="363"/>
      <c r="F201" s="366"/>
      <c r="G201" s="324"/>
      <c r="H201" s="363"/>
      <c r="I201" s="333"/>
      <c r="J201" s="324"/>
      <c r="K201" s="353"/>
      <c r="L201" s="364"/>
      <c r="M201" s="324"/>
      <c r="N201" s="331"/>
      <c r="O201" s="331"/>
      <c r="P201" s="328"/>
      <c r="Q201" s="309"/>
      <c r="R201" s="332"/>
      <c r="S201" s="332"/>
      <c r="T201" s="332"/>
      <c r="U201" s="309"/>
      <c r="V201" s="309"/>
      <c r="W201" s="309"/>
      <c r="X201" s="309"/>
      <c r="Y201" s="309"/>
      <c r="Z201" s="309"/>
      <c r="AA201" s="309"/>
      <c r="AB201" s="309"/>
      <c r="AC201" s="309"/>
      <c r="AD201" s="309"/>
      <c r="AE201" s="309"/>
      <c r="AF201" s="309"/>
      <c r="AG201" s="309"/>
      <c r="AH201" s="309"/>
      <c r="AI201" s="309"/>
    </row>
    <row r="202" customFormat="false" ht="42.75" hidden="false" customHeight="true" outlineLevel="0" collapsed="false">
      <c r="A202" s="322" t="s">
        <v>978</v>
      </c>
      <c r="B202" s="363" t="s">
        <v>976</v>
      </c>
      <c r="C202" s="370" t="s">
        <v>56</v>
      </c>
      <c r="D202" s="375" t="n">
        <v>2</v>
      </c>
      <c r="E202" s="363"/>
      <c r="F202" s="366"/>
      <c r="G202" s="324"/>
      <c r="H202" s="363"/>
      <c r="I202" s="333"/>
      <c r="J202" s="324"/>
      <c r="K202" s="353"/>
      <c r="L202" s="364"/>
      <c r="M202" s="324"/>
      <c r="N202" s="331"/>
      <c r="O202" s="331"/>
      <c r="P202" s="328"/>
      <c r="Q202" s="309"/>
      <c r="R202" s="332"/>
      <c r="S202" s="332"/>
      <c r="T202" s="332"/>
      <c r="U202" s="309"/>
      <c r="V202" s="309"/>
      <c r="W202" s="309"/>
      <c r="X202" s="309"/>
      <c r="Y202" s="309"/>
      <c r="Z202" s="309"/>
      <c r="AA202" s="309"/>
      <c r="AB202" s="309"/>
      <c r="AC202" s="309"/>
      <c r="AD202" s="309"/>
      <c r="AE202" s="309"/>
      <c r="AF202" s="309"/>
      <c r="AG202" s="309"/>
      <c r="AH202" s="309"/>
      <c r="AI202" s="309"/>
    </row>
    <row r="203" customFormat="false" ht="80.25" hidden="false" customHeight="true" outlineLevel="0" collapsed="false">
      <c r="A203" s="322" t="n">
        <v>191</v>
      </c>
      <c r="B203" s="363" t="s">
        <v>979</v>
      </c>
      <c r="C203" s="370" t="s">
        <v>56</v>
      </c>
      <c r="D203" s="375" t="n">
        <f aca="false">1</f>
        <v>1</v>
      </c>
      <c r="E203" s="363"/>
      <c r="F203" s="366"/>
      <c r="G203" s="324"/>
      <c r="H203" s="354"/>
      <c r="I203" s="333"/>
      <c r="J203" s="324"/>
      <c r="K203" s="353"/>
      <c r="L203" s="364"/>
      <c r="M203" s="324"/>
      <c r="N203" s="331"/>
      <c r="O203" s="331"/>
      <c r="P203" s="328"/>
      <c r="Q203" s="309"/>
      <c r="R203" s="332"/>
      <c r="S203" s="332"/>
      <c r="T203" s="332"/>
      <c r="U203" s="309"/>
      <c r="V203" s="309"/>
      <c r="W203" s="309"/>
      <c r="X203" s="309"/>
      <c r="Y203" s="309"/>
      <c r="Z203" s="309"/>
      <c r="AA203" s="309"/>
      <c r="AB203" s="309"/>
      <c r="AC203" s="309"/>
      <c r="AD203" s="309"/>
      <c r="AE203" s="309"/>
      <c r="AF203" s="309"/>
      <c r="AG203" s="309"/>
      <c r="AH203" s="309"/>
      <c r="AI203" s="309"/>
    </row>
    <row r="204" customFormat="false" ht="37.5" hidden="false" customHeight="true" outlineLevel="0" collapsed="false">
      <c r="A204" s="322"/>
      <c r="B204" s="363" t="s">
        <v>980</v>
      </c>
      <c r="C204" s="370" t="s">
        <v>56</v>
      </c>
      <c r="D204" s="375" t="n">
        <v>1</v>
      </c>
      <c r="E204" s="363"/>
      <c r="F204" s="366"/>
      <c r="G204" s="324"/>
      <c r="H204" s="363"/>
      <c r="I204" s="333"/>
      <c r="J204" s="324"/>
      <c r="K204" s="353"/>
      <c r="L204" s="364"/>
      <c r="M204" s="324"/>
      <c r="N204" s="331"/>
      <c r="O204" s="331"/>
      <c r="P204" s="328"/>
      <c r="Q204" s="309"/>
      <c r="R204" s="332"/>
      <c r="S204" s="332"/>
      <c r="T204" s="332"/>
      <c r="U204" s="309"/>
      <c r="V204" s="309"/>
      <c r="W204" s="309"/>
      <c r="X204" s="309"/>
      <c r="Y204" s="309"/>
      <c r="Z204" s="309"/>
      <c r="AA204" s="309"/>
      <c r="AB204" s="309"/>
      <c r="AC204" s="309"/>
      <c r="AD204" s="309"/>
      <c r="AE204" s="309"/>
      <c r="AF204" s="309"/>
      <c r="AG204" s="309"/>
      <c r="AH204" s="309"/>
      <c r="AI204" s="309"/>
    </row>
    <row r="205" customFormat="false" ht="63" hidden="false" customHeight="true" outlineLevel="0" collapsed="false">
      <c r="A205" s="322" t="n">
        <v>192</v>
      </c>
      <c r="B205" s="363" t="s">
        <v>981</v>
      </c>
      <c r="C205" s="370" t="s">
        <v>56</v>
      </c>
      <c r="D205" s="375" t="n">
        <f aca="false">1</f>
        <v>1</v>
      </c>
      <c r="E205" s="363"/>
      <c r="F205" s="366"/>
      <c r="G205" s="324"/>
      <c r="H205" s="353"/>
      <c r="I205" s="333"/>
      <c r="J205" s="324"/>
      <c r="K205" s="328"/>
      <c r="L205" s="364"/>
      <c r="M205" s="324"/>
      <c r="N205" s="331"/>
      <c r="O205" s="331"/>
      <c r="P205" s="328"/>
      <c r="Q205" s="309"/>
      <c r="R205" s="332"/>
      <c r="S205" s="332"/>
      <c r="T205" s="332"/>
      <c r="U205" s="309"/>
      <c r="V205" s="309"/>
      <c r="W205" s="309"/>
      <c r="X205" s="309"/>
      <c r="Y205" s="309"/>
      <c r="Z205" s="309"/>
      <c r="AA205" s="309"/>
      <c r="AB205" s="309"/>
      <c r="AC205" s="309"/>
      <c r="AD205" s="309"/>
      <c r="AE205" s="309"/>
      <c r="AF205" s="309"/>
      <c r="AG205" s="309"/>
      <c r="AH205" s="309"/>
      <c r="AI205" s="309"/>
    </row>
    <row r="206" customFormat="false" ht="43.5" hidden="false" customHeight="true" outlineLevel="0" collapsed="false">
      <c r="A206" s="322" t="n">
        <v>193</v>
      </c>
      <c r="B206" s="363" t="s">
        <v>982</v>
      </c>
      <c r="C206" s="370" t="s">
        <v>56</v>
      </c>
      <c r="D206" s="375" t="n">
        <f aca="false">3</f>
        <v>3</v>
      </c>
      <c r="E206" s="363"/>
      <c r="F206" s="366"/>
      <c r="G206" s="324"/>
      <c r="H206" s="363"/>
      <c r="I206" s="333"/>
      <c r="J206" s="324"/>
      <c r="K206" s="353"/>
      <c r="L206" s="364"/>
      <c r="M206" s="324"/>
      <c r="N206" s="331"/>
      <c r="O206" s="331"/>
      <c r="P206" s="328"/>
      <c r="Q206" s="309"/>
      <c r="R206" s="332"/>
      <c r="S206" s="332"/>
      <c r="T206" s="332"/>
      <c r="U206" s="309"/>
      <c r="V206" s="309"/>
      <c r="W206" s="309"/>
      <c r="X206" s="309"/>
      <c r="Y206" s="309"/>
      <c r="Z206" s="309"/>
      <c r="AA206" s="309"/>
      <c r="AB206" s="309"/>
      <c r="AC206" s="309"/>
      <c r="AD206" s="309"/>
      <c r="AE206" s="309"/>
      <c r="AF206" s="309"/>
      <c r="AG206" s="309"/>
      <c r="AH206" s="309"/>
      <c r="AI206" s="309"/>
    </row>
    <row r="207" s="343" customFormat="true" ht="36" hidden="false" customHeight="true" outlineLevel="0" collapsed="false">
      <c r="A207" s="339" t="n">
        <v>194</v>
      </c>
      <c r="B207" s="363" t="s">
        <v>983</v>
      </c>
      <c r="C207" s="370" t="s">
        <v>44</v>
      </c>
      <c r="D207" s="375" t="n">
        <f aca="false">9</f>
        <v>9</v>
      </c>
      <c r="E207" s="337"/>
      <c r="F207" s="366"/>
      <c r="G207" s="324"/>
      <c r="H207" s="327"/>
      <c r="I207" s="333"/>
      <c r="J207" s="324"/>
      <c r="K207" s="355"/>
      <c r="L207" s="364"/>
      <c r="M207" s="324"/>
      <c r="N207" s="345"/>
      <c r="O207" s="345"/>
      <c r="P207" s="341"/>
      <c r="Q207" s="342"/>
      <c r="R207" s="346"/>
      <c r="S207" s="346"/>
      <c r="T207" s="346"/>
      <c r="U207" s="342"/>
      <c r="V207" s="342"/>
      <c r="W207" s="342"/>
      <c r="X207" s="342"/>
      <c r="Y207" s="342"/>
      <c r="Z207" s="342"/>
      <c r="AA207" s="342"/>
      <c r="AB207" s="342"/>
      <c r="AC207" s="342"/>
      <c r="AD207" s="342"/>
      <c r="AE207" s="342"/>
      <c r="AF207" s="342"/>
      <c r="AG207" s="342"/>
      <c r="AH207" s="342"/>
      <c r="AI207" s="342"/>
    </row>
    <row r="208" s="343" customFormat="true" ht="37.5" hidden="false" customHeight="true" outlineLevel="0" collapsed="false">
      <c r="A208" s="339" t="n">
        <v>195</v>
      </c>
      <c r="B208" s="363" t="s">
        <v>984</v>
      </c>
      <c r="C208" s="370" t="s">
        <v>941</v>
      </c>
      <c r="D208" s="375" t="n">
        <f aca="false">24.5</f>
        <v>24.5</v>
      </c>
      <c r="E208" s="337"/>
      <c r="F208" s="366"/>
      <c r="G208" s="324"/>
      <c r="H208" s="357"/>
      <c r="I208" s="333"/>
      <c r="J208" s="324"/>
      <c r="K208" s="355"/>
      <c r="L208" s="364"/>
      <c r="M208" s="324"/>
      <c r="N208" s="345"/>
      <c r="O208" s="345"/>
      <c r="P208" s="341"/>
      <c r="Q208" s="342"/>
      <c r="R208" s="346"/>
      <c r="S208" s="346"/>
      <c r="T208" s="346"/>
      <c r="U208" s="342"/>
      <c r="V208" s="342"/>
      <c r="W208" s="342"/>
      <c r="X208" s="342"/>
      <c r="Y208" s="342"/>
      <c r="Z208" s="342"/>
      <c r="AA208" s="342"/>
      <c r="AB208" s="342"/>
      <c r="AC208" s="342"/>
      <c r="AD208" s="342"/>
      <c r="AE208" s="342"/>
      <c r="AF208" s="342"/>
      <c r="AG208" s="342"/>
      <c r="AH208" s="342"/>
      <c r="AI208" s="342"/>
    </row>
    <row r="209" s="343" customFormat="true" ht="37.5" hidden="false" customHeight="true" outlineLevel="0" collapsed="false">
      <c r="A209" s="339" t="n">
        <v>196</v>
      </c>
      <c r="B209" s="363" t="s">
        <v>985</v>
      </c>
      <c r="C209" s="370" t="s">
        <v>44</v>
      </c>
      <c r="D209" s="375" t="n">
        <f aca="false">2</f>
        <v>2</v>
      </c>
      <c r="E209" s="337"/>
      <c r="F209" s="366"/>
      <c r="G209" s="324"/>
      <c r="H209" s="327"/>
      <c r="I209" s="333"/>
      <c r="J209" s="324"/>
      <c r="K209" s="355"/>
      <c r="L209" s="364"/>
      <c r="M209" s="324"/>
      <c r="N209" s="345"/>
      <c r="O209" s="345"/>
      <c r="P209" s="341"/>
      <c r="Q209" s="342"/>
      <c r="R209" s="346"/>
      <c r="S209" s="346"/>
      <c r="T209" s="346"/>
      <c r="U209" s="342"/>
      <c r="V209" s="342"/>
      <c r="W209" s="342"/>
      <c r="X209" s="342"/>
      <c r="Y209" s="342"/>
      <c r="Z209" s="342"/>
      <c r="AA209" s="342"/>
      <c r="AB209" s="342"/>
      <c r="AC209" s="342"/>
      <c r="AD209" s="342"/>
      <c r="AE209" s="342"/>
      <c r="AF209" s="342"/>
      <c r="AG209" s="342"/>
      <c r="AH209" s="342"/>
      <c r="AI209" s="342"/>
    </row>
    <row r="210" s="343" customFormat="true" ht="37.5" hidden="false" customHeight="true" outlineLevel="0" collapsed="false">
      <c r="A210" s="339" t="n">
        <v>197</v>
      </c>
      <c r="B210" s="363" t="s">
        <v>986</v>
      </c>
      <c r="C210" s="370" t="s">
        <v>150</v>
      </c>
      <c r="D210" s="375" t="n">
        <v>7</v>
      </c>
      <c r="E210" s="357"/>
      <c r="F210" s="366"/>
      <c r="G210" s="324"/>
      <c r="H210" s="327"/>
      <c r="I210" s="333"/>
      <c r="J210" s="324"/>
      <c r="K210" s="355"/>
      <c r="L210" s="364"/>
      <c r="M210" s="324"/>
      <c r="N210" s="345"/>
      <c r="O210" s="345"/>
      <c r="P210" s="341"/>
      <c r="Q210" s="342"/>
      <c r="R210" s="346"/>
      <c r="S210" s="346"/>
      <c r="T210" s="346"/>
      <c r="U210" s="342"/>
      <c r="V210" s="342"/>
      <c r="W210" s="342"/>
      <c r="X210" s="342"/>
      <c r="Y210" s="342"/>
      <c r="Z210" s="342"/>
      <c r="AA210" s="342"/>
      <c r="AB210" s="342"/>
      <c r="AC210" s="342"/>
      <c r="AD210" s="342"/>
      <c r="AE210" s="342"/>
      <c r="AF210" s="342"/>
      <c r="AG210" s="342"/>
      <c r="AH210" s="342"/>
      <c r="AI210" s="342"/>
    </row>
    <row r="211" s="343" customFormat="true" ht="39" hidden="false" customHeight="true" outlineLevel="0" collapsed="false">
      <c r="A211" s="339" t="n">
        <v>198</v>
      </c>
      <c r="B211" s="363" t="s">
        <v>987</v>
      </c>
      <c r="C211" s="370" t="s">
        <v>56</v>
      </c>
      <c r="D211" s="375" t="n">
        <f aca="false">1</f>
        <v>1</v>
      </c>
      <c r="E211" s="357"/>
      <c r="F211" s="366"/>
      <c r="G211" s="324"/>
      <c r="H211" s="327"/>
      <c r="I211" s="333"/>
      <c r="J211" s="324"/>
      <c r="K211" s="355"/>
      <c r="L211" s="364"/>
      <c r="M211" s="324"/>
      <c r="N211" s="345"/>
      <c r="O211" s="345"/>
      <c r="P211" s="341"/>
      <c r="Q211" s="342"/>
      <c r="R211" s="346"/>
      <c r="S211" s="346"/>
      <c r="T211" s="346"/>
      <c r="U211" s="342"/>
      <c r="V211" s="342"/>
      <c r="W211" s="342"/>
      <c r="X211" s="342"/>
      <c r="Y211" s="342"/>
      <c r="Z211" s="342"/>
      <c r="AA211" s="342"/>
      <c r="AB211" s="342"/>
      <c r="AC211" s="342"/>
      <c r="AD211" s="342"/>
      <c r="AE211" s="342"/>
      <c r="AF211" s="342"/>
      <c r="AG211" s="342"/>
      <c r="AH211" s="342"/>
      <c r="AI211" s="342"/>
    </row>
    <row r="212" s="343" customFormat="true" ht="39" hidden="false" customHeight="true" outlineLevel="0" collapsed="false">
      <c r="A212" s="339" t="n">
        <v>199</v>
      </c>
      <c r="B212" s="363" t="s">
        <v>988</v>
      </c>
      <c r="C212" s="370" t="s">
        <v>56</v>
      </c>
      <c r="D212" s="375" t="n">
        <f aca="false">1+19</f>
        <v>20</v>
      </c>
      <c r="E212" s="337"/>
      <c r="F212" s="366"/>
      <c r="G212" s="324"/>
      <c r="H212" s="357"/>
      <c r="I212" s="333"/>
      <c r="J212" s="324"/>
      <c r="K212" s="355"/>
      <c r="L212" s="364"/>
      <c r="M212" s="324"/>
      <c r="N212" s="345"/>
      <c r="O212" s="345"/>
      <c r="P212" s="341"/>
      <c r="Q212" s="342"/>
      <c r="R212" s="346"/>
      <c r="S212" s="346"/>
      <c r="T212" s="346"/>
      <c r="U212" s="342"/>
      <c r="V212" s="342"/>
      <c r="W212" s="342"/>
      <c r="X212" s="342"/>
      <c r="Y212" s="342"/>
      <c r="Z212" s="342"/>
      <c r="AA212" s="342"/>
      <c r="AB212" s="342"/>
      <c r="AC212" s="342"/>
      <c r="AD212" s="342"/>
      <c r="AE212" s="342"/>
      <c r="AF212" s="342"/>
      <c r="AG212" s="342"/>
      <c r="AH212" s="342"/>
      <c r="AI212" s="342"/>
    </row>
    <row r="213" s="343" customFormat="true" ht="37.5" hidden="false" customHeight="true" outlineLevel="0" collapsed="false">
      <c r="A213" s="339" t="n">
        <v>200</v>
      </c>
      <c r="B213" s="363" t="s">
        <v>989</v>
      </c>
      <c r="C213" s="370" t="s">
        <v>257</v>
      </c>
      <c r="D213" s="375" t="n">
        <f aca="false">15</f>
        <v>15</v>
      </c>
      <c r="E213" s="337"/>
      <c r="F213" s="366"/>
      <c r="G213" s="324"/>
      <c r="H213" s="357"/>
      <c r="I213" s="333"/>
      <c r="J213" s="324"/>
      <c r="K213" s="355"/>
      <c r="L213" s="364"/>
      <c r="M213" s="324"/>
      <c r="N213" s="345"/>
      <c r="O213" s="345"/>
      <c r="P213" s="341"/>
      <c r="Q213" s="342"/>
      <c r="R213" s="346"/>
      <c r="S213" s="346"/>
      <c r="T213" s="346"/>
      <c r="U213" s="342"/>
      <c r="V213" s="342"/>
      <c r="W213" s="342"/>
      <c r="X213" s="342"/>
      <c r="Y213" s="342"/>
      <c r="Z213" s="342"/>
      <c r="AA213" s="342"/>
      <c r="AB213" s="342"/>
      <c r="AC213" s="342"/>
      <c r="AD213" s="342"/>
      <c r="AE213" s="342"/>
      <c r="AF213" s="342"/>
      <c r="AG213" s="342"/>
      <c r="AH213" s="342"/>
      <c r="AI213" s="342"/>
    </row>
    <row r="214" s="343" customFormat="true" ht="31.5" hidden="false" customHeight="true" outlineLevel="0" collapsed="false">
      <c r="A214" s="339" t="n">
        <v>201</v>
      </c>
      <c r="B214" s="363" t="s">
        <v>990</v>
      </c>
      <c r="C214" s="370" t="s">
        <v>56</v>
      </c>
      <c r="D214" s="375" t="n">
        <f aca="false">2</f>
        <v>2</v>
      </c>
      <c r="E214" s="357"/>
      <c r="F214" s="366"/>
      <c r="G214" s="324"/>
      <c r="H214" s="327"/>
      <c r="I214" s="333"/>
      <c r="J214" s="324"/>
      <c r="K214" s="355"/>
      <c r="L214" s="364"/>
      <c r="M214" s="324"/>
      <c r="N214" s="345"/>
      <c r="O214" s="345"/>
      <c r="P214" s="341"/>
      <c r="Q214" s="342"/>
      <c r="R214" s="346"/>
      <c r="S214" s="346"/>
      <c r="T214" s="346"/>
      <c r="U214" s="342"/>
      <c r="V214" s="342"/>
      <c r="W214" s="342"/>
      <c r="X214" s="342"/>
      <c r="Y214" s="342"/>
      <c r="Z214" s="342"/>
      <c r="AA214" s="342"/>
      <c r="AB214" s="342"/>
      <c r="AC214" s="342"/>
      <c r="AD214" s="342"/>
      <c r="AE214" s="342"/>
      <c r="AF214" s="342"/>
      <c r="AG214" s="342"/>
      <c r="AH214" s="342"/>
      <c r="AI214" s="342"/>
    </row>
    <row r="215" s="343" customFormat="true" ht="38.15" hidden="false" customHeight="true" outlineLevel="0" collapsed="false">
      <c r="A215" s="339" t="n">
        <v>202</v>
      </c>
      <c r="B215" s="363" t="s">
        <v>991</v>
      </c>
      <c r="C215" s="370" t="s">
        <v>56</v>
      </c>
      <c r="D215" s="375" t="n">
        <f aca="false">2</f>
        <v>2</v>
      </c>
      <c r="E215" s="337"/>
      <c r="F215" s="366"/>
      <c r="G215" s="324"/>
      <c r="H215" s="327"/>
      <c r="I215" s="333"/>
      <c r="J215" s="324"/>
      <c r="K215" s="355"/>
      <c r="L215" s="364"/>
      <c r="M215" s="324"/>
      <c r="N215" s="345"/>
      <c r="O215" s="345"/>
      <c r="P215" s="341"/>
      <c r="Q215" s="342"/>
      <c r="R215" s="346"/>
      <c r="S215" s="346"/>
      <c r="T215" s="346"/>
      <c r="U215" s="342"/>
      <c r="V215" s="342"/>
      <c r="W215" s="342"/>
      <c r="X215" s="342"/>
      <c r="Y215" s="342"/>
      <c r="Z215" s="342"/>
      <c r="AA215" s="342"/>
      <c r="AB215" s="342"/>
      <c r="AC215" s="342"/>
      <c r="AD215" s="342"/>
      <c r="AE215" s="342"/>
      <c r="AF215" s="342"/>
      <c r="AG215" s="342"/>
      <c r="AH215" s="342"/>
      <c r="AI215" s="342"/>
    </row>
    <row r="216" s="343" customFormat="true" ht="35.25" hidden="false" customHeight="true" outlineLevel="0" collapsed="false">
      <c r="A216" s="339" t="n">
        <v>203</v>
      </c>
      <c r="B216" s="363" t="s">
        <v>992</v>
      </c>
      <c r="C216" s="370" t="s">
        <v>56</v>
      </c>
      <c r="D216" s="375" t="n">
        <f aca="false">1</f>
        <v>1</v>
      </c>
      <c r="E216" s="337"/>
      <c r="F216" s="366"/>
      <c r="G216" s="324"/>
      <c r="H216" s="327"/>
      <c r="I216" s="333"/>
      <c r="J216" s="324"/>
      <c r="K216" s="355"/>
      <c r="L216" s="364"/>
      <c r="M216" s="324"/>
      <c r="N216" s="345"/>
      <c r="O216" s="345"/>
      <c r="P216" s="341"/>
      <c r="Q216" s="342"/>
      <c r="R216" s="346"/>
      <c r="S216" s="346"/>
      <c r="T216" s="346"/>
      <c r="U216" s="342"/>
      <c r="V216" s="342"/>
      <c r="W216" s="342"/>
      <c r="X216" s="342"/>
      <c r="Y216" s="342"/>
      <c r="Z216" s="342"/>
      <c r="AA216" s="342"/>
      <c r="AB216" s="342"/>
      <c r="AC216" s="342"/>
      <c r="AD216" s="342"/>
      <c r="AE216" s="342"/>
      <c r="AF216" s="342"/>
      <c r="AG216" s="342"/>
      <c r="AH216" s="342"/>
      <c r="AI216" s="342"/>
    </row>
    <row r="217" s="343" customFormat="true" ht="29.25" hidden="false" customHeight="true" outlineLevel="0" collapsed="false">
      <c r="A217" s="339" t="n">
        <v>204</v>
      </c>
      <c r="B217" s="363" t="s">
        <v>993</v>
      </c>
      <c r="C217" s="370" t="s">
        <v>359</v>
      </c>
      <c r="D217" s="375" t="n">
        <f aca="false">19.3+2.9</f>
        <v>22.2</v>
      </c>
      <c r="E217" s="353"/>
      <c r="F217" s="366"/>
      <c r="G217" s="324"/>
      <c r="H217" s="327"/>
      <c r="I217" s="333"/>
      <c r="J217" s="324"/>
      <c r="K217" s="355"/>
      <c r="L217" s="364"/>
      <c r="M217" s="324"/>
      <c r="N217" s="345"/>
      <c r="O217" s="345"/>
      <c r="P217" s="341"/>
      <c r="Q217" s="342"/>
      <c r="R217" s="346"/>
      <c r="S217" s="346"/>
      <c r="T217" s="346"/>
      <c r="U217" s="342"/>
      <c r="V217" s="342"/>
      <c r="W217" s="342"/>
      <c r="X217" s="342"/>
      <c r="Y217" s="342"/>
      <c r="Z217" s="342"/>
      <c r="AA217" s="342"/>
      <c r="AB217" s="342"/>
      <c r="AC217" s="342"/>
      <c r="AD217" s="342"/>
      <c r="AE217" s="342"/>
      <c r="AF217" s="342"/>
      <c r="AG217" s="342"/>
      <c r="AH217" s="342"/>
      <c r="AI217" s="342"/>
    </row>
    <row r="218" customFormat="false" ht="48" hidden="false" customHeight="true" outlineLevel="0" collapsed="false">
      <c r="A218" s="322" t="n">
        <v>205</v>
      </c>
      <c r="B218" s="363" t="s">
        <v>994</v>
      </c>
      <c r="C218" s="370" t="s">
        <v>56</v>
      </c>
      <c r="D218" s="375" t="n">
        <f aca="false">2</f>
        <v>2</v>
      </c>
      <c r="E218" s="363"/>
      <c r="F218" s="366"/>
      <c r="G218" s="324"/>
      <c r="H218" s="363"/>
      <c r="I218" s="333"/>
      <c r="J218" s="324"/>
      <c r="K218" s="353"/>
      <c r="L218" s="364"/>
      <c r="M218" s="324"/>
      <c r="N218" s="331"/>
      <c r="O218" s="331"/>
      <c r="P218" s="328"/>
      <c r="Q218" s="309"/>
      <c r="R218" s="332"/>
      <c r="S218" s="332"/>
      <c r="T218" s="332"/>
      <c r="U218" s="309"/>
      <c r="V218" s="309"/>
      <c r="W218" s="309"/>
      <c r="X218" s="309"/>
      <c r="Y218" s="309"/>
      <c r="Z218" s="309"/>
      <c r="AA218" s="309"/>
      <c r="AB218" s="309"/>
      <c r="AC218" s="309"/>
      <c r="AD218" s="309"/>
      <c r="AE218" s="309"/>
      <c r="AF218" s="309"/>
      <c r="AG218" s="309"/>
      <c r="AH218" s="309"/>
      <c r="AI218" s="309"/>
    </row>
    <row r="219" customFormat="false" ht="42" hidden="false" customHeight="true" outlineLevel="0" collapsed="false">
      <c r="A219" s="322" t="n">
        <v>206</v>
      </c>
      <c r="B219" s="363" t="s">
        <v>995</v>
      </c>
      <c r="C219" s="370" t="s">
        <v>56</v>
      </c>
      <c r="D219" s="375" t="n">
        <f aca="false">2</f>
        <v>2</v>
      </c>
      <c r="E219" s="363"/>
      <c r="F219" s="366"/>
      <c r="G219" s="324"/>
      <c r="H219" s="363"/>
      <c r="I219" s="333"/>
      <c r="J219" s="324"/>
      <c r="K219" s="353"/>
      <c r="L219" s="364"/>
      <c r="M219" s="324"/>
      <c r="N219" s="331"/>
      <c r="O219" s="331"/>
      <c r="P219" s="328"/>
      <c r="Q219" s="309"/>
      <c r="R219" s="332"/>
      <c r="S219" s="332"/>
      <c r="T219" s="332"/>
      <c r="U219" s="309"/>
      <c r="V219" s="309"/>
      <c r="W219" s="309"/>
      <c r="X219" s="309"/>
      <c r="Y219" s="309"/>
      <c r="Z219" s="309"/>
      <c r="AA219" s="309"/>
      <c r="AB219" s="309"/>
      <c r="AC219" s="309"/>
      <c r="AD219" s="309"/>
      <c r="AE219" s="309"/>
      <c r="AF219" s="309"/>
      <c r="AG219" s="309"/>
      <c r="AH219" s="309"/>
      <c r="AI219" s="309"/>
    </row>
    <row r="220" customFormat="false" ht="39" hidden="false" customHeight="true" outlineLevel="0" collapsed="false">
      <c r="A220" s="322" t="n">
        <v>207</v>
      </c>
      <c r="B220" s="363" t="s">
        <v>996</v>
      </c>
      <c r="C220" s="370" t="s">
        <v>56</v>
      </c>
      <c r="D220" s="375" t="n">
        <f aca="false">2</f>
        <v>2</v>
      </c>
      <c r="E220" s="363"/>
      <c r="F220" s="366"/>
      <c r="G220" s="324"/>
      <c r="H220" s="363"/>
      <c r="I220" s="333"/>
      <c r="J220" s="324"/>
      <c r="K220" s="353"/>
      <c r="L220" s="364"/>
      <c r="M220" s="324"/>
      <c r="N220" s="331"/>
      <c r="O220" s="331"/>
      <c r="P220" s="328"/>
      <c r="Q220" s="309"/>
      <c r="R220" s="332"/>
      <c r="S220" s="332"/>
      <c r="T220" s="332"/>
      <c r="U220" s="309"/>
      <c r="V220" s="309"/>
      <c r="W220" s="309"/>
      <c r="X220" s="309"/>
      <c r="Y220" s="309"/>
      <c r="Z220" s="309"/>
      <c r="AA220" s="309"/>
      <c r="AB220" s="309"/>
      <c r="AC220" s="309"/>
      <c r="AD220" s="309"/>
      <c r="AE220" s="309"/>
      <c r="AF220" s="309"/>
      <c r="AG220" s="309"/>
      <c r="AH220" s="309"/>
      <c r="AI220" s="309"/>
    </row>
    <row r="221" customFormat="false" ht="39.75" hidden="false" customHeight="true" outlineLevel="0" collapsed="false">
      <c r="A221" s="322" t="n">
        <v>208</v>
      </c>
      <c r="B221" s="363" t="s">
        <v>997</v>
      </c>
      <c r="C221" s="370" t="s">
        <v>56</v>
      </c>
      <c r="D221" s="375" t="n">
        <f aca="false">8</f>
        <v>8</v>
      </c>
      <c r="E221" s="363"/>
      <c r="F221" s="366"/>
      <c r="G221" s="324"/>
      <c r="H221" s="363"/>
      <c r="I221" s="333"/>
      <c r="J221" s="324"/>
      <c r="K221" s="353"/>
      <c r="L221" s="364"/>
      <c r="M221" s="324"/>
      <c r="N221" s="331"/>
      <c r="O221" s="331"/>
      <c r="P221" s="328"/>
      <c r="Q221" s="309"/>
      <c r="R221" s="332"/>
      <c r="S221" s="332"/>
      <c r="T221" s="332"/>
      <c r="U221" s="309"/>
      <c r="V221" s="309"/>
      <c r="W221" s="309"/>
      <c r="X221" s="309"/>
      <c r="Y221" s="309"/>
      <c r="Z221" s="309"/>
      <c r="AA221" s="309"/>
      <c r="AB221" s="309"/>
      <c r="AC221" s="309"/>
      <c r="AD221" s="309"/>
      <c r="AE221" s="309"/>
      <c r="AF221" s="309"/>
      <c r="AG221" s="309"/>
      <c r="AH221" s="309"/>
      <c r="AI221" s="309"/>
    </row>
    <row r="222" customFormat="false" ht="38.25" hidden="false" customHeight="true" outlineLevel="0" collapsed="false">
      <c r="A222" s="322" t="n">
        <v>209</v>
      </c>
      <c r="B222" s="363" t="s">
        <v>600</v>
      </c>
      <c r="C222" s="370" t="s">
        <v>56</v>
      </c>
      <c r="D222" s="375" t="n">
        <f aca="false">2</f>
        <v>2</v>
      </c>
      <c r="E222" s="363"/>
      <c r="F222" s="366"/>
      <c r="G222" s="324"/>
      <c r="H222" s="363"/>
      <c r="I222" s="333"/>
      <c r="J222" s="324"/>
      <c r="K222" s="353"/>
      <c r="L222" s="364"/>
      <c r="M222" s="324"/>
      <c r="N222" s="331"/>
      <c r="O222" s="331"/>
      <c r="P222" s="328"/>
      <c r="Q222" s="309"/>
      <c r="R222" s="332"/>
      <c r="S222" s="332"/>
      <c r="T222" s="332"/>
      <c r="U222" s="309"/>
      <c r="V222" s="309"/>
      <c r="W222" s="309"/>
      <c r="X222" s="309"/>
      <c r="Y222" s="309"/>
      <c r="Z222" s="309"/>
      <c r="AA222" s="309"/>
      <c r="AB222" s="309"/>
      <c r="AC222" s="309"/>
      <c r="AD222" s="309"/>
      <c r="AE222" s="309"/>
      <c r="AF222" s="309"/>
      <c r="AG222" s="309"/>
      <c r="AH222" s="309"/>
      <c r="AI222" s="309"/>
    </row>
    <row r="223" customFormat="false" ht="35.25" hidden="false" customHeight="true" outlineLevel="0" collapsed="false">
      <c r="A223" s="322" t="n">
        <v>210</v>
      </c>
      <c r="B223" s="363" t="s">
        <v>606</v>
      </c>
      <c r="C223" s="370" t="s">
        <v>56</v>
      </c>
      <c r="D223" s="375" t="n">
        <f aca="false">8</f>
        <v>8</v>
      </c>
      <c r="E223" s="363"/>
      <c r="F223" s="366"/>
      <c r="G223" s="324"/>
      <c r="H223" s="363"/>
      <c r="I223" s="333"/>
      <c r="J223" s="324"/>
      <c r="K223" s="353"/>
      <c r="L223" s="364"/>
      <c r="M223" s="324"/>
      <c r="N223" s="331"/>
      <c r="O223" s="331"/>
      <c r="P223" s="328"/>
      <c r="Q223" s="309"/>
      <c r="R223" s="332"/>
      <c r="S223" s="332"/>
      <c r="T223" s="332"/>
      <c r="U223" s="309"/>
      <c r="V223" s="309"/>
      <c r="W223" s="309"/>
      <c r="X223" s="309"/>
      <c r="Y223" s="309"/>
      <c r="Z223" s="309"/>
      <c r="AA223" s="309"/>
      <c r="AB223" s="309"/>
      <c r="AC223" s="309"/>
      <c r="AD223" s="309"/>
      <c r="AE223" s="309"/>
      <c r="AF223" s="309"/>
      <c r="AG223" s="309"/>
      <c r="AH223" s="309"/>
      <c r="AI223" s="309"/>
    </row>
    <row r="224" customFormat="false" ht="37.5" hidden="false" customHeight="true" outlineLevel="0" collapsed="false">
      <c r="A224" s="322" t="n">
        <v>211</v>
      </c>
      <c r="B224" s="363" t="s">
        <v>998</v>
      </c>
      <c r="C224" s="370" t="s">
        <v>56</v>
      </c>
      <c r="D224" s="375" t="n">
        <f aca="false">1</f>
        <v>1</v>
      </c>
      <c r="E224" s="363"/>
      <c r="F224" s="366"/>
      <c r="G224" s="324"/>
      <c r="H224" s="363"/>
      <c r="I224" s="333"/>
      <c r="J224" s="324"/>
      <c r="K224" s="353"/>
      <c r="L224" s="364"/>
      <c r="M224" s="324"/>
      <c r="N224" s="331"/>
      <c r="O224" s="331"/>
      <c r="P224" s="328"/>
      <c r="Q224" s="309"/>
      <c r="R224" s="332"/>
      <c r="S224" s="332"/>
      <c r="T224" s="332"/>
      <c r="U224" s="309"/>
      <c r="V224" s="309"/>
      <c r="W224" s="309"/>
      <c r="X224" s="309"/>
      <c r="Y224" s="309"/>
      <c r="Z224" s="309"/>
      <c r="AA224" s="309"/>
      <c r="AB224" s="309"/>
      <c r="AC224" s="309"/>
      <c r="AD224" s="309"/>
      <c r="AE224" s="309"/>
      <c r="AF224" s="309"/>
      <c r="AG224" s="309"/>
      <c r="AH224" s="309"/>
      <c r="AI224" s="309"/>
    </row>
    <row r="225" customFormat="false" ht="38.25" hidden="false" customHeight="true" outlineLevel="0" collapsed="false">
      <c r="A225" s="322" t="n">
        <v>212</v>
      </c>
      <c r="B225" s="363" t="s">
        <v>999</v>
      </c>
      <c r="C225" s="370" t="s">
        <v>56</v>
      </c>
      <c r="D225" s="375" t="n">
        <f aca="false">16</f>
        <v>16</v>
      </c>
      <c r="E225" s="363"/>
      <c r="F225" s="366"/>
      <c r="G225" s="324"/>
      <c r="H225" s="363"/>
      <c r="I225" s="333"/>
      <c r="J225" s="324"/>
      <c r="K225" s="353"/>
      <c r="L225" s="364"/>
      <c r="M225" s="324"/>
      <c r="N225" s="331"/>
      <c r="O225" s="331"/>
      <c r="P225" s="328"/>
      <c r="Q225" s="309"/>
      <c r="R225" s="332"/>
      <c r="S225" s="332"/>
      <c r="T225" s="332"/>
      <c r="U225" s="309"/>
      <c r="V225" s="309"/>
      <c r="W225" s="309"/>
      <c r="X225" s="309"/>
      <c r="Y225" s="309"/>
      <c r="Z225" s="309"/>
      <c r="AA225" s="309"/>
      <c r="AB225" s="309"/>
      <c r="AC225" s="309"/>
      <c r="AD225" s="309"/>
      <c r="AE225" s="309"/>
      <c r="AF225" s="309"/>
      <c r="AG225" s="309"/>
      <c r="AH225" s="309"/>
      <c r="AI225" s="309"/>
    </row>
    <row r="226" customFormat="false" ht="39.75" hidden="false" customHeight="true" outlineLevel="0" collapsed="false">
      <c r="A226" s="322" t="n">
        <v>213</v>
      </c>
      <c r="B226" s="363" t="s">
        <v>1000</v>
      </c>
      <c r="C226" s="370" t="s">
        <v>56</v>
      </c>
      <c r="D226" s="375" t="n">
        <f aca="false">2</f>
        <v>2</v>
      </c>
      <c r="E226" s="363"/>
      <c r="F226" s="366"/>
      <c r="G226" s="324"/>
      <c r="H226" s="363"/>
      <c r="I226" s="333"/>
      <c r="J226" s="324"/>
      <c r="K226" s="353"/>
      <c r="L226" s="364"/>
      <c r="M226" s="324"/>
      <c r="N226" s="331"/>
      <c r="O226" s="331"/>
      <c r="P226" s="328"/>
      <c r="Q226" s="309"/>
      <c r="R226" s="332"/>
      <c r="S226" s="332"/>
      <c r="T226" s="332"/>
      <c r="U226" s="309"/>
      <c r="V226" s="309"/>
      <c r="W226" s="309"/>
      <c r="X226" s="309"/>
      <c r="Y226" s="309"/>
      <c r="Z226" s="309"/>
      <c r="AA226" s="309"/>
      <c r="AB226" s="309"/>
      <c r="AC226" s="309"/>
      <c r="AD226" s="309"/>
      <c r="AE226" s="309"/>
      <c r="AF226" s="309"/>
      <c r="AG226" s="309"/>
      <c r="AH226" s="309"/>
      <c r="AI226" s="309"/>
    </row>
    <row r="227" customFormat="false" ht="35.25" hidden="false" customHeight="true" outlineLevel="0" collapsed="false">
      <c r="A227" s="322" t="n">
        <v>214</v>
      </c>
      <c r="B227" s="363" t="s">
        <v>1001</v>
      </c>
      <c r="C227" s="370" t="s">
        <v>56</v>
      </c>
      <c r="D227" s="375" t="n">
        <f aca="false">24</f>
        <v>24</v>
      </c>
      <c r="E227" s="363"/>
      <c r="F227" s="366"/>
      <c r="G227" s="324"/>
      <c r="H227" s="363"/>
      <c r="I227" s="333"/>
      <c r="J227" s="324"/>
      <c r="K227" s="353"/>
      <c r="L227" s="364"/>
      <c r="M227" s="324"/>
      <c r="N227" s="331"/>
      <c r="O227" s="331"/>
      <c r="P227" s="328"/>
      <c r="Q227" s="309"/>
      <c r="R227" s="332"/>
      <c r="S227" s="332"/>
      <c r="T227" s="332"/>
      <c r="U227" s="309"/>
      <c r="V227" s="309"/>
      <c r="W227" s="309"/>
      <c r="X227" s="309"/>
      <c r="Y227" s="309"/>
      <c r="Z227" s="309"/>
      <c r="AA227" s="309"/>
      <c r="AB227" s="309"/>
      <c r="AC227" s="309"/>
      <c r="AD227" s="309"/>
      <c r="AE227" s="309"/>
      <c r="AF227" s="309"/>
      <c r="AG227" s="309"/>
      <c r="AH227" s="309"/>
      <c r="AI227" s="309"/>
    </row>
    <row r="228" customFormat="false" ht="35.25" hidden="false" customHeight="true" outlineLevel="0" collapsed="false">
      <c r="A228" s="322" t="n">
        <v>215</v>
      </c>
      <c r="B228" s="363" t="s">
        <v>1002</v>
      </c>
      <c r="C228" s="370" t="s">
        <v>257</v>
      </c>
      <c r="D228" s="375" t="n">
        <f aca="false">60</f>
        <v>60</v>
      </c>
      <c r="E228" s="363"/>
      <c r="F228" s="366"/>
      <c r="G228" s="324"/>
      <c r="H228" s="363"/>
      <c r="I228" s="333"/>
      <c r="J228" s="324"/>
      <c r="K228" s="353"/>
      <c r="L228" s="364"/>
      <c r="M228" s="324"/>
      <c r="N228" s="331"/>
      <c r="O228" s="331"/>
      <c r="P228" s="328"/>
      <c r="Q228" s="309"/>
      <c r="R228" s="332"/>
      <c r="S228" s="332"/>
      <c r="T228" s="332"/>
      <c r="U228" s="309"/>
      <c r="V228" s="309"/>
      <c r="W228" s="309"/>
      <c r="X228" s="309"/>
      <c r="Y228" s="309"/>
      <c r="Z228" s="309"/>
      <c r="AA228" s="309"/>
      <c r="AB228" s="309"/>
      <c r="AC228" s="309"/>
      <c r="AD228" s="309"/>
      <c r="AE228" s="309"/>
      <c r="AF228" s="309"/>
      <c r="AG228" s="309"/>
      <c r="AH228" s="309"/>
      <c r="AI228" s="309"/>
    </row>
    <row r="229" customFormat="false" ht="37.5" hidden="false" customHeight="true" outlineLevel="0" collapsed="false">
      <c r="A229" s="322" t="n">
        <v>216</v>
      </c>
      <c r="B229" s="363" t="s">
        <v>1003</v>
      </c>
      <c r="C229" s="370" t="s">
        <v>257</v>
      </c>
      <c r="D229" s="375" t="n">
        <f aca="false">120</f>
        <v>120</v>
      </c>
      <c r="E229" s="363"/>
      <c r="F229" s="366"/>
      <c r="G229" s="324"/>
      <c r="H229" s="363"/>
      <c r="I229" s="333"/>
      <c r="J229" s="324"/>
      <c r="K229" s="353"/>
      <c r="L229" s="364"/>
      <c r="M229" s="324"/>
      <c r="N229" s="331"/>
      <c r="O229" s="331"/>
      <c r="P229" s="328"/>
      <c r="Q229" s="309"/>
      <c r="R229" s="332"/>
      <c r="S229" s="332"/>
      <c r="T229" s="332"/>
      <c r="U229" s="309"/>
      <c r="V229" s="309"/>
      <c r="W229" s="309"/>
      <c r="X229" s="309"/>
      <c r="Y229" s="309"/>
      <c r="Z229" s="309"/>
      <c r="AA229" s="309"/>
      <c r="AB229" s="309"/>
      <c r="AC229" s="309"/>
      <c r="AD229" s="309"/>
      <c r="AE229" s="309"/>
      <c r="AF229" s="309"/>
      <c r="AG229" s="309"/>
      <c r="AH229" s="309"/>
      <c r="AI229" s="309"/>
    </row>
    <row r="230" customFormat="false" ht="33.75" hidden="false" customHeight="true" outlineLevel="0" collapsed="false">
      <c r="A230" s="322" t="n">
        <v>217</v>
      </c>
      <c r="B230" s="363" t="s">
        <v>1004</v>
      </c>
      <c r="C230" s="370" t="s">
        <v>56</v>
      </c>
      <c r="D230" s="375" t="n">
        <v>360</v>
      </c>
      <c r="E230" s="363"/>
      <c r="F230" s="366"/>
      <c r="G230" s="324"/>
      <c r="H230" s="363"/>
      <c r="I230" s="333"/>
      <c r="J230" s="324"/>
      <c r="K230" s="353"/>
      <c r="L230" s="364"/>
      <c r="M230" s="324"/>
      <c r="N230" s="331"/>
      <c r="O230" s="331"/>
      <c r="P230" s="328"/>
      <c r="Q230" s="309"/>
      <c r="R230" s="332"/>
      <c r="S230" s="332"/>
      <c r="T230" s="332"/>
      <c r="U230" s="309"/>
      <c r="V230" s="309"/>
      <c r="W230" s="309"/>
      <c r="X230" s="309"/>
      <c r="Y230" s="309"/>
      <c r="Z230" s="309"/>
      <c r="AA230" s="309"/>
      <c r="AB230" s="309"/>
      <c r="AC230" s="309"/>
      <c r="AD230" s="309"/>
      <c r="AE230" s="309"/>
      <c r="AF230" s="309"/>
      <c r="AG230" s="309"/>
      <c r="AH230" s="309"/>
      <c r="AI230" s="309"/>
    </row>
    <row r="231" customFormat="false" ht="34.5" hidden="false" customHeight="true" outlineLevel="0" collapsed="false">
      <c r="A231" s="322" t="n">
        <v>218</v>
      </c>
      <c r="B231" s="363" t="s">
        <v>1005</v>
      </c>
      <c r="C231" s="370" t="s">
        <v>56</v>
      </c>
      <c r="D231" s="375" t="n">
        <f aca="false">100</f>
        <v>100</v>
      </c>
      <c r="E231" s="363"/>
      <c r="F231" s="366"/>
      <c r="G231" s="324"/>
      <c r="H231" s="363"/>
      <c r="I231" s="333"/>
      <c r="J231" s="324"/>
      <c r="K231" s="353"/>
      <c r="L231" s="364"/>
      <c r="M231" s="324"/>
      <c r="N231" s="331"/>
      <c r="O231" s="331"/>
      <c r="P231" s="328"/>
      <c r="Q231" s="309"/>
      <c r="R231" s="332"/>
      <c r="S231" s="332"/>
      <c r="T231" s="332"/>
      <c r="U231" s="309"/>
      <c r="V231" s="309"/>
      <c r="W231" s="309"/>
      <c r="X231" s="309"/>
      <c r="Y231" s="309"/>
      <c r="Z231" s="309"/>
      <c r="AA231" s="309"/>
      <c r="AB231" s="309"/>
      <c r="AC231" s="309"/>
      <c r="AD231" s="309"/>
      <c r="AE231" s="309"/>
      <c r="AF231" s="309"/>
      <c r="AG231" s="309"/>
      <c r="AH231" s="309"/>
      <c r="AI231" s="309"/>
    </row>
    <row r="232" customFormat="false" ht="36.75" hidden="false" customHeight="true" outlineLevel="0" collapsed="false">
      <c r="A232" s="322" t="n">
        <v>219</v>
      </c>
      <c r="B232" s="363" t="s">
        <v>1006</v>
      </c>
      <c r="C232" s="370" t="s">
        <v>56</v>
      </c>
      <c r="D232" s="375" t="n">
        <f aca="false">100</f>
        <v>100</v>
      </c>
      <c r="E232" s="363"/>
      <c r="F232" s="366"/>
      <c r="G232" s="324"/>
      <c r="H232" s="363"/>
      <c r="I232" s="333"/>
      <c r="J232" s="324"/>
      <c r="K232" s="353"/>
      <c r="L232" s="364"/>
      <c r="M232" s="324"/>
      <c r="N232" s="331"/>
      <c r="O232" s="331"/>
      <c r="P232" s="328"/>
      <c r="Q232" s="309"/>
      <c r="R232" s="332"/>
      <c r="S232" s="332"/>
      <c r="T232" s="332"/>
      <c r="U232" s="309"/>
      <c r="V232" s="309"/>
      <c r="W232" s="309"/>
      <c r="X232" s="309"/>
      <c r="Y232" s="309"/>
      <c r="Z232" s="309"/>
      <c r="AA232" s="309"/>
      <c r="AB232" s="309"/>
      <c r="AC232" s="309"/>
      <c r="AD232" s="309"/>
      <c r="AE232" s="309"/>
      <c r="AF232" s="309"/>
      <c r="AG232" s="309"/>
      <c r="AH232" s="309"/>
      <c r="AI232" s="309"/>
    </row>
    <row r="233" customFormat="false" ht="36" hidden="false" customHeight="true" outlineLevel="0" collapsed="false">
      <c r="A233" s="322" t="n">
        <v>220</v>
      </c>
      <c r="B233" s="363" t="s">
        <v>1007</v>
      </c>
      <c r="C233" s="370" t="s">
        <v>56</v>
      </c>
      <c r="D233" s="375" t="n">
        <f aca="false">3</f>
        <v>3</v>
      </c>
      <c r="E233" s="363"/>
      <c r="F233" s="366"/>
      <c r="G233" s="324"/>
      <c r="H233" s="363"/>
      <c r="I233" s="333"/>
      <c r="J233" s="324"/>
      <c r="K233" s="353"/>
      <c r="L233" s="364"/>
      <c r="M233" s="324"/>
      <c r="N233" s="331"/>
      <c r="O233" s="331"/>
      <c r="P233" s="328"/>
      <c r="Q233" s="309"/>
      <c r="R233" s="332"/>
      <c r="S233" s="332"/>
      <c r="T233" s="332"/>
      <c r="U233" s="309"/>
      <c r="V233" s="309"/>
      <c r="W233" s="309"/>
      <c r="X233" s="309"/>
      <c r="Y233" s="309"/>
      <c r="Z233" s="309"/>
      <c r="AA233" s="309"/>
      <c r="AB233" s="309"/>
      <c r="AC233" s="309"/>
      <c r="AD233" s="309"/>
      <c r="AE233" s="309"/>
      <c r="AF233" s="309"/>
      <c r="AG233" s="309"/>
      <c r="AH233" s="309"/>
      <c r="AI233" s="309"/>
    </row>
    <row r="234" customFormat="false" ht="35.25" hidden="false" customHeight="true" outlineLevel="0" collapsed="false">
      <c r="A234" s="322" t="n">
        <v>221</v>
      </c>
      <c r="B234" s="363" t="s">
        <v>1008</v>
      </c>
      <c r="C234" s="370" t="s">
        <v>257</v>
      </c>
      <c r="D234" s="375" t="n">
        <f aca="false">10</f>
        <v>10</v>
      </c>
      <c r="E234" s="363"/>
      <c r="F234" s="366"/>
      <c r="G234" s="324"/>
      <c r="H234" s="363"/>
      <c r="I234" s="333"/>
      <c r="J234" s="324"/>
      <c r="K234" s="353"/>
      <c r="L234" s="364"/>
      <c r="M234" s="324"/>
      <c r="N234" s="331"/>
      <c r="O234" s="331"/>
      <c r="P234" s="328"/>
      <c r="Q234" s="309"/>
      <c r="R234" s="332"/>
      <c r="S234" s="332"/>
      <c r="T234" s="332"/>
      <c r="U234" s="309"/>
      <c r="V234" s="309"/>
      <c r="W234" s="309"/>
      <c r="X234" s="309"/>
      <c r="Y234" s="309"/>
      <c r="Z234" s="309"/>
      <c r="AA234" s="309"/>
      <c r="AB234" s="309"/>
      <c r="AC234" s="309"/>
      <c r="AD234" s="309"/>
      <c r="AE234" s="309"/>
      <c r="AF234" s="309"/>
      <c r="AG234" s="309"/>
      <c r="AH234" s="309"/>
      <c r="AI234" s="309"/>
    </row>
    <row r="235" customFormat="false" ht="35.25" hidden="false" customHeight="true" outlineLevel="0" collapsed="false">
      <c r="A235" s="322" t="n">
        <v>222</v>
      </c>
      <c r="B235" s="363" t="s">
        <v>1009</v>
      </c>
      <c r="C235" s="370" t="s">
        <v>56</v>
      </c>
      <c r="D235" s="375" t="n">
        <f aca="false">4</f>
        <v>4</v>
      </c>
      <c r="E235" s="363"/>
      <c r="F235" s="366"/>
      <c r="G235" s="324"/>
      <c r="H235" s="363"/>
      <c r="I235" s="333"/>
      <c r="J235" s="324"/>
      <c r="K235" s="353"/>
      <c r="L235" s="364"/>
      <c r="M235" s="324"/>
      <c r="N235" s="331"/>
      <c r="O235" s="331"/>
      <c r="P235" s="328"/>
      <c r="Q235" s="309"/>
      <c r="R235" s="332"/>
      <c r="S235" s="332"/>
      <c r="T235" s="332"/>
      <c r="U235" s="309"/>
      <c r="V235" s="309"/>
      <c r="W235" s="309"/>
      <c r="X235" s="309"/>
      <c r="Y235" s="309"/>
      <c r="Z235" s="309"/>
      <c r="AA235" s="309"/>
      <c r="AB235" s="309"/>
      <c r="AC235" s="309"/>
      <c r="AD235" s="309"/>
      <c r="AE235" s="309"/>
      <c r="AF235" s="309"/>
      <c r="AG235" s="309"/>
      <c r="AH235" s="309"/>
      <c r="AI235" s="309"/>
    </row>
    <row r="236" customFormat="false" ht="39.75" hidden="false" customHeight="true" outlineLevel="0" collapsed="false">
      <c r="A236" s="322" t="n">
        <v>223</v>
      </c>
      <c r="B236" s="363" t="s">
        <v>1010</v>
      </c>
      <c r="C236" s="370" t="s">
        <v>56</v>
      </c>
      <c r="D236" s="375" t="n">
        <f aca="false">3</f>
        <v>3</v>
      </c>
      <c r="E236" s="363"/>
      <c r="F236" s="366"/>
      <c r="G236" s="324"/>
      <c r="H236" s="363"/>
      <c r="I236" s="333"/>
      <c r="J236" s="324"/>
      <c r="K236" s="353"/>
      <c r="L236" s="364"/>
      <c r="M236" s="324"/>
      <c r="N236" s="331"/>
      <c r="O236" s="331"/>
      <c r="P236" s="328"/>
      <c r="Q236" s="309"/>
      <c r="R236" s="332"/>
      <c r="S236" s="332"/>
      <c r="T236" s="332"/>
      <c r="U236" s="309"/>
      <c r="V236" s="309"/>
      <c r="W236" s="309"/>
      <c r="X236" s="309"/>
      <c r="Y236" s="309"/>
      <c r="Z236" s="309"/>
      <c r="AA236" s="309"/>
      <c r="AB236" s="309"/>
      <c r="AC236" s="309"/>
      <c r="AD236" s="309"/>
      <c r="AE236" s="309"/>
      <c r="AF236" s="309"/>
      <c r="AG236" s="309"/>
      <c r="AH236" s="309"/>
      <c r="AI236" s="309"/>
    </row>
    <row r="237" customFormat="false" ht="35.25" hidden="false" customHeight="true" outlineLevel="0" collapsed="false">
      <c r="A237" s="322" t="n">
        <v>224</v>
      </c>
      <c r="B237" s="363" t="s">
        <v>1011</v>
      </c>
      <c r="C237" s="370" t="s">
        <v>56</v>
      </c>
      <c r="D237" s="375" t="n">
        <f aca="false">1</f>
        <v>1</v>
      </c>
      <c r="E237" s="363"/>
      <c r="F237" s="366"/>
      <c r="G237" s="324"/>
      <c r="H237" s="363"/>
      <c r="I237" s="333"/>
      <c r="J237" s="324"/>
      <c r="K237" s="353"/>
      <c r="L237" s="364"/>
      <c r="M237" s="324"/>
      <c r="N237" s="331"/>
      <c r="O237" s="331"/>
      <c r="P237" s="328"/>
      <c r="Q237" s="309"/>
      <c r="R237" s="332"/>
      <c r="S237" s="332"/>
      <c r="T237" s="332"/>
      <c r="U237" s="309"/>
      <c r="V237" s="309"/>
      <c r="W237" s="309"/>
      <c r="X237" s="309"/>
      <c r="Y237" s="309"/>
      <c r="Z237" s="309"/>
      <c r="AA237" s="309"/>
      <c r="AB237" s="309"/>
      <c r="AC237" s="309"/>
      <c r="AD237" s="309"/>
      <c r="AE237" s="309"/>
      <c r="AF237" s="309"/>
      <c r="AG237" s="309"/>
      <c r="AH237" s="309"/>
      <c r="AI237" s="309"/>
    </row>
    <row r="238" customFormat="false" ht="36.75" hidden="false" customHeight="true" outlineLevel="0" collapsed="false">
      <c r="A238" s="322" t="n">
        <v>225</v>
      </c>
      <c r="B238" s="363" t="s">
        <v>1012</v>
      </c>
      <c r="C238" s="370" t="s">
        <v>56</v>
      </c>
      <c r="D238" s="375" t="n">
        <f aca="false">20</f>
        <v>20</v>
      </c>
      <c r="E238" s="363"/>
      <c r="F238" s="366"/>
      <c r="G238" s="324"/>
      <c r="H238" s="363"/>
      <c r="I238" s="333"/>
      <c r="J238" s="324"/>
      <c r="K238" s="353"/>
      <c r="L238" s="364"/>
      <c r="M238" s="324"/>
      <c r="N238" s="331"/>
      <c r="O238" s="331"/>
      <c r="P238" s="328"/>
      <c r="Q238" s="309"/>
      <c r="R238" s="332"/>
      <c r="S238" s="332"/>
      <c r="T238" s="332"/>
      <c r="U238" s="309"/>
      <c r="V238" s="309"/>
      <c r="W238" s="309"/>
      <c r="X238" s="309"/>
      <c r="Y238" s="309"/>
      <c r="Z238" s="309"/>
      <c r="AA238" s="309"/>
      <c r="AB238" s="309"/>
      <c r="AC238" s="309"/>
      <c r="AD238" s="309"/>
      <c r="AE238" s="309"/>
      <c r="AF238" s="309"/>
      <c r="AG238" s="309"/>
      <c r="AH238" s="309"/>
      <c r="AI238" s="309"/>
    </row>
    <row r="239" customFormat="false" ht="33" hidden="false" customHeight="true" outlineLevel="0" collapsed="false">
      <c r="A239" s="322" t="n">
        <v>226</v>
      </c>
      <c r="B239" s="363" t="s">
        <v>1013</v>
      </c>
      <c r="C239" s="370" t="s">
        <v>1014</v>
      </c>
      <c r="D239" s="375" t="n">
        <f aca="false">2+2</f>
        <v>4</v>
      </c>
      <c r="E239" s="363"/>
      <c r="F239" s="366"/>
      <c r="G239" s="324"/>
      <c r="H239" s="363"/>
      <c r="I239" s="333"/>
      <c r="J239" s="324"/>
      <c r="K239" s="353"/>
      <c r="L239" s="364"/>
      <c r="M239" s="324"/>
      <c r="N239" s="331"/>
      <c r="O239" s="331"/>
      <c r="P239" s="328"/>
      <c r="Q239" s="309"/>
      <c r="R239" s="332"/>
      <c r="S239" s="332"/>
      <c r="T239" s="332"/>
      <c r="U239" s="309"/>
      <c r="V239" s="309"/>
      <c r="W239" s="309"/>
      <c r="X239" s="309"/>
      <c r="Y239" s="309"/>
      <c r="Z239" s="309"/>
      <c r="AA239" s="309"/>
      <c r="AB239" s="309"/>
      <c r="AC239" s="309"/>
      <c r="AD239" s="309"/>
      <c r="AE239" s="309"/>
      <c r="AF239" s="309"/>
      <c r="AG239" s="309"/>
      <c r="AH239" s="309"/>
      <c r="AI239" s="309"/>
    </row>
    <row r="240" customFormat="false" ht="34.5" hidden="false" customHeight="true" outlineLevel="0" collapsed="false">
      <c r="A240" s="322" t="n">
        <v>227</v>
      </c>
      <c r="B240" s="363" t="s">
        <v>1015</v>
      </c>
      <c r="C240" s="370" t="s">
        <v>56</v>
      </c>
      <c r="D240" s="375" t="n">
        <f aca="false">1</f>
        <v>1</v>
      </c>
      <c r="E240" s="363"/>
      <c r="F240" s="366"/>
      <c r="G240" s="324"/>
      <c r="H240" s="363"/>
      <c r="I240" s="333"/>
      <c r="J240" s="324"/>
      <c r="K240" s="353"/>
      <c r="L240" s="364"/>
      <c r="M240" s="324"/>
      <c r="N240" s="331"/>
      <c r="O240" s="331"/>
      <c r="P240" s="328"/>
      <c r="Q240" s="309"/>
      <c r="R240" s="332"/>
      <c r="S240" s="332"/>
      <c r="T240" s="332"/>
      <c r="U240" s="309"/>
      <c r="V240" s="309"/>
      <c r="W240" s="309"/>
      <c r="X240" s="309"/>
      <c r="Y240" s="309"/>
      <c r="Z240" s="309"/>
      <c r="AA240" s="309"/>
      <c r="AB240" s="309"/>
      <c r="AC240" s="309"/>
      <c r="AD240" s="309"/>
      <c r="AE240" s="309"/>
      <c r="AF240" s="309"/>
      <c r="AG240" s="309"/>
      <c r="AH240" s="309"/>
      <c r="AI240" s="309"/>
    </row>
    <row r="241" customFormat="false" ht="38.25" hidden="false" customHeight="true" outlineLevel="0" collapsed="false">
      <c r="A241" s="322" t="n">
        <v>228</v>
      </c>
      <c r="B241" s="363" t="s">
        <v>1003</v>
      </c>
      <c r="C241" s="370" t="s">
        <v>257</v>
      </c>
      <c r="D241" s="375" t="n">
        <f aca="false">30</f>
        <v>30</v>
      </c>
      <c r="E241" s="363"/>
      <c r="F241" s="366"/>
      <c r="G241" s="324"/>
      <c r="H241" s="363"/>
      <c r="I241" s="333"/>
      <c r="J241" s="324"/>
      <c r="K241" s="353"/>
      <c r="L241" s="364"/>
      <c r="M241" s="324"/>
      <c r="N241" s="331"/>
      <c r="O241" s="331"/>
      <c r="P241" s="328"/>
      <c r="Q241" s="309"/>
      <c r="R241" s="332"/>
      <c r="S241" s="332"/>
      <c r="T241" s="332"/>
      <c r="U241" s="309"/>
      <c r="V241" s="309"/>
      <c r="W241" s="309"/>
      <c r="X241" s="309"/>
      <c r="Y241" s="309"/>
      <c r="Z241" s="309"/>
      <c r="AA241" s="309"/>
      <c r="AB241" s="309"/>
      <c r="AC241" s="309"/>
      <c r="AD241" s="309"/>
      <c r="AE241" s="309"/>
      <c r="AF241" s="309"/>
      <c r="AG241" s="309"/>
      <c r="AH241" s="309"/>
      <c r="AI241" s="309"/>
    </row>
    <row r="242" customFormat="false" ht="42.75" hidden="false" customHeight="true" outlineLevel="0" collapsed="false">
      <c r="A242" s="322" t="n">
        <v>229</v>
      </c>
      <c r="B242" s="363" t="s">
        <v>1016</v>
      </c>
      <c r="C242" s="370" t="s">
        <v>56</v>
      </c>
      <c r="D242" s="375" t="n">
        <f aca="false">100</f>
        <v>100</v>
      </c>
      <c r="E242" s="363"/>
      <c r="F242" s="366"/>
      <c r="G242" s="324"/>
      <c r="H242" s="363"/>
      <c r="I242" s="333"/>
      <c r="J242" s="324"/>
      <c r="K242" s="353"/>
      <c r="L242" s="364"/>
      <c r="M242" s="324"/>
      <c r="N242" s="331"/>
      <c r="O242" s="331"/>
      <c r="P242" s="328"/>
      <c r="Q242" s="309"/>
      <c r="R242" s="332"/>
      <c r="S242" s="332"/>
      <c r="T242" s="332"/>
      <c r="U242" s="309"/>
      <c r="V242" s="309"/>
      <c r="W242" s="309"/>
      <c r="X242" s="309"/>
      <c r="Y242" s="309"/>
      <c r="Z242" s="309"/>
      <c r="AA242" s="309"/>
      <c r="AB242" s="309"/>
      <c r="AC242" s="309"/>
      <c r="AD242" s="309"/>
      <c r="AE242" s="309"/>
      <c r="AF242" s="309"/>
      <c r="AG242" s="309"/>
      <c r="AH242" s="309"/>
      <c r="AI242" s="309"/>
    </row>
    <row r="243" customFormat="false" ht="40.5" hidden="false" customHeight="true" outlineLevel="0" collapsed="false">
      <c r="A243" s="322" t="n">
        <v>230</v>
      </c>
      <c r="B243" s="363" t="s">
        <v>1017</v>
      </c>
      <c r="C243" s="370" t="s">
        <v>56</v>
      </c>
      <c r="D243" s="375" t="n">
        <f aca="false">50</f>
        <v>50</v>
      </c>
      <c r="E243" s="363"/>
      <c r="F243" s="366"/>
      <c r="G243" s="324"/>
      <c r="H243" s="363"/>
      <c r="I243" s="333"/>
      <c r="J243" s="324"/>
      <c r="K243" s="353"/>
      <c r="L243" s="364"/>
      <c r="M243" s="324"/>
      <c r="N243" s="331"/>
      <c r="O243" s="331"/>
      <c r="P243" s="328"/>
      <c r="Q243" s="309"/>
      <c r="R243" s="332"/>
      <c r="S243" s="332"/>
      <c r="T243" s="332"/>
      <c r="U243" s="309"/>
      <c r="V243" s="309"/>
      <c r="W243" s="309"/>
      <c r="X243" s="309"/>
      <c r="Y243" s="309"/>
      <c r="Z243" s="309"/>
      <c r="AA243" s="309"/>
      <c r="AB243" s="309"/>
      <c r="AC243" s="309"/>
      <c r="AD243" s="309"/>
      <c r="AE243" s="309"/>
      <c r="AF243" s="309"/>
      <c r="AG243" s="309"/>
      <c r="AH243" s="309"/>
      <c r="AI243" s="309"/>
    </row>
    <row r="244" customFormat="false" ht="40.5" hidden="false" customHeight="true" outlineLevel="0" collapsed="false">
      <c r="A244" s="322" t="n">
        <v>231</v>
      </c>
      <c r="B244" s="325" t="s">
        <v>1018</v>
      </c>
      <c r="C244" s="325" t="s">
        <v>56</v>
      </c>
      <c r="D244" s="393" t="n">
        <v>4</v>
      </c>
      <c r="E244" s="363"/>
      <c r="F244" s="366"/>
      <c r="G244" s="324"/>
      <c r="H244" s="363"/>
      <c r="I244" s="333"/>
      <c r="J244" s="324"/>
      <c r="K244" s="353"/>
      <c r="L244" s="364"/>
      <c r="M244" s="324"/>
      <c r="N244" s="331"/>
      <c r="O244" s="331"/>
      <c r="P244" s="328"/>
      <c r="Q244" s="309"/>
      <c r="R244" s="332"/>
      <c r="S244" s="332"/>
      <c r="T244" s="332"/>
      <c r="U244" s="309"/>
      <c r="V244" s="309"/>
      <c r="W244" s="309"/>
      <c r="X244" s="309"/>
      <c r="Y244" s="309"/>
      <c r="Z244" s="309"/>
      <c r="AA244" s="309"/>
      <c r="AB244" s="309"/>
      <c r="AC244" s="309"/>
      <c r="AD244" s="309"/>
      <c r="AE244" s="309"/>
      <c r="AF244" s="309"/>
      <c r="AG244" s="309"/>
      <c r="AH244" s="309"/>
      <c r="AI244" s="309"/>
    </row>
    <row r="245" customFormat="false" ht="39" hidden="false" customHeight="true" outlineLevel="0" collapsed="false">
      <c r="A245" s="322" t="n">
        <v>232</v>
      </c>
      <c r="B245" s="325" t="s">
        <v>1019</v>
      </c>
      <c r="C245" s="325" t="s">
        <v>56</v>
      </c>
      <c r="D245" s="393" t="n">
        <f aca="false">4</f>
        <v>4</v>
      </c>
      <c r="E245" s="363"/>
      <c r="F245" s="366"/>
      <c r="G245" s="324"/>
      <c r="H245" s="363"/>
      <c r="I245" s="333"/>
      <c r="J245" s="324"/>
      <c r="K245" s="353"/>
      <c r="L245" s="364"/>
      <c r="M245" s="324"/>
      <c r="N245" s="331"/>
      <c r="O245" s="331"/>
      <c r="P245" s="328"/>
      <c r="Q245" s="309"/>
      <c r="R245" s="332"/>
      <c r="S245" s="332"/>
      <c r="T245" s="332"/>
      <c r="U245" s="309"/>
      <c r="V245" s="309"/>
      <c r="W245" s="309"/>
      <c r="X245" s="309"/>
      <c r="Y245" s="309"/>
      <c r="Z245" s="309"/>
      <c r="AA245" s="309"/>
      <c r="AB245" s="309"/>
      <c r="AC245" s="309"/>
      <c r="AD245" s="309"/>
      <c r="AE245" s="309"/>
      <c r="AF245" s="309"/>
      <c r="AG245" s="309"/>
      <c r="AH245" s="309"/>
      <c r="AI245" s="309"/>
    </row>
    <row r="246" customFormat="false" ht="35.25" hidden="false" customHeight="true" outlineLevel="0" collapsed="false">
      <c r="A246" s="322" t="n">
        <v>233</v>
      </c>
      <c r="B246" s="325" t="s">
        <v>1020</v>
      </c>
      <c r="C246" s="325" t="s">
        <v>56</v>
      </c>
      <c r="D246" s="393" t="n">
        <f aca="false">2</f>
        <v>2</v>
      </c>
      <c r="E246" s="363"/>
      <c r="F246" s="366"/>
      <c r="G246" s="324"/>
      <c r="H246" s="363"/>
      <c r="I246" s="333"/>
      <c r="J246" s="324"/>
      <c r="K246" s="353"/>
      <c r="L246" s="364"/>
      <c r="M246" s="324"/>
      <c r="N246" s="331"/>
      <c r="O246" s="331"/>
      <c r="P246" s="328"/>
      <c r="Q246" s="309"/>
      <c r="R246" s="332"/>
      <c r="S246" s="332"/>
      <c r="T246" s="332"/>
      <c r="U246" s="309"/>
      <c r="V246" s="309"/>
      <c r="W246" s="309"/>
      <c r="X246" s="309"/>
      <c r="Y246" s="309"/>
      <c r="Z246" s="309"/>
      <c r="AA246" s="309"/>
      <c r="AB246" s="309"/>
      <c r="AC246" s="309"/>
      <c r="AD246" s="309"/>
      <c r="AE246" s="309"/>
      <c r="AF246" s="309"/>
      <c r="AG246" s="309"/>
      <c r="AH246" s="309"/>
      <c r="AI246" s="309"/>
    </row>
    <row r="247" customFormat="false" ht="37.5" hidden="false" customHeight="true" outlineLevel="0" collapsed="false">
      <c r="A247" s="322" t="n">
        <v>234</v>
      </c>
      <c r="B247" s="325" t="s">
        <v>1021</v>
      </c>
      <c r="C247" s="325" t="s">
        <v>56</v>
      </c>
      <c r="D247" s="393" t="n">
        <f aca="false">6</f>
        <v>6</v>
      </c>
      <c r="E247" s="363"/>
      <c r="F247" s="366"/>
      <c r="G247" s="324"/>
      <c r="H247" s="363"/>
      <c r="I247" s="333"/>
      <c r="J247" s="324"/>
      <c r="K247" s="353"/>
      <c r="L247" s="364"/>
      <c r="M247" s="324"/>
      <c r="N247" s="331"/>
      <c r="O247" s="331"/>
      <c r="P247" s="328"/>
      <c r="Q247" s="309"/>
      <c r="R247" s="332"/>
      <c r="S247" s="332"/>
      <c r="T247" s="332"/>
      <c r="U247" s="309"/>
      <c r="V247" s="309"/>
      <c r="W247" s="309"/>
      <c r="X247" s="309"/>
      <c r="Y247" s="309"/>
      <c r="Z247" s="309"/>
      <c r="AA247" s="309"/>
      <c r="AB247" s="309"/>
      <c r="AC247" s="309"/>
      <c r="AD247" s="309"/>
      <c r="AE247" s="309"/>
      <c r="AF247" s="309"/>
      <c r="AG247" s="309"/>
      <c r="AH247" s="309"/>
      <c r="AI247" s="309"/>
    </row>
    <row r="248" customFormat="false" ht="38.25" hidden="false" customHeight="true" outlineLevel="0" collapsed="false">
      <c r="A248" s="322" t="n">
        <v>235</v>
      </c>
      <c r="B248" s="325" t="s">
        <v>1022</v>
      </c>
      <c r="C248" s="325" t="s">
        <v>56</v>
      </c>
      <c r="D248" s="393" t="n">
        <f aca="false">2</f>
        <v>2</v>
      </c>
      <c r="E248" s="363"/>
      <c r="F248" s="366"/>
      <c r="G248" s="324"/>
      <c r="H248" s="363"/>
      <c r="I248" s="333"/>
      <c r="J248" s="324"/>
      <c r="K248" s="353"/>
      <c r="L248" s="364"/>
      <c r="M248" s="324"/>
      <c r="N248" s="331"/>
      <c r="O248" s="331"/>
      <c r="P248" s="328"/>
      <c r="Q248" s="309"/>
      <c r="R248" s="332"/>
      <c r="S248" s="332"/>
      <c r="T248" s="332"/>
      <c r="U248" s="309"/>
      <c r="V248" s="309"/>
      <c r="W248" s="309"/>
      <c r="X248" s="309"/>
      <c r="Y248" s="309"/>
      <c r="Z248" s="309"/>
      <c r="AA248" s="309"/>
      <c r="AB248" s="309"/>
      <c r="AC248" s="309"/>
      <c r="AD248" s="309"/>
      <c r="AE248" s="309"/>
      <c r="AF248" s="309"/>
      <c r="AG248" s="309"/>
      <c r="AH248" s="309"/>
      <c r="AI248" s="309"/>
    </row>
    <row r="249" customFormat="false" ht="38.25" hidden="false" customHeight="true" outlineLevel="0" collapsed="false">
      <c r="A249" s="322" t="n">
        <v>236</v>
      </c>
      <c r="B249" s="325" t="s">
        <v>1023</v>
      </c>
      <c r="C249" s="325" t="s">
        <v>56</v>
      </c>
      <c r="D249" s="393" t="n">
        <f aca="false">14</f>
        <v>14</v>
      </c>
      <c r="E249" s="363"/>
      <c r="F249" s="366"/>
      <c r="G249" s="324"/>
      <c r="H249" s="363"/>
      <c r="I249" s="333"/>
      <c r="J249" s="324"/>
      <c r="K249" s="353"/>
      <c r="L249" s="364"/>
      <c r="M249" s="324"/>
      <c r="N249" s="331"/>
      <c r="O249" s="331"/>
      <c r="P249" s="328"/>
      <c r="Q249" s="309"/>
      <c r="R249" s="332"/>
      <c r="S249" s="332"/>
      <c r="T249" s="332"/>
      <c r="U249" s="309"/>
      <c r="V249" s="309"/>
      <c r="W249" s="309"/>
      <c r="X249" s="309"/>
      <c r="Y249" s="309"/>
      <c r="Z249" s="309"/>
      <c r="AA249" s="309"/>
      <c r="AB249" s="309"/>
      <c r="AC249" s="309"/>
      <c r="AD249" s="309"/>
      <c r="AE249" s="309"/>
      <c r="AF249" s="309"/>
      <c r="AG249" s="309"/>
      <c r="AH249" s="309"/>
      <c r="AI249" s="309"/>
    </row>
    <row r="250" customFormat="false" ht="33.75" hidden="false" customHeight="true" outlineLevel="0" collapsed="false">
      <c r="A250" s="322" t="n">
        <v>237</v>
      </c>
      <c r="B250" s="325" t="s">
        <v>1007</v>
      </c>
      <c r="C250" s="325" t="s">
        <v>56</v>
      </c>
      <c r="D250" s="393" t="n">
        <v>3</v>
      </c>
      <c r="E250" s="363"/>
      <c r="F250" s="366"/>
      <c r="G250" s="324"/>
      <c r="H250" s="363"/>
      <c r="I250" s="333"/>
      <c r="J250" s="324"/>
      <c r="K250" s="353"/>
      <c r="L250" s="364"/>
      <c r="M250" s="324"/>
      <c r="N250" s="331"/>
      <c r="O250" s="331"/>
      <c r="P250" s="328"/>
      <c r="Q250" s="309"/>
      <c r="R250" s="332"/>
      <c r="S250" s="332"/>
      <c r="T250" s="332"/>
      <c r="U250" s="309"/>
      <c r="V250" s="309"/>
      <c r="W250" s="309"/>
      <c r="X250" s="309"/>
      <c r="Y250" s="309"/>
      <c r="Z250" s="309"/>
      <c r="AA250" s="309"/>
      <c r="AB250" s="309"/>
      <c r="AC250" s="309"/>
      <c r="AD250" s="309"/>
      <c r="AE250" s="309"/>
      <c r="AF250" s="309"/>
      <c r="AG250" s="309"/>
      <c r="AH250" s="309"/>
      <c r="AI250" s="309"/>
    </row>
    <row r="251" customFormat="false" ht="40.5" hidden="false" customHeight="true" outlineLevel="0" collapsed="false">
      <c r="A251" s="322" t="n">
        <v>238</v>
      </c>
      <c r="B251" s="325" t="s">
        <v>1024</v>
      </c>
      <c r="C251" s="325" t="s">
        <v>56</v>
      </c>
      <c r="D251" s="393" t="n">
        <f aca="false">4</f>
        <v>4</v>
      </c>
      <c r="E251" s="363"/>
      <c r="F251" s="366"/>
      <c r="G251" s="324"/>
      <c r="H251" s="363"/>
      <c r="I251" s="333"/>
      <c r="J251" s="324"/>
      <c r="K251" s="353"/>
      <c r="L251" s="364"/>
      <c r="M251" s="324"/>
      <c r="N251" s="331"/>
      <c r="O251" s="331"/>
      <c r="P251" s="328"/>
      <c r="Q251" s="309"/>
      <c r="R251" s="332"/>
      <c r="S251" s="332"/>
      <c r="T251" s="332"/>
      <c r="U251" s="309"/>
      <c r="V251" s="309"/>
      <c r="W251" s="309"/>
      <c r="X251" s="309"/>
      <c r="Y251" s="309"/>
      <c r="Z251" s="309"/>
      <c r="AA251" s="309"/>
      <c r="AB251" s="309"/>
      <c r="AC251" s="309"/>
      <c r="AD251" s="309"/>
      <c r="AE251" s="309"/>
      <c r="AF251" s="309"/>
      <c r="AG251" s="309"/>
      <c r="AH251" s="309"/>
      <c r="AI251" s="309"/>
    </row>
    <row r="252" customFormat="false" ht="36.75" hidden="false" customHeight="true" outlineLevel="0" collapsed="false">
      <c r="A252" s="322" t="n">
        <v>239</v>
      </c>
      <c r="B252" s="325" t="s">
        <v>948</v>
      </c>
      <c r="C252" s="325" t="s">
        <v>56</v>
      </c>
      <c r="D252" s="393" t="n">
        <f aca="false">8</f>
        <v>8</v>
      </c>
      <c r="E252" s="363"/>
      <c r="F252" s="366"/>
      <c r="G252" s="324"/>
      <c r="H252" s="363"/>
      <c r="I252" s="333"/>
      <c r="J252" s="324"/>
      <c r="K252" s="353"/>
      <c r="L252" s="364"/>
      <c r="M252" s="324"/>
      <c r="N252" s="331"/>
      <c r="O252" s="331"/>
      <c r="P252" s="328"/>
      <c r="Q252" s="309"/>
      <c r="R252" s="332"/>
      <c r="S252" s="332"/>
      <c r="T252" s="332"/>
      <c r="U252" s="309"/>
      <c r="V252" s="309"/>
      <c r="W252" s="309"/>
      <c r="X252" s="309"/>
      <c r="Y252" s="309"/>
      <c r="Z252" s="309"/>
      <c r="AA252" s="309"/>
      <c r="AB252" s="309"/>
      <c r="AC252" s="309"/>
      <c r="AD252" s="309"/>
      <c r="AE252" s="309"/>
      <c r="AF252" s="309"/>
      <c r="AG252" s="309"/>
      <c r="AH252" s="309"/>
      <c r="AI252" s="309"/>
    </row>
    <row r="253" customFormat="false" ht="36" hidden="false" customHeight="true" outlineLevel="0" collapsed="false">
      <c r="A253" s="322" t="n">
        <v>240</v>
      </c>
      <c r="B253" s="325" t="s">
        <v>1025</v>
      </c>
      <c r="C253" s="325" t="s">
        <v>56</v>
      </c>
      <c r="D253" s="393" t="n">
        <v>1</v>
      </c>
      <c r="E253" s="363"/>
      <c r="F253" s="366"/>
      <c r="G253" s="324"/>
      <c r="H253" s="363"/>
      <c r="I253" s="333"/>
      <c r="J253" s="324"/>
      <c r="K253" s="353"/>
      <c r="L253" s="364"/>
      <c r="M253" s="324"/>
      <c r="N253" s="331"/>
      <c r="O253" s="331"/>
      <c r="P253" s="328"/>
      <c r="Q253" s="309"/>
      <c r="R253" s="332"/>
      <c r="S253" s="332"/>
      <c r="T253" s="332"/>
      <c r="U253" s="309"/>
      <c r="V253" s="309"/>
      <c r="W253" s="309"/>
      <c r="X253" s="309"/>
      <c r="Y253" s="309"/>
      <c r="Z253" s="309"/>
      <c r="AA253" s="309"/>
      <c r="AB253" s="309"/>
      <c r="AC253" s="309"/>
      <c r="AD253" s="309"/>
      <c r="AE253" s="309"/>
      <c r="AF253" s="309"/>
      <c r="AG253" s="309"/>
      <c r="AH253" s="309"/>
      <c r="AI253" s="309"/>
    </row>
    <row r="254" customFormat="false" ht="33" hidden="false" customHeight="true" outlineLevel="0" collapsed="false">
      <c r="A254" s="322" t="n">
        <v>241</v>
      </c>
      <c r="B254" s="325" t="s">
        <v>1026</v>
      </c>
      <c r="C254" s="325" t="s">
        <v>56</v>
      </c>
      <c r="D254" s="393" t="n">
        <v>4</v>
      </c>
      <c r="E254" s="363"/>
      <c r="F254" s="366"/>
      <c r="G254" s="324"/>
      <c r="H254" s="363"/>
      <c r="I254" s="333"/>
      <c r="J254" s="324"/>
      <c r="K254" s="353"/>
      <c r="L254" s="364"/>
      <c r="M254" s="324"/>
      <c r="N254" s="331"/>
      <c r="O254" s="331"/>
      <c r="P254" s="328"/>
      <c r="Q254" s="309"/>
      <c r="R254" s="332"/>
      <c r="S254" s="332"/>
      <c r="T254" s="332"/>
      <c r="U254" s="309"/>
      <c r="V254" s="309"/>
      <c r="W254" s="309"/>
      <c r="X254" s="309"/>
      <c r="Y254" s="309"/>
      <c r="Z254" s="309"/>
      <c r="AA254" s="309"/>
      <c r="AB254" s="309"/>
      <c r="AC254" s="309"/>
      <c r="AD254" s="309"/>
      <c r="AE254" s="309"/>
      <c r="AF254" s="309"/>
      <c r="AG254" s="309"/>
      <c r="AH254" s="309"/>
      <c r="AI254" s="309"/>
    </row>
    <row r="255" customFormat="false" ht="39" hidden="false" customHeight="true" outlineLevel="0" collapsed="false">
      <c r="A255" s="322" t="n">
        <v>242</v>
      </c>
      <c r="B255" s="325" t="s">
        <v>1027</v>
      </c>
      <c r="C255" s="325" t="s">
        <v>56</v>
      </c>
      <c r="D255" s="393" t="n">
        <v>2</v>
      </c>
      <c r="E255" s="363"/>
      <c r="F255" s="366"/>
      <c r="G255" s="324"/>
      <c r="H255" s="363"/>
      <c r="I255" s="333"/>
      <c r="J255" s="324"/>
      <c r="K255" s="353"/>
      <c r="L255" s="364"/>
      <c r="M255" s="324"/>
      <c r="N255" s="331"/>
      <c r="O255" s="331"/>
      <c r="P255" s="328"/>
      <c r="Q255" s="309"/>
      <c r="R255" s="332"/>
      <c r="S255" s="332"/>
      <c r="T255" s="332"/>
      <c r="U255" s="309"/>
      <c r="V255" s="309"/>
      <c r="W255" s="309"/>
      <c r="X255" s="309"/>
      <c r="Y255" s="309"/>
      <c r="Z255" s="309"/>
      <c r="AA255" s="309"/>
      <c r="AB255" s="309"/>
      <c r="AC255" s="309"/>
      <c r="AD255" s="309"/>
      <c r="AE255" s="309"/>
      <c r="AF255" s="309"/>
      <c r="AG255" s="309"/>
      <c r="AH255" s="309"/>
      <c r="AI255" s="309"/>
    </row>
    <row r="256" customFormat="false" ht="36.75" hidden="false" customHeight="true" outlineLevel="0" collapsed="false">
      <c r="A256" s="322" t="n">
        <v>243</v>
      </c>
      <c r="B256" s="325" t="s">
        <v>1028</v>
      </c>
      <c r="C256" s="325" t="s">
        <v>56</v>
      </c>
      <c r="D256" s="393" t="n">
        <v>4</v>
      </c>
      <c r="E256" s="363"/>
      <c r="F256" s="366"/>
      <c r="G256" s="324"/>
      <c r="H256" s="363"/>
      <c r="I256" s="333"/>
      <c r="J256" s="324"/>
      <c r="K256" s="353"/>
      <c r="L256" s="364"/>
      <c r="M256" s="324"/>
      <c r="N256" s="331"/>
      <c r="O256" s="331"/>
      <c r="P256" s="328"/>
      <c r="Q256" s="309"/>
      <c r="R256" s="332"/>
      <c r="S256" s="332"/>
      <c r="T256" s="332"/>
      <c r="U256" s="309"/>
      <c r="V256" s="309"/>
      <c r="W256" s="309"/>
      <c r="X256" s="309"/>
      <c r="Y256" s="309"/>
      <c r="Z256" s="309"/>
      <c r="AA256" s="309"/>
      <c r="AB256" s="309"/>
      <c r="AC256" s="309"/>
      <c r="AD256" s="309"/>
      <c r="AE256" s="309"/>
      <c r="AF256" s="309"/>
      <c r="AG256" s="309"/>
      <c r="AH256" s="309"/>
      <c r="AI256" s="309"/>
    </row>
    <row r="257" customFormat="false" ht="37.5" hidden="false" customHeight="true" outlineLevel="0" collapsed="false">
      <c r="A257" s="322" t="n">
        <v>244</v>
      </c>
      <c r="B257" s="325" t="s">
        <v>1029</v>
      </c>
      <c r="C257" s="325" t="s">
        <v>56</v>
      </c>
      <c r="D257" s="393" t="n">
        <v>1</v>
      </c>
      <c r="E257" s="363"/>
      <c r="F257" s="366"/>
      <c r="G257" s="324"/>
      <c r="H257" s="363"/>
      <c r="I257" s="333"/>
      <c r="J257" s="324"/>
      <c r="K257" s="353"/>
      <c r="L257" s="364"/>
      <c r="M257" s="324"/>
      <c r="N257" s="331"/>
      <c r="O257" s="331"/>
      <c r="P257" s="328"/>
      <c r="Q257" s="309"/>
      <c r="R257" s="332"/>
      <c r="S257" s="332"/>
      <c r="T257" s="332"/>
      <c r="U257" s="309"/>
      <c r="V257" s="309"/>
      <c r="W257" s="309"/>
      <c r="X257" s="309"/>
      <c r="Y257" s="309"/>
      <c r="Z257" s="309"/>
      <c r="AA257" s="309"/>
      <c r="AB257" s="309"/>
      <c r="AC257" s="309"/>
      <c r="AD257" s="309"/>
      <c r="AE257" s="309"/>
      <c r="AF257" s="309"/>
      <c r="AG257" s="309"/>
      <c r="AH257" s="309"/>
      <c r="AI257" s="309"/>
    </row>
    <row r="258" customFormat="false" ht="33" hidden="false" customHeight="true" outlineLevel="0" collapsed="false">
      <c r="A258" s="322" t="n">
        <v>245</v>
      </c>
      <c r="B258" s="325" t="s">
        <v>1030</v>
      </c>
      <c r="C258" s="325" t="s">
        <v>56</v>
      </c>
      <c r="D258" s="393" t="n">
        <v>5</v>
      </c>
      <c r="E258" s="363"/>
      <c r="F258" s="366"/>
      <c r="G258" s="324"/>
      <c r="H258" s="363"/>
      <c r="I258" s="333"/>
      <c r="J258" s="324"/>
      <c r="K258" s="353"/>
      <c r="L258" s="364"/>
      <c r="M258" s="324"/>
      <c r="N258" s="331"/>
      <c r="O258" s="331"/>
      <c r="P258" s="328"/>
      <c r="Q258" s="309"/>
      <c r="R258" s="332"/>
      <c r="S258" s="332"/>
      <c r="T258" s="332"/>
      <c r="U258" s="309"/>
      <c r="V258" s="309"/>
      <c r="W258" s="309"/>
      <c r="X258" s="309"/>
      <c r="Y258" s="309"/>
      <c r="Z258" s="309"/>
      <c r="AA258" s="309"/>
      <c r="AB258" s="309"/>
      <c r="AC258" s="309"/>
      <c r="AD258" s="309"/>
      <c r="AE258" s="309"/>
      <c r="AF258" s="309"/>
      <c r="AG258" s="309"/>
      <c r="AH258" s="309"/>
      <c r="AI258" s="309"/>
    </row>
    <row r="259" s="395" customFormat="true" ht="39.75" hidden="false" customHeight="true" outlineLevel="0" collapsed="false">
      <c r="A259" s="322"/>
      <c r="B259" s="365" t="s">
        <v>1031</v>
      </c>
      <c r="C259" s="365" t="s">
        <v>56</v>
      </c>
      <c r="D259" s="352" t="n">
        <v>5</v>
      </c>
      <c r="E259" s="363"/>
      <c r="F259" s="366"/>
      <c r="G259" s="324"/>
      <c r="H259" s="363"/>
      <c r="I259" s="333"/>
      <c r="J259" s="324"/>
      <c r="K259" s="353"/>
      <c r="L259" s="364"/>
      <c r="M259" s="324"/>
      <c r="N259" s="331"/>
      <c r="O259" s="331"/>
      <c r="P259" s="394"/>
      <c r="Q259" s="394"/>
      <c r="R259" s="332"/>
      <c r="S259" s="332"/>
      <c r="T259" s="332"/>
      <c r="U259" s="394"/>
      <c r="V259" s="394"/>
      <c r="W259" s="394"/>
      <c r="X259" s="394"/>
      <c r="Y259" s="394"/>
      <c r="Z259" s="394"/>
      <c r="AA259" s="394"/>
      <c r="AB259" s="394"/>
      <c r="AC259" s="394"/>
      <c r="AD259" s="394"/>
      <c r="AE259" s="394"/>
      <c r="AF259" s="394"/>
      <c r="AG259" s="394"/>
      <c r="AH259" s="394"/>
      <c r="AI259" s="394"/>
    </row>
    <row r="260" customFormat="false" ht="14.45" hidden="false" customHeight="false" outlineLevel="0" collapsed="false">
      <c r="H260" s="396"/>
      <c r="L260" s="397"/>
      <c r="R260" s="332"/>
      <c r="S260" s="332"/>
      <c r="T260" s="332"/>
    </row>
    <row r="261" customFormat="false" ht="14.45" hidden="false" customHeight="false" outlineLevel="0" collapsed="false">
      <c r="H261" s="396"/>
      <c r="R261" s="332"/>
      <c r="S261" s="332"/>
      <c r="T261" s="332"/>
    </row>
    <row r="262" customFormat="false" ht="14.45" hidden="false" customHeight="false" outlineLevel="0" collapsed="false">
      <c r="R262" s="332"/>
      <c r="S262" s="332"/>
      <c r="T262" s="332"/>
    </row>
    <row r="263" customFormat="false" ht="124.5" hidden="false" customHeight="true" outlineLevel="0" collapsed="false">
      <c r="B263" s="398" t="s">
        <v>1032</v>
      </c>
      <c r="C263" s="398"/>
      <c r="D263" s="398"/>
      <c r="E263" s="398"/>
      <c r="F263" s="398"/>
      <c r="G263" s="398"/>
      <c r="H263" s="398"/>
      <c r="I263" s="398"/>
      <c r="J263" s="398"/>
      <c r="K263" s="398"/>
      <c r="L263" s="398"/>
      <c r="M263" s="398"/>
      <c r="N263" s="398"/>
      <c r="O263" s="398"/>
      <c r="P263" s="398"/>
      <c r="R263" s="332"/>
      <c r="S263" s="332"/>
      <c r="T263" s="332"/>
    </row>
    <row r="264" customFormat="false" ht="15" hidden="false" customHeight="false" outlineLevel="0" collapsed="false">
      <c r="R264" s="308"/>
      <c r="S264" s="308"/>
      <c r="T264" s="308"/>
    </row>
    <row r="265" customFormat="false" ht="32.25" hidden="false" customHeight="true" outlineLevel="0" collapsed="false">
      <c r="B265" s="398" t="s">
        <v>1033</v>
      </c>
      <c r="C265" s="398"/>
      <c r="D265" s="398"/>
      <c r="E265" s="398"/>
      <c r="F265" s="398"/>
      <c r="G265" s="398"/>
      <c r="H265" s="398"/>
      <c r="I265" s="398"/>
      <c r="J265" s="398"/>
      <c r="K265" s="398"/>
      <c r="L265" s="398"/>
      <c r="M265" s="398"/>
      <c r="N265" s="398"/>
      <c r="O265" s="398"/>
      <c r="P265" s="398"/>
    </row>
  </sheetData>
  <autoFilter ref="A9:P102"/>
  <mergeCells count="17">
    <mergeCell ref="A1:P1"/>
    <mergeCell ref="A2:P2"/>
    <mergeCell ref="A3:N3"/>
    <mergeCell ref="A5:P5"/>
    <mergeCell ref="A7:A8"/>
    <mergeCell ref="B7:B8"/>
    <mergeCell ref="C7:C8"/>
    <mergeCell ref="D7:D8"/>
    <mergeCell ref="E7:G7"/>
    <mergeCell ref="H7:J7"/>
    <mergeCell ref="K7:M7"/>
    <mergeCell ref="N7:N8"/>
    <mergeCell ref="P7:P8"/>
    <mergeCell ref="A20:A21"/>
    <mergeCell ref="A258:A259"/>
    <mergeCell ref="B263:P263"/>
    <mergeCell ref="B265:P265"/>
  </mergeCells>
  <conditionalFormatting sqref="R10:T263">
    <cfRule type="expression" priority="2" aboveAverage="0" equalAverage="0" bottom="0" percent="0" rank="0" text="" dxfId="34">
      <formula>AND(R10&lt;-20,R10&lt;0)</formula>
    </cfRule>
    <cfRule type="expression" priority="3" aboveAverage="0" equalAverage="0" bottom="0" percent="0" rank="0" text="" dxfId="35">
      <formula>AND(R10&gt;20,R10&gt;0)</formula>
    </cfRule>
  </conditionalFormatting>
  <hyperlinks>
    <hyperlink ref="B141" r:id="rId1" display="Туалетный&#10;  модуль  МГН Т-15 (комплектация стандарт) "/>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&amp;C&amp;12&amp;Kffffff&amp;A</oddHeader>
    <oddFooter>&amp;C&amp;12&amp;KffffffСтраница &amp;P</oddFooter>
  </headerFooter>
  <drawing r:id="rId2"/>
</worksheet>
</file>

<file path=docProps/app.xml><?xml version="1.0" encoding="utf-8"?>
<Properties xmlns="http://schemas.openxmlformats.org/officeDocument/2006/extended-properties" xmlns:vt="http://schemas.openxmlformats.org/officeDocument/2006/docPropsVTypes">
  <Template/>
  <TotalTime>78311</TotalTime>
  <Application>AlterOffice/2025.3.1.0$Linux_X86_64 LibreOffice_project/431cd1b79110582f53535c95ed0a2449aadc8bf9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ru-RU</dc:language>
  <cp:lastModifiedBy>safronovaev@corp.gidroogk.com</cp:lastModifiedBy>
  <dcterms:modified xsi:type="dcterms:W3CDTF">2026-07-03T15:44:58Z</dcterms:modified>
  <cp:revision>399</cp:revision>
  <dc:subject/>
  <dc:title/>
</cp:coreProperties>
</file>

<file path=docProps/custom.xml><?xml version="1.0" encoding="utf-8"?>
<Properties xmlns="http://schemas.openxmlformats.org/officeDocument/2006/custom-properties" xmlns:vt="http://schemas.openxmlformats.org/officeDocument/2006/docPropsVTypes"/>
</file>