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уктура НМЦ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<sst xmlns="http://schemas.openxmlformats.org/spreadsheetml/2006/main" count="347" uniqueCount="232">
  <si>
    <t xml:space="preserve">Приложение к Документации о закупке – Структура НМЦ (в т.ч. форма Коммерческого предложения)</t>
  </si>
  <si>
    <r>
      <rPr>
        <b val="true"/>
        <sz val="12"/>
        <color rgb="FF002060"/>
        <rFont val="Calibri"/>
        <family val="2"/>
        <charset val="204"/>
      </rPr>
      <t xml:space="preserve">Начальная (максимальная)  цена лота:</t>
    </r>
    <r>
      <rPr>
        <sz val="12"/>
        <color rgb="FF002060"/>
        <rFont val="Calibri"/>
        <family val="2"/>
        <charset val="204"/>
      </rPr>
      <t xml:space="preserve"> </t>
    </r>
  </si>
  <si>
    <t xml:space="preserve">руб. (без учета НДС)</t>
  </si>
  <si>
    <t xml:space="preserve">Форма Коммерческого предложения Участника </t>
  </si>
  <si>
    <t xml:space="preserve">Запасные части к специальной и тракторной технике  
</t>
  </si>
  <si>
    <t xml:space="preserve">Приложение 1 к письму о подаче оферты
от «____» _____________ г. №__________</t>
  </si>
  <si>
    <t xml:space="preserve">Наименование и ИНН Участника: _________________________________</t>
  </si>
  <si>
    <t xml:space="preserve">Структура НМЦ </t>
  </si>
  <si>
    <t xml:space="preserve">Форма Коммерческого предложения Участника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</si>
  <si>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</si>
  <si>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</si>
  <si>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Номер по каталогу</t>
  </si>
  <si>
    <t xml:space="preserve">Ед. 
изм.</t>
  </si>
  <si>
    <t xml:space="preserve">НМЦ единицы продукции
(руб. без НДС)</t>
  </si>
  <si>
    <t xml:space="preserve"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</si>
  <si>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</si>
  <si>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</si>
  <si>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rPr>
        <b val="true"/>
        <sz val="10"/>
        <color rgb="FF000000"/>
        <rFont val="Calibri"/>
        <family val="2"/>
        <charset val="204"/>
      </rPr>
      <t xml:space="preserve">Страна происхождения товара
</t>
    </r>
    <r>
      <rPr>
        <i val="true"/>
        <sz val="10"/>
        <color rgb="FFFF0000"/>
        <rFont val="Calibri"/>
        <family val="2"/>
        <charset val="204"/>
      </rPr>
      <t xml:space="preserve">[только для товаров, 
в соответствии с общероссийским классификатором стран мира]</t>
    </r>
  </si>
  <si>
    <r>
      <rPr>
        <b val="true"/>
        <sz val="10"/>
        <color rgb="FF000000"/>
        <rFont val="Calibri"/>
        <family val="2"/>
        <charset val="204"/>
      </rPr>
      <t xml:space="preserve">Производитель продукции
</t>
    </r>
    <r>
      <rPr>
        <i val="true"/>
        <sz val="10"/>
        <color rgb="FFFF0000"/>
        <rFont val="Calibri"/>
        <family val="2"/>
        <charset val="204"/>
      </rPr>
      <t xml:space="preserve">[в случае наличия в Едином реестре российской радиоэлектронной продукции – дополнительно указывается № реестровой записи]</t>
    </r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</si>
  <si>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</si>
  <si>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</si>
  <si>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1. филиал АО «ДРСК» «Хабаровские электрические сети»</t>
  </si>
  <si>
    <t xml:space="preserve">1.1 СП «Северные электрические сети» г. Комсомольск-на-Амуре (спецификация № 1)</t>
  </si>
  <si>
    <t xml:space="preserve">Амортизатор гидравлический 8.35.010 МТЛБ</t>
  </si>
  <si>
    <t xml:space="preserve">8.35.010</t>
  </si>
  <si>
    <t xml:space="preserve">шт</t>
  </si>
  <si>
    <t xml:space="preserve">Бокорез левый 3500531M1 ковша Terex</t>
  </si>
  <si>
    <t xml:space="preserve">3500531M1 ковша Terex</t>
  </si>
  <si>
    <t xml:space="preserve">Бокорез правый 3500532M1 ковша Terex</t>
  </si>
  <si>
    <t xml:space="preserve">3500532M1 ковша Terex</t>
  </si>
  <si>
    <t xml:space="preserve">Болт коронки (зуба) ковша Terex 353915Х1</t>
  </si>
  <si>
    <t xml:space="preserve">Terex 353915Х1</t>
  </si>
  <si>
    <t xml:space="preserve">Вал торсионный левый 34039-2946035</t>
  </si>
  <si>
    <t xml:space="preserve">34039-2946035</t>
  </si>
  <si>
    <t xml:space="preserve">вал торсионный левый МТ-ЛБ 8.32.108</t>
  </si>
  <si>
    <t xml:space="preserve">8.32.108</t>
  </si>
  <si>
    <t xml:space="preserve">Вал торсионный правый 34039-2946036</t>
  </si>
  <si>
    <t xml:space="preserve">34039-2946036</t>
  </si>
  <si>
    <t xml:space="preserve">вал торсионный правый МТ-ЛБ 8.32.109</t>
  </si>
  <si>
    <t xml:space="preserve">8.32.109</t>
  </si>
  <si>
    <t xml:space="preserve">Втулка установочная амортизатора гидравлического 8.35.152 МТЛБ</t>
  </si>
  <si>
    <t xml:space="preserve">8.35.152</t>
  </si>
  <si>
    <t xml:space="preserve">Гайка 353427Х1 зуба ковша Terex</t>
  </si>
  <si>
    <t xml:space="preserve">Terex 353427Х1</t>
  </si>
  <si>
    <t xml:space="preserve">Гидромолот F-5T Delta</t>
  </si>
  <si>
    <t xml:space="preserve">F-5T Delta Terex</t>
  </si>
  <si>
    <t xml:space="preserve">Гидроцилиндр №144 ГЦ 160Х100Х610  (МКМ-200.02.80.0000)</t>
  </si>
  <si>
    <t xml:space="preserve">ГЦ 160Х100Х610  (МКМ-200.02.80.0000)</t>
  </si>
  <si>
    <t xml:space="preserve">Гидроцилиндр включения фрикциона 66-02.02.000 для бурильной установки</t>
  </si>
  <si>
    <t xml:space="preserve">66-02.02.000</t>
  </si>
  <si>
    <t xml:space="preserve">Гидроцилиндр ковша для экскаватора-погрузчика 070400200000 01 Terex</t>
  </si>
  <si>
    <t xml:space="preserve">070400200000 01 Terex</t>
  </si>
  <si>
    <t xml:space="preserve">Гусеница ходовой части 250201110</t>
  </si>
  <si>
    <t xml:space="preserve">Диск тормозной 6193395M1 Terex</t>
  </si>
  <si>
    <t xml:space="preserve">6193395M1 Terex</t>
  </si>
  <si>
    <t xml:space="preserve">Забурник 300А</t>
  </si>
  <si>
    <t xml:space="preserve">300А</t>
  </si>
  <si>
    <t xml:space="preserve">Забурник БК-02201.36.200</t>
  </si>
  <si>
    <t xml:space="preserve">БК-02201.36.200</t>
  </si>
  <si>
    <t xml:space="preserve">звено гусеницы облегченное ГТ-СМ 71-3209005-02</t>
  </si>
  <si>
    <t xml:space="preserve">71-3209005-02</t>
  </si>
  <si>
    <t xml:space="preserve">Карман БК-02201.36.104 для резца</t>
  </si>
  <si>
    <t xml:space="preserve">БК-02201.36.104</t>
  </si>
  <si>
    <t xml:space="preserve">Каток опорный в сборе 3903-3204100</t>
  </si>
  <si>
    <t xml:space="preserve">3903-3204100</t>
  </si>
  <si>
    <t xml:space="preserve">Каток подвесной ленивца направляющий (колесо направляющее) в сборе 3403 09 3205003 000</t>
  </si>
  <si>
    <t xml:space="preserve">3403 09 3205003 000</t>
  </si>
  <si>
    <t xml:space="preserve">Клапан дозирования топлива ТНВД 47.1111344 ЯМЗ ЯЗДА в сборе</t>
  </si>
  <si>
    <t xml:space="preserve">47.1111344</t>
  </si>
  <si>
    <t xml:space="preserve">Клапан направляющий автогидроподъемника MCD 32/2202-PS 32.011.115</t>
  </si>
  <si>
    <t xml:space="preserve">32.011.115</t>
  </si>
  <si>
    <t xml:space="preserve">Комплект колодок стояночного тормоза 6193750M91 Terex</t>
  </si>
  <si>
    <t xml:space="preserve">6193750M91 Terex</t>
  </si>
  <si>
    <t xml:space="preserve">Комплект сервисный U5MK1017 Terex</t>
  </si>
  <si>
    <t xml:space="preserve">U5MK1017 Terex</t>
  </si>
  <si>
    <t xml:space="preserve">Насос водооткачивающий кабины 21.12.011 ГТТ</t>
  </si>
  <si>
    <t xml:space="preserve">21.12.011</t>
  </si>
  <si>
    <t xml:space="preserve">Насос водооткачивающий кабины 34039-4232210-50</t>
  </si>
  <si>
    <t xml:space="preserve">34039-4232210-50 24В</t>
  </si>
  <si>
    <t xml:space="preserve">Насос водооткачивающий кабины 8.12.020-1 МТЛБ в сборе</t>
  </si>
  <si>
    <t xml:space="preserve">8.12.020-1</t>
  </si>
  <si>
    <t xml:space="preserve">Насос гидравлический шестеренный (левое вращение) НШ 10Е-3Л ДТ-75,МТЗ,Т-40</t>
  </si>
  <si>
    <t xml:space="preserve">НШ 10Е-3Л</t>
  </si>
  <si>
    <t xml:space="preserve">Палец звена гусеницы РМШ 0073 00 3209006 010</t>
  </si>
  <si>
    <t xml:space="preserve">0073 00 3209006 010</t>
  </si>
  <si>
    <t xml:space="preserve">Резец буровой РП-3 (аналоги ЗС-40, ЗН-3)</t>
  </si>
  <si>
    <t xml:space="preserve">РП-3 (аналоги ЗС-40, ЗН-3)</t>
  </si>
  <si>
    <t xml:space="preserve">Резец плоский</t>
  </si>
  <si>
    <t xml:space="preserve">РП-5</t>
  </si>
  <si>
    <t xml:space="preserve">Резец РБМ-35</t>
  </si>
  <si>
    <t xml:space="preserve">РБМ-35</t>
  </si>
  <si>
    <t xml:space="preserve">Резец траншейный С27Е-12,3</t>
  </si>
  <si>
    <t xml:space="preserve">С27Е-12,3</t>
  </si>
  <si>
    <t xml:space="preserve">Ремень приводной поликлиновой генератора 6РК-890</t>
  </si>
  <si>
    <t xml:space="preserve">6РК-890</t>
  </si>
  <si>
    <t xml:space="preserve">Ремкомплект гидроцилиндра 10X0092 Terex</t>
  </si>
  <si>
    <t xml:space="preserve">10X0092 Terex</t>
  </si>
  <si>
    <t xml:space="preserve">Ремкомплект гидроцилиндра 10X0155 Terex</t>
  </si>
  <si>
    <t xml:space="preserve">10X0155 Terex</t>
  </si>
  <si>
    <t xml:space="preserve">Ремкомплект гидроцилиндра 10X1354 Terex</t>
  </si>
  <si>
    <t xml:space="preserve">10X1354 Terex</t>
  </si>
  <si>
    <t xml:space="preserve">Ремкомплект гидроцилиндра 10X1755 Terex</t>
  </si>
  <si>
    <t xml:space="preserve">10X1755 Terex</t>
  </si>
  <si>
    <t xml:space="preserve">Ремкомплект гидроцилиндра 10X1776 Terex</t>
  </si>
  <si>
    <t xml:space="preserve">10X1776 Terex</t>
  </si>
  <si>
    <t xml:space="preserve">Ремкомплект гидроцилиндра 10Х0197 115х65 Terex</t>
  </si>
  <si>
    <t xml:space="preserve">10Х0197 115х65 Terex</t>
  </si>
  <si>
    <t xml:space="preserve">Ремкомплект гидроцилиндра 10х0241 100х65 Terex</t>
  </si>
  <si>
    <t xml:space="preserve">10Х0241 100х65 Terex</t>
  </si>
  <si>
    <t xml:space="preserve">Ремкомплект гидроцилиндра 10Х1783 70х45 Terex</t>
  </si>
  <si>
    <t xml:space="preserve">10Х1783 70х45 Terex</t>
  </si>
  <si>
    <t xml:space="preserve">Ремкомплект главного тормозного цилиндра для экскаватора-погрузчика SG14706 Terex</t>
  </si>
  <si>
    <t xml:space="preserve">SG14706 Terex</t>
  </si>
  <si>
    <t xml:space="preserve">Рукав высокого давления 1H0450 Terex</t>
  </si>
  <si>
    <t xml:space="preserve">1H0450 Terex</t>
  </si>
  <si>
    <t xml:space="preserve">Рукав высокого давления 1H0451 Terex</t>
  </si>
  <si>
    <t xml:space="preserve">1H0451 Terex</t>
  </si>
  <si>
    <t xml:space="preserve">Рукав высокого давления 6101735M92 Terex</t>
  </si>
  <si>
    <t xml:space="preserve">6101735M92 Terex</t>
  </si>
  <si>
    <t xml:space="preserve">Рукав высокого давления 6101736M92 Terex</t>
  </si>
  <si>
    <t xml:space="preserve">6101736M92 Terex</t>
  </si>
  <si>
    <t xml:space="preserve">Рукав высокого давления 6101737M91 Terex</t>
  </si>
  <si>
    <t xml:space="preserve">6101737M91 Terex</t>
  </si>
  <si>
    <t xml:space="preserve">Рукав высокого давления 6101738M91 Terex</t>
  </si>
  <si>
    <t xml:space="preserve">6101738M91 Terex</t>
  </si>
  <si>
    <t xml:space="preserve">Рукав высокого давления 6101739M91 Terex</t>
  </si>
  <si>
    <t xml:space="preserve">6101739M91 Terex</t>
  </si>
  <si>
    <t xml:space="preserve">Рукав высокого давления 6101740M91 Terex</t>
  </si>
  <si>
    <t xml:space="preserve">6101740M91 Terex</t>
  </si>
  <si>
    <t xml:space="preserve">Рукав высокого давления 6101741M91 Terex</t>
  </si>
  <si>
    <t xml:space="preserve">6101741M91 Terex</t>
  </si>
  <si>
    <t xml:space="preserve">Рукав высокого давления 6101757M91 Terex</t>
  </si>
  <si>
    <t xml:space="preserve">6101757M91 Terex</t>
  </si>
  <si>
    <t xml:space="preserve">Рукав высокого давления 6108764M91 Terex</t>
  </si>
  <si>
    <t xml:space="preserve">6108764M91 Terex</t>
  </si>
  <si>
    <t xml:space="preserve">Рукав высокого давления 6108765M91 Terex</t>
  </si>
  <si>
    <t xml:space="preserve">6108765M91 Terex</t>
  </si>
  <si>
    <t xml:space="preserve">Свеча зажигания BR9TS снегоход Буран</t>
  </si>
  <si>
    <t xml:space="preserve">BR9TS</t>
  </si>
  <si>
    <t xml:space="preserve">Стекло ветровое прямое мягкое 110700104 для снегохода</t>
  </si>
  <si>
    <t xml:space="preserve">Стекло кабины заднее для экскаватора-погрузчика 6099765М91 Terex</t>
  </si>
  <si>
    <t xml:space="preserve">6099765М91 Terex</t>
  </si>
  <si>
    <t xml:space="preserve">Фильтр воздушный P780799 Donaldson</t>
  </si>
  <si>
    <t xml:space="preserve">P780799 Donaldson</t>
  </si>
  <si>
    <t xml:space="preserve">Фильтр воздушный P780800 Donaldson</t>
  </si>
  <si>
    <t xml:space="preserve">P780800 Donaldson</t>
  </si>
  <si>
    <t xml:space="preserve">Фильтр гидравлический ЕА1392</t>
  </si>
  <si>
    <t xml:space="preserve">ЕА1392</t>
  </si>
  <si>
    <t xml:space="preserve">Фильтр гидравлический ЕА1412</t>
  </si>
  <si>
    <t xml:space="preserve">ЕА1412</t>
  </si>
  <si>
    <t xml:space="preserve">Фильтр гидравлической системы 6100361М91 Terex</t>
  </si>
  <si>
    <t xml:space="preserve">6100361М91 Terex</t>
  </si>
  <si>
    <t xml:space="preserve">фильтр маслянный Д-245</t>
  </si>
  <si>
    <t xml:space="preserve">ФМ-009-1012005</t>
  </si>
  <si>
    <t xml:space="preserve">Фильтр масляный С-5102 2654407</t>
  </si>
  <si>
    <t xml:space="preserve">Фильтр топл Д-243 Д-245 (020-1117010) НФ-243-Т</t>
  </si>
  <si>
    <t xml:space="preserve">020-1117010  НФ-243-Т</t>
  </si>
  <si>
    <t xml:space="preserve">Фильтр топливный тонкой очистки С01AM73/4816636 JCB</t>
  </si>
  <si>
    <t xml:space="preserve">С01AM73/4816636</t>
  </si>
  <si>
    <t xml:space="preserve">Фильтр трансмиссиии гидравлический 6110604М91 Terex</t>
  </si>
  <si>
    <t xml:space="preserve">6110604М91 Terex</t>
  </si>
  <si>
    <t xml:space="preserve">Фонарь задний левый 1D0233 Terex</t>
  </si>
  <si>
    <t xml:space="preserve">1D0233 Terex</t>
  </si>
  <si>
    <t xml:space="preserve">Фонарь задний правый 1D0194 Terex Terex</t>
  </si>
  <si>
    <t xml:space="preserve">1D0194 Terex</t>
  </si>
  <si>
    <t xml:space="preserve">Цепь перекатная ПСС-131.17э (АПТ-17) 3000мм</t>
  </si>
  <si>
    <t xml:space="preserve">ПСС-131.17э (АПТ-17) 3000мм</t>
  </si>
  <si>
    <t xml:space="preserve">Итого спецификация 1</t>
  </si>
  <si>
    <t xml:space="preserve">1.2 СП «Северные электрические сети» Николаевск-на-Амуре г. Николаевск-на-Амуре (спецификация № 2)</t>
  </si>
  <si>
    <t xml:space="preserve">Вращатель БМ302 на базе ГАЗ66</t>
  </si>
  <si>
    <t xml:space="preserve">302Б-09-50-000БМ</t>
  </si>
  <si>
    <t xml:space="preserve">Канат для МКМ200 9.00 24х7-IWRC 2160 B ZZ EN 12385-4-2003</t>
  </si>
  <si>
    <t xml:space="preserve">9.00 24х7-IWRC 2160 B ZZ EN 12385-4-2003</t>
  </si>
  <si>
    <t xml:space="preserve">Коробка отбора мощности PF 19001P UNI МКМ,ПСКБМ МАЗ</t>
  </si>
  <si>
    <t xml:space="preserve">PF 19001P</t>
  </si>
  <si>
    <t xml:space="preserve">Мачта бурильная БКМ-317.40.20.1000</t>
  </si>
  <si>
    <t xml:space="preserve">БКМ-317.40.20.1000</t>
  </si>
  <si>
    <t xml:space="preserve">Насос гидравлический 2PB19D-P54S2 (612080522)</t>
  </si>
  <si>
    <t xml:space="preserve">2pB19D P54S2 SAE A 11T</t>
  </si>
  <si>
    <t xml:space="preserve">Распределитель гидравлический VDM6/MMMM/U4G 623104230 Salami</t>
  </si>
  <si>
    <t xml:space="preserve">Резец РБМ-35 БЛ-50.00.010</t>
  </si>
  <si>
    <t xml:space="preserve">РБМ-35 БЛ-50.00.010</t>
  </si>
  <si>
    <t xml:space="preserve">Устройство крановое БКМ-317.40.20.2000</t>
  </si>
  <si>
    <t xml:space="preserve">БКМ-317.40.20.2000</t>
  </si>
  <si>
    <t xml:space="preserve">Фильтр воздушный 612В-81-7042/6127-81-7412+6128-81 Komatsu,Shantui в сборе</t>
  </si>
  <si>
    <t xml:space="preserve">612В-81-7042(6127-81-7412+6128-81-73201/ST729АВ)</t>
  </si>
  <si>
    <t xml:space="preserve">Фильтр масляный LF670/ST10804/3889310</t>
  </si>
  <si>
    <t xml:space="preserve">LF670/ST10804/3889310</t>
  </si>
  <si>
    <t xml:space="preserve">Фильтр масляный LF777/ST10805/3889311</t>
  </si>
  <si>
    <t xml:space="preserve">LF777/ST10805/3889311</t>
  </si>
  <si>
    <t xml:space="preserve">Фильтр охлаждающей жидкости ST-SX824</t>
  </si>
  <si>
    <t xml:space="preserve">ST-SX824</t>
  </si>
  <si>
    <t xml:space="preserve">Фильтр топливный CX806/FS1212/3308638/SFC5705</t>
  </si>
  <si>
    <t xml:space="preserve">CX806/FS1212/3308638/SFC5705</t>
  </si>
  <si>
    <t xml:space="preserve">Фильтр топливный ST20806/CX806</t>
  </si>
  <si>
    <t xml:space="preserve">ST20806/CX806</t>
  </si>
  <si>
    <t xml:space="preserve">1.3 СП «Центральные электрические сети» г. Хабаровск (спецификация № 3)</t>
  </si>
  <si>
    <t xml:space="preserve">Болт М16х40  DIN 933  01.10.16040.С</t>
  </si>
  <si>
    <t xml:space="preserve">DIN 933  01.10.16040.С</t>
  </si>
  <si>
    <t xml:space="preserve">Болт М16х50  DIN 933  01.10.16050.С</t>
  </si>
  <si>
    <t xml:space="preserve">DIN 933  01.10.16050.С</t>
  </si>
  <si>
    <t xml:space="preserve">Гайка </t>
  </si>
  <si>
    <t xml:space="preserve">М16х1,5 6Н.8.0112</t>
  </si>
  <si>
    <t xml:space="preserve">Каток опорный 3902-3204110</t>
  </si>
  <si>
    <t xml:space="preserve">3902-3204110</t>
  </si>
  <si>
    <t xml:space="preserve">Колесо ведущее ТТМ 3902 под РМШ</t>
  </si>
  <si>
    <t xml:space="preserve">3902-3202120</t>
  </si>
  <si>
    <t xml:space="preserve">Подшипник 6- 408(6408)(VBF) 40*110*27</t>
  </si>
  <si>
    <t xml:space="preserve">6- 408(6408)(VBF) 40*110*27</t>
  </si>
  <si>
    <t xml:space="preserve">Подшипник6- 409(6409)(VBF) 45*120*29</t>
  </si>
  <si>
    <t xml:space="preserve">6- 409(6409)(VBF) 45*120*29</t>
  </si>
  <si>
    <t xml:space="preserve">Фильтр воздушный в сборе (внешний+внутренний) Shantui  SD 16 6I0274/6I0273</t>
  </si>
  <si>
    <t xml:space="preserve">6I0274/6I0273</t>
  </si>
  <si>
    <t xml:space="preserve">Фильтр гидравлический (трансмиссия) SP808/175-49-11580/HF6072/H5606/16Y-75-23200</t>
  </si>
  <si>
    <t xml:space="preserve">SP808/175-49-11580/HF6072/H5606/16Y-75-23200</t>
  </si>
  <si>
    <t xml:space="preserve">Фильтр гидравлического бака 16Y-60-13000</t>
  </si>
  <si>
    <t xml:space="preserve">16Y-60-13000</t>
  </si>
  <si>
    <t xml:space="preserve">Фильтр гидротрансформатора SP808/195-13-13420/16Y-75-13100</t>
  </si>
  <si>
    <t xml:space="preserve">SP808/195-13-13420/16Y-75-13100</t>
  </si>
  <si>
    <t xml:space="preserve">Фильтр масляный  16Y-76-09200</t>
  </si>
  <si>
    <t xml:space="preserve">16Y-76-09200</t>
  </si>
  <si>
    <t xml:space="preserve">Фильтр масляный ДВС Shantui SD16 STJX480</t>
  </si>
  <si>
    <t xml:space="preserve">STJX480</t>
  </si>
  <si>
    <t xml:space="preserve">Фильтр топливный грубой отчистки топлива Shantui  SD 16 D638-002-02, CX583/SF185/FF185 ST</t>
  </si>
  <si>
    <t xml:space="preserve">D638-002-02, CX583/SF185/FF185 ST</t>
  </si>
  <si>
    <t xml:space="preserve">Фильтр топливный тонкой отчистки топлива Shantui  SD 16 STD00-034-01, CX5135/SFS5135/FF5135 </t>
  </si>
  <si>
    <t xml:space="preserve">STD00-034-01, CX5135/SFS5135/FF5135 </t>
  </si>
  <si>
    <t xml:space="preserve">Итого спецификация 2</t>
  </si>
  <si>
    <t xml:space="preserve">ИТОГО без НДС, руб.</t>
  </si>
  <si>
    <t xml:space="preserve">Кроме того, НДС, руб.</t>
  </si>
  <si>
    <t xml:space="preserve">ИТОГО с НДС, руб.</t>
  </si>
  <si>
    <t xml:space="preserve">__________________________________
(подпись, М.П.)
__________________________________
(фамилия, имя, отчество подписавшего, должность)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</si>
</sst>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0"/>
    <numFmt numFmtId="167" formatCode="#,##0.00"/>
    <numFmt numFmtId="168" formatCode="@"/>
    <numFmt numFmtId="169" formatCode="General"/>
    <numFmt numFmtId="170" formatCode="#,##0"/>
    <numFmt numFmtId="171" formatCode="0%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2"/>
      <color rgb="FF002060"/>
      <name val="Calibri"/>
      <family val="2"/>
      <charset val="204"/>
    </font>
    <font>
      <sz val="12"/>
      <color rgb="FF002060"/>
      <name val="Calibri"/>
      <family val="2"/>
      <charset val="204"/>
    </font>
    <font>
      <b val="true"/>
      <i val="true"/>
      <sz val="12"/>
      <color rgb="FF808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206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000000"/>
      <name val="Calibri"/>
      <family val="2"/>
      <charset val="204"/>
    </font>
    <font>
      <i val="true"/>
      <sz val="10"/>
      <color rgb="FFFF0000"/>
      <name val="Calibri"/>
      <family val="2"/>
      <charset val="204"/>
    </font>
    <font>
      <b val="true"/>
      <u val="singl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206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002060"/>
      <name val="Times New Roman"/>
      <family val="1"/>
      <charset val="204"/>
    </font>
    <font>
      <b val="true"/>
      <sz val="10"/>
      <color rgb="FF002060"/>
      <name val="Calibri"/>
      <family val="2"/>
      <charset val="204"/>
    </font>
    <font>
      <sz val="10"/>
      <color rgb="FF00206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AE3F3"/>
        <bgColor rgb="FFDEEBF7"/>
      </patternFill>
    </fill>
    <fill>
      <patternFill patternType="solid">
        <fgColor rgb="FFDEEBF7"/>
        <bgColor rgb="FFDAE3F3"/>
      </patternFill>
    </fill>
    <fill>
      <patternFill patternType="solid">
        <fgColor rgb="FFFFFF99"/>
        <bgColor rgb="FFFFFFCC"/>
      </patternFill>
    </fill>
    <fill>
      <patternFill patternType="solid">
        <fgColor rgb="FFD0CECE"/>
        <bgColor rgb="FFD9D9D9"/>
      </patternFill>
    </fill>
    <fill>
      <patternFill patternType="solid">
        <fgColor rgb="FFD9D9D9"/>
        <bgColor rgb="FFD0CECE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/>
      <right/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/>
      <right/>
      <top style="medium">
        <color rgb="FF002060"/>
      </top>
      <bottom/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8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7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7" fillId="7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7" fillId="8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9" fillId="8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8" fillId="7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8" fillId="7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9" fillId="8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8" fillId="7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7" fillId="7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8" fillId="7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7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7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21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1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7" fillId="7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8" fillId="7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7" fillId="7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8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8" fillId="7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7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2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7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2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4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3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6" fillId="4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1" fillId="4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27" fillId="4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27" fillId="8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4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7" fillId="4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7" fillId="4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8" activeCellId="0" sqref="W8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1" width="31.86"/>
    <col collapsed="false" customWidth="true" hidden="false" outlineLevel="0" max="4" min="4" style="2" width="7.16"/>
    <col collapsed="false" customWidth="true" hidden="true" outlineLevel="0" max="5" min="5" style="2" width="10.87"/>
    <col collapsed="false" customWidth="true" hidden="false" outlineLevel="0" max="6" min="6" style="3" width="11.43"/>
    <col collapsed="false" customWidth="true" hidden="false" outlineLevel="0" max="7" min="7" style="4" width="16.14"/>
    <col collapsed="false" customWidth="true" hidden="false" outlineLevel="0" max="8" min="8" style="2" width="22.86"/>
    <col collapsed="false" customWidth="true" hidden="false" outlineLevel="0" max="10" min="9" style="1" width="9.14"/>
    <col collapsed="false" customWidth="true" hidden="false" outlineLevel="0" max="12" min="11" style="1" width="32.15"/>
    <col collapsed="false" customWidth="true" hidden="false" outlineLevel="0" max="13" min="13" style="1" width="21.29"/>
    <col collapsed="false" customWidth="true" hidden="false" outlineLevel="0" max="14" min="14" style="1" width="7.29"/>
    <col collapsed="false" customWidth="true" hidden="true" outlineLevel="0" max="15" min="15" style="1" width="15"/>
    <col collapsed="false" customWidth="true" hidden="false" outlineLevel="0" max="16" min="16" style="1" width="15"/>
    <col collapsed="false" customWidth="true" hidden="false" outlineLevel="0" max="17" min="17" style="1" width="13.86"/>
    <col collapsed="false" customWidth="true" hidden="false" outlineLevel="0" max="18" min="18" style="2" width="9.8"/>
    <col collapsed="false" customWidth="true" hidden="false" outlineLevel="0" max="19" min="19" style="1" width="22.71"/>
  </cols>
  <sheetData>
    <row r="1" customFormat="false" ht="34.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3.8" hidden="false" customHeight="false" outlineLevel="0" collapsed="false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8.75" hidden="false" customHeight="true" outlineLevel="0" collapsed="false">
      <c r="A3" s="9" t="s">
        <v>1</v>
      </c>
      <c r="B3" s="9"/>
      <c r="C3" s="9"/>
      <c r="D3" s="9"/>
      <c r="E3" s="9"/>
      <c r="F3" s="9"/>
      <c r="G3" s="10" t="n">
        <f aca="false">H120</f>
        <v>3290188.125</v>
      </c>
      <c r="H3" s="11" t="s">
        <v>2</v>
      </c>
      <c r="I3" s="7"/>
      <c r="J3" s="12" t="s">
        <v>3</v>
      </c>
      <c r="K3" s="12"/>
      <c r="L3" s="12"/>
      <c r="M3" s="12"/>
      <c r="N3" s="12"/>
      <c r="O3" s="12"/>
      <c r="P3" s="12"/>
      <c r="Q3" s="12"/>
      <c r="R3" s="12"/>
      <c r="S3" s="12"/>
      <c r="T3" s="7"/>
      <c r="U3" s="7"/>
      <c r="V3" s="7"/>
      <c r="W3" s="7"/>
      <c r="X3" s="7"/>
      <c r="Y3" s="7"/>
      <c r="Z3" s="7"/>
    </row>
    <row r="4" customFormat="false" ht="38.25" hidden="false" customHeight="true" outlineLevel="0" collapsed="false">
      <c r="A4" s="13" t="s">
        <v>4</v>
      </c>
      <c r="B4" s="13"/>
      <c r="C4" s="13"/>
      <c r="D4" s="13"/>
      <c r="E4" s="13"/>
      <c r="F4" s="13"/>
      <c r="G4" s="13"/>
      <c r="H4" s="13"/>
      <c r="I4" s="7"/>
      <c r="J4" s="14" t="s">
        <v>5</v>
      </c>
      <c r="K4" s="14"/>
      <c r="L4" s="14"/>
      <c r="M4" s="14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22.5" hidden="false" customHeight="true" outlineLevel="0" collapsed="false">
      <c r="A5" s="7"/>
      <c r="B5" s="7"/>
      <c r="C5" s="7"/>
      <c r="D5" s="7"/>
      <c r="E5" s="7"/>
      <c r="F5" s="7"/>
      <c r="G5" s="8"/>
      <c r="H5" s="7"/>
      <c r="I5" s="7"/>
      <c r="J5" s="15" t="s">
        <v>6</v>
      </c>
      <c r="K5" s="15"/>
      <c r="L5" s="15"/>
      <c r="M5" s="1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3.8" hidden="false" customHeight="false" outlineLevel="0" collapsed="false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32.25" hidden="false" customHeight="true" outlineLevel="0" collapsed="false">
      <c r="A7" s="16" t="s">
        <v>7</v>
      </c>
      <c r="B7" s="16"/>
      <c r="C7" s="16"/>
      <c r="D7" s="16"/>
      <c r="E7" s="16"/>
      <c r="F7" s="16"/>
      <c r="G7" s="16"/>
      <c r="H7" s="16"/>
      <c r="I7" s="17"/>
      <c r="J7" s="16" t="s">
        <v>8</v>
      </c>
      <c r="K7" s="16"/>
      <c r="L7" s="16"/>
      <c r="M7" s="16"/>
      <c r="N7" s="16"/>
      <c r="O7" s="16"/>
      <c r="P7" s="16"/>
      <c r="Q7" s="16"/>
      <c r="R7" s="16"/>
      <c r="S7" s="16"/>
      <c r="T7" s="7"/>
      <c r="U7" s="7"/>
      <c r="V7" s="7"/>
      <c r="W7" s="7"/>
      <c r="X7" s="7"/>
      <c r="Y7" s="7"/>
      <c r="Z7" s="7"/>
    </row>
    <row r="8" customFormat="false" ht="107.15" hidden="false" customHeight="false" outlineLevel="0" collapsed="false">
      <c r="A8" s="18" t="s">
        <v>9</v>
      </c>
      <c r="B8" s="18" t="s">
        <v>10</v>
      </c>
      <c r="C8" s="18" t="s">
        <v>11</v>
      </c>
      <c r="D8" s="18" t="s">
        <v>12</v>
      </c>
      <c r="E8" s="18"/>
      <c r="F8" s="18" t="s">
        <v>13</v>
      </c>
      <c r="G8" s="19" t="s">
        <v>14</v>
      </c>
      <c r="H8" s="18" t="s">
        <v>15</v>
      </c>
      <c r="I8" s="20"/>
      <c r="J8" s="18" t="s">
        <v>9</v>
      </c>
      <c r="K8" s="18" t="s">
        <v>16</v>
      </c>
      <c r="L8" s="21" t="s">
        <v>17</v>
      </c>
      <c r="M8" s="21" t="s">
        <v>18</v>
      </c>
      <c r="N8" s="18" t="s">
        <v>12</v>
      </c>
      <c r="O8" s="18"/>
      <c r="P8" s="18" t="s">
        <v>13</v>
      </c>
      <c r="Q8" s="18" t="s">
        <v>19</v>
      </c>
      <c r="R8" s="18" t="s">
        <v>14</v>
      </c>
      <c r="S8" s="18" t="s">
        <v>20</v>
      </c>
      <c r="T8" s="7"/>
      <c r="U8" s="7"/>
      <c r="V8" s="7"/>
      <c r="W8" s="7"/>
      <c r="X8" s="7"/>
      <c r="Y8" s="7"/>
      <c r="Z8" s="7"/>
    </row>
    <row r="9" s="23" customFormat="true" ht="17.25" hidden="false" customHeight="true" outlineLevel="0" collapsed="false">
      <c r="A9" s="22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AA9" s="1"/>
    </row>
    <row r="10" s="25" customFormat="true" ht="15" hidden="false" customHeight="true" outlineLevel="0" collapsed="false">
      <c r="A10" s="22" t="s">
        <v>22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4"/>
      <c r="U10" s="24"/>
      <c r="V10" s="24"/>
      <c r="W10" s="24"/>
      <c r="X10" s="24"/>
      <c r="Y10" s="24"/>
      <c r="Z10" s="24"/>
      <c r="AA10" s="1"/>
    </row>
    <row r="11" s="25" customFormat="true" ht="25.35" hidden="false" customHeight="false" outlineLevel="0" collapsed="false">
      <c r="A11" s="26" t="n">
        <v>1</v>
      </c>
      <c r="B11" s="27" t="s">
        <v>23</v>
      </c>
      <c r="C11" s="27" t="s">
        <v>24</v>
      </c>
      <c r="D11" s="28" t="s">
        <v>25</v>
      </c>
      <c r="E11" s="29" t="n">
        <v>40510.8</v>
      </c>
      <c r="F11" s="29" t="n">
        <f aca="false">E11/1.2</f>
        <v>33759</v>
      </c>
      <c r="G11" s="30" t="n">
        <v>8</v>
      </c>
      <c r="H11" s="31" t="n">
        <f aca="false">G11*F11</f>
        <v>270072</v>
      </c>
      <c r="I11" s="32"/>
      <c r="J11" s="33" t="n">
        <f aca="false">A11</f>
        <v>1</v>
      </c>
      <c r="K11" s="34" t="str">
        <f aca="false">B11</f>
        <v>Амортизатор гидравлический 8.35.010 МТЛБ</v>
      </c>
      <c r="L11" s="35"/>
      <c r="M11" s="36"/>
      <c r="N11" s="37" t="str">
        <f aca="false">D11</f>
        <v>шт</v>
      </c>
      <c r="O11" s="38" t="n">
        <v>40510.8</v>
      </c>
      <c r="P11" s="38" t="n">
        <f aca="false">F11</f>
        <v>33759</v>
      </c>
      <c r="Q11" s="39"/>
      <c r="R11" s="40" t="n">
        <v>8</v>
      </c>
      <c r="S11" s="41" t="n">
        <f aca="false">R11*Q11</f>
        <v>0</v>
      </c>
      <c r="T11" s="24"/>
      <c r="U11" s="24"/>
      <c r="V11" s="24"/>
      <c r="W11" s="24"/>
      <c r="X11" s="24"/>
      <c r="Y11" s="24"/>
      <c r="Z11" s="24"/>
      <c r="AA11" s="1"/>
    </row>
    <row r="12" s="25" customFormat="true" ht="25.35" hidden="false" customHeight="false" outlineLevel="0" collapsed="false">
      <c r="A12" s="26" t="n">
        <v>2</v>
      </c>
      <c r="B12" s="27" t="s">
        <v>26</v>
      </c>
      <c r="C12" s="27" t="s">
        <v>27</v>
      </c>
      <c r="D12" s="28" t="s">
        <v>25</v>
      </c>
      <c r="E12" s="29" t="n">
        <v>1600</v>
      </c>
      <c r="F12" s="29" t="n">
        <f aca="false">E12/1.2</f>
        <v>1333.33333333333</v>
      </c>
      <c r="G12" s="30" t="n">
        <v>1</v>
      </c>
      <c r="H12" s="31" t="n">
        <f aca="false">G12*F12</f>
        <v>1333.33333333333</v>
      </c>
      <c r="I12" s="32"/>
      <c r="J12" s="33" t="n">
        <f aca="false">A12</f>
        <v>2</v>
      </c>
      <c r="K12" s="34" t="str">
        <f aca="false">B12</f>
        <v>Бокорез левый 3500531M1 ковша Terex</v>
      </c>
      <c r="L12" s="35"/>
      <c r="M12" s="36"/>
      <c r="N12" s="37" t="str">
        <f aca="false">D12</f>
        <v>шт</v>
      </c>
      <c r="O12" s="38" t="n">
        <v>1600</v>
      </c>
      <c r="P12" s="38" t="n">
        <f aca="false">F12</f>
        <v>1333.33333333333</v>
      </c>
      <c r="Q12" s="39"/>
      <c r="R12" s="40" t="n">
        <v>1</v>
      </c>
      <c r="S12" s="41" t="n">
        <f aca="false">R12*Q12</f>
        <v>0</v>
      </c>
      <c r="T12" s="24"/>
      <c r="U12" s="24"/>
      <c r="V12" s="24"/>
      <c r="W12" s="24"/>
      <c r="X12" s="24"/>
      <c r="Y12" s="24"/>
      <c r="Z12" s="24"/>
      <c r="AA12" s="1"/>
    </row>
    <row r="13" s="25" customFormat="true" ht="15" hidden="false" customHeight="true" outlineLevel="0" collapsed="false">
      <c r="A13" s="26" t="n">
        <v>3</v>
      </c>
      <c r="B13" s="27" t="s">
        <v>28</v>
      </c>
      <c r="C13" s="27" t="s">
        <v>29</v>
      </c>
      <c r="D13" s="28" t="s">
        <v>25</v>
      </c>
      <c r="E13" s="29" t="n">
        <v>1200</v>
      </c>
      <c r="F13" s="29" t="n">
        <f aca="false">E13/1.2</f>
        <v>1000</v>
      </c>
      <c r="G13" s="30" t="n">
        <v>1</v>
      </c>
      <c r="H13" s="31" t="n">
        <f aca="false">G13*F13</f>
        <v>1000</v>
      </c>
      <c r="I13" s="32"/>
      <c r="J13" s="33" t="n">
        <f aca="false">A13</f>
        <v>3</v>
      </c>
      <c r="K13" s="34" t="str">
        <f aca="false">B13</f>
        <v>Бокорез правый 3500532M1 ковша Terex</v>
      </c>
      <c r="L13" s="35"/>
      <c r="M13" s="36"/>
      <c r="N13" s="37" t="str">
        <f aca="false">D13</f>
        <v>шт</v>
      </c>
      <c r="O13" s="38" t="n">
        <v>1200</v>
      </c>
      <c r="P13" s="38" t="n">
        <f aca="false">F13</f>
        <v>1000</v>
      </c>
      <c r="Q13" s="39"/>
      <c r="R13" s="40" t="n">
        <v>1</v>
      </c>
      <c r="S13" s="41" t="n">
        <f aca="false">R13*Q13</f>
        <v>0</v>
      </c>
      <c r="T13" s="24"/>
      <c r="U13" s="24"/>
      <c r="V13" s="24"/>
      <c r="W13" s="24"/>
      <c r="X13" s="24"/>
      <c r="Y13" s="24"/>
      <c r="Z13" s="24"/>
      <c r="AA13" s="1"/>
    </row>
    <row r="14" s="25" customFormat="true" ht="15" hidden="false" customHeight="true" outlineLevel="0" collapsed="false">
      <c r="A14" s="26" t="n">
        <v>4</v>
      </c>
      <c r="B14" s="27" t="s">
        <v>30</v>
      </c>
      <c r="C14" s="27" t="s">
        <v>31</v>
      </c>
      <c r="D14" s="28" t="s">
        <v>25</v>
      </c>
      <c r="E14" s="42" t="n">
        <v>392.04</v>
      </c>
      <c r="F14" s="29" t="n">
        <f aca="false">E14/1.2</f>
        <v>326.7</v>
      </c>
      <c r="G14" s="30" t="n">
        <v>8</v>
      </c>
      <c r="H14" s="31" t="n">
        <f aca="false">G14*F14</f>
        <v>2613.6</v>
      </c>
      <c r="I14" s="32"/>
      <c r="J14" s="33" t="n">
        <f aca="false">A14</f>
        <v>4</v>
      </c>
      <c r="K14" s="34" t="str">
        <f aca="false">B14</f>
        <v>Болт коронки (зуба) ковша Terex 353915Х1</v>
      </c>
      <c r="L14" s="35"/>
      <c r="M14" s="36"/>
      <c r="N14" s="37" t="str">
        <f aca="false">D14</f>
        <v>шт</v>
      </c>
      <c r="O14" s="43" t="n">
        <v>392.04</v>
      </c>
      <c r="P14" s="38" t="n">
        <f aca="false">F14</f>
        <v>326.7</v>
      </c>
      <c r="Q14" s="39"/>
      <c r="R14" s="40" t="n">
        <v>8</v>
      </c>
      <c r="S14" s="41" t="n">
        <f aca="false">R14*Q14</f>
        <v>0</v>
      </c>
      <c r="T14" s="24"/>
      <c r="U14" s="24"/>
      <c r="V14" s="24"/>
      <c r="W14" s="24"/>
      <c r="X14" s="24"/>
      <c r="Y14" s="24"/>
      <c r="Z14" s="24"/>
      <c r="AA14" s="1"/>
    </row>
    <row r="15" s="25" customFormat="true" ht="25.35" hidden="false" customHeight="false" outlineLevel="0" collapsed="false">
      <c r="A15" s="26" t="n">
        <v>5</v>
      </c>
      <c r="B15" s="27" t="s">
        <v>32</v>
      </c>
      <c r="C15" s="27" t="s">
        <v>33</v>
      </c>
      <c r="D15" s="28" t="s">
        <v>25</v>
      </c>
      <c r="E15" s="29" t="n">
        <v>7947.31</v>
      </c>
      <c r="F15" s="29" t="n">
        <f aca="false">E15/1.2</f>
        <v>6622.75833333333</v>
      </c>
      <c r="G15" s="30" t="n">
        <v>3</v>
      </c>
      <c r="H15" s="31" t="n">
        <f aca="false">G15*F15</f>
        <v>19868.275</v>
      </c>
      <c r="I15" s="32"/>
      <c r="J15" s="33" t="n">
        <f aca="false">A15</f>
        <v>5</v>
      </c>
      <c r="K15" s="34" t="str">
        <f aca="false">B15</f>
        <v>Вал торсионный левый 34039-2946035</v>
      </c>
      <c r="L15" s="35"/>
      <c r="M15" s="36"/>
      <c r="N15" s="37" t="str">
        <f aca="false">D15</f>
        <v>шт</v>
      </c>
      <c r="O15" s="38" t="n">
        <v>7947.31</v>
      </c>
      <c r="P15" s="38" t="n">
        <f aca="false">F15</f>
        <v>6622.75833333333</v>
      </c>
      <c r="Q15" s="39"/>
      <c r="R15" s="40" t="n">
        <v>3</v>
      </c>
      <c r="S15" s="41" t="n">
        <f aca="false">R15*Q15</f>
        <v>0</v>
      </c>
      <c r="T15" s="24"/>
      <c r="U15" s="24"/>
      <c r="V15" s="24"/>
      <c r="W15" s="24"/>
      <c r="X15" s="24"/>
      <c r="Y15" s="24"/>
      <c r="Z15" s="24"/>
      <c r="AA15" s="1"/>
    </row>
    <row r="16" s="25" customFormat="true" ht="25.35" hidden="false" customHeight="false" outlineLevel="0" collapsed="false">
      <c r="A16" s="26" t="n">
        <v>6</v>
      </c>
      <c r="B16" s="27" t="s">
        <v>34</v>
      </c>
      <c r="C16" s="27" t="s">
        <v>35</v>
      </c>
      <c r="D16" s="28" t="s">
        <v>25</v>
      </c>
      <c r="E16" s="29" t="n">
        <v>10913.79</v>
      </c>
      <c r="F16" s="29" t="n">
        <f aca="false">E16/1.2</f>
        <v>9094.825</v>
      </c>
      <c r="G16" s="30" t="n">
        <v>4</v>
      </c>
      <c r="H16" s="31" t="n">
        <f aca="false">G16*F16</f>
        <v>36379.3</v>
      </c>
      <c r="I16" s="32"/>
      <c r="J16" s="33" t="n">
        <f aca="false">A16</f>
        <v>6</v>
      </c>
      <c r="K16" s="34" t="str">
        <f aca="false">B16</f>
        <v>вал торсионный левый МТ-ЛБ 8.32.108</v>
      </c>
      <c r="L16" s="35"/>
      <c r="M16" s="36"/>
      <c r="N16" s="37" t="str">
        <f aca="false">D16</f>
        <v>шт</v>
      </c>
      <c r="O16" s="38" t="n">
        <v>10913.79</v>
      </c>
      <c r="P16" s="38" t="n">
        <f aca="false">F16</f>
        <v>9094.825</v>
      </c>
      <c r="Q16" s="39"/>
      <c r="R16" s="40" t="n">
        <v>4</v>
      </c>
      <c r="S16" s="41" t="n">
        <f aca="false">R16*Q16</f>
        <v>0</v>
      </c>
      <c r="T16" s="24"/>
      <c r="U16" s="24"/>
      <c r="V16" s="24"/>
      <c r="W16" s="24"/>
      <c r="X16" s="24"/>
      <c r="Y16" s="24"/>
      <c r="Z16" s="24"/>
      <c r="AA16" s="1"/>
    </row>
    <row r="17" s="25" customFormat="true" ht="25.35" hidden="false" customHeight="false" outlineLevel="0" collapsed="false">
      <c r="A17" s="26" t="n">
        <v>7</v>
      </c>
      <c r="B17" s="27" t="s">
        <v>36</v>
      </c>
      <c r="C17" s="27" t="s">
        <v>37</v>
      </c>
      <c r="D17" s="28" t="s">
        <v>25</v>
      </c>
      <c r="E17" s="29" t="n">
        <v>7947.31</v>
      </c>
      <c r="F17" s="29" t="n">
        <f aca="false">E17/1.2</f>
        <v>6622.75833333333</v>
      </c>
      <c r="G17" s="30" t="n">
        <v>3</v>
      </c>
      <c r="H17" s="31" t="n">
        <f aca="false">G17*F17</f>
        <v>19868.275</v>
      </c>
      <c r="I17" s="32"/>
      <c r="J17" s="33" t="n">
        <f aca="false">A17</f>
        <v>7</v>
      </c>
      <c r="K17" s="34" t="str">
        <f aca="false">B17</f>
        <v>Вал торсионный правый 34039-2946036</v>
      </c>
      <c r="L17" s="35"/>
      <c r="M17" s="36"/>
      <c r="N17" s="37" t="str">
        <f aca="false">D17</f>
        <v>шт</v>
      </c>
      <c r="O17" s="38" t="n">
        <v>7947.31</v>
      </c>
      <c r="P17" s="38" t="n">
        <f aca="false">F17</f>
        <v>6622.75833333333</v>
      </c>
      <c r="Q17" s="39"/>
      <c r="R17" s="40" t="n">
        <v>3</v>
      </c>
      <c r="S17" s="41" t="n">
        <f aca="false">R17*Q17</f>
        <v>0</v>
      </c>
      <c r="T17" s="24"/>
      <c r="U17" s="24"/>
      <c r="V17" s="24"/>
      <c r="W17" s="24"/>
      <c r="X17" s="24"/>
      <c r="Y17" s="24"/>
      <c r="Z17" s="24"/>
      <c r="AA17" s="1"/>
    </row>
    <row r="18" s="25" customFormat="true" ht="25.35" hidden="false" customHeight="false" outlineLevel="0" collapsed="false">
      <c r="A18" s="26" t="n">
        <v>8</v>
      </c>
      <c r="B18" s="27" t="s">
        <v>38</v>
      </c>
      <c r="C18" s="27" t="s">
        <v>39</v>
      </c>
      <c r="D18" s="28" t="s">
        <v>25</v>
      </c>
      <c r="E18" s="29" t="n">
        <v>13689.05</v>
      </c>
      <c r="F18" s="29" t="n">
        <f aca="false">E18/1.2</f>
        <v>11407.5416666667</v>
      </c>
      <c r="G18" s="30" t="n">
        <v>4</v>
      </c>
      <c r="H18" s="31" t="n">
        <f aca="false">G18*F18</f>
        <v>45630.1666666667</v>
      </c>
      <c r="I18" s="32"/>
      <c r="J18" s="33" t="n">
        <f aca="false">A18</f>
        <v>8</v>
      </c>
      <c r="K18" s="34" t="str">
        <f aca="false">B18</f>
        <v>вал торсионный правый МТ-ЛБ 8.32.109</v>
      </c>
      <c r="L18" s="35"/>
      <c r="M18" s="36"/>
      <c r="N18" s="37" t="str">
        <f aca="false">D18</f>
        <v>шт</v>
      </c>
      <c r="O18" s="38" t="n">
        <v>13689.05</v>
      </c>
      <c r="P18" s="38" t="n">
        <f aca="false">F18</f>
        <v>11407.5416666667</v>
      </c>
      <c r="Q18" s="39"/>
      <c r="R18" s="40" t="n">
        <v>4</v>
      </c>
      <c r="S18" s="41" t="n">
        <f aca="false">R18*Q18</f>
        <v>0</v>
      </c>
      <c r="T18" s="24"/>
      <c r="U18" s="24"/>
      <c r="V18" s="24"/>
      <c r="W18" s="24"/>
      <c r="X18" s="24"/>
      <c r="Y18" s="24"/>
      <c r="Z18" s="24"/>
      <c r="AA18" s="1"/>
    </row>
    <row r="19" s="25" customFormat="true" ht="37.3" hidden="false" customHeight="false" outlineLevel="0" collapsed="false">
      <c r="A19" s="26" t="n">
        <v>9</v>
      </c>
      <c r="B19" s="27" t="s">
        <v>40</v>
      </c>
      <c r="C19" s="27" t="s">
        <v>41</v>
      </c>
      <c r="D19" s="28" t="s">
        <v>25</v>
      </c>
      <c r="E19" s="42" t="n">
        <v>982.8</v>
      </c>
      <c r="F19" s="29" t="n">
        <f aca="false">E19/1.2</f>
        <v>819</v>
      </c>
      <c r="G19" s="30" t="n">
        <v>32</v>
      </c>
      <c r="H19" s="31" t="n">
        <f aca="false">G19*F19</f>
        <v>26208</v>
      </c>
      <c r="I19" s="32"/>
      <c r="J19" s="33" t="n">
        <f aca="false">A19</f>
        <v>9</v>
      </c>
      <c r="K19" s="34" t="str">
        <f aca="false">B19</f>
        <v>Втулка установочная амортизатора гидравлического 8.35.152 МТЛБ</v>
      </c>
      <c r="L19" s="35"/>
      <c r="M19" s="36"/>
      <c r="N19" s="37" t="str">
        <f aca="false">D19</f>
        <v>шт</v>
      </c>
      <c r="O19" s="43" t="n">
        <v>982.8</v>
      </c>
      <c r="P19" s="38" t="n">
        <f aca="false">F19</f>
        <v>819</v>
      </c>
      <c r="Q19" s="39"/>
      <c r="R19" s="40" t="n">
        <v>32</v>
      </c>
      <c r="S19" s="41" t="n">
        <f aca="false">R19*Q19</f>
        <v>0</v>
      </c>
      <c r="T19" s="24"/>
      <c r="U19" s="24"/>
      <c r="V19" s="24"/>
      <c r="W19" s="24"/>
      <c r="X19" s="24"/>
      <c r="Y19" s="24"/>
      <c r="Z19" s="24"/>
      <c r="AA19" s="1"/>
    </row>
    <row r="20" s="25" customFormat="true" ht="25.35" hidden="false" customHeight="false" outlineLevel="0" collapsed="false">
      <c r="A20" s="26" t="n">
        <v>10</v>
      </c>
      <c r="B20" s="27" t="s">
        <v>42</v>
      </c>
      <c r="C20" s="27" t="s">
        <v>43</v>
      </c>
      <c r="D20" s="28" t="s">
        <v>25</v>
      </c>
      <c r="E20" s="42" t="n">
        <v>392.04</v>
      </c>
      <c r="F20" s="29" t="n">
        <f aca="false">E20/1.2</f>
        <v>326.7</v>
      </c>
      <c r="G20" s="30" t="n">
        <v>12</v>
      </c>
      <c r="H20" s="31" t="n">
        <f aca="false">G20*F20</f>
        <v>3920.4</v>
      </c>
      <c r="I20" s="32"/>
      <c r="J20" s="33" t="n">
        <f aca="false">A20</f>
        <v>10</v>
      </c>
      <c r="K20" s="34" t="str">
        <f aca="false">B20</f>
        <v>Гайка 353427Х1 зуба ковша Terex</v>
      </c>
      <c r="L20" s="35"/>
      <c r="M20" s="36"/>
      <c r="N20" s="37" t="str">
        <f aca="false">D20</f>
        <v>шт</v>
      </c>
      <c r="O20" s="43" t="n">
        <v>392.04</v>
      </c>
      <c r="P20" s="38" t="n">
        <f aca="false">F20</f>
        <v>326.7</v>
      </c>
      <c r="Q20" s="39"/>
      <c r="R20" s="40" t="n">
        <v>12</v>
      </c>
      <c r="S20" s="41" t="n">
        <f aca="false">R20*Q20</f>
        <v>0</v>
      </c>
      <c r="T20" s="24"/>
      <c r="U20" s="24"/>
      <c r="V20" s="24"/>
      <c r="W20" s="24"/>
      <c r="X20" s="24"/>
      <c r="Y20" s="24"/>
      <c r="Z20" s="24"/>
      <c r="AA20" s="1"/>
    </row>
    <row r="21" s="25" customFormat="true" ht="13.8" hidden="false" customHeight="false" outlineLevel="0" collapsed="false">
      <c r="A21" s="26" t="n">
        <v>11</v>
      </c>
      <c r="B21" s="27" t="s">
        <v>44</v>
      </c>
      <c r="C21" s="27" t="s">
        <v>45</v>
      </c>
      <c r="D21" s="28" t="s">
        <v>25</v>
      </c>
      <c r="E21" s="29" t="n">
        <v>300000</v>
      </c>
      <c r="F21" s="29" t="n">
        <f aca="false">E21/1.2</f>
        <v>250000</v>
      </c>
      <c r="G21" s="30" t="n">
        <v>1</v>
      </c>
      <c r="H21" s="31" t="n">
        <f aca="false">G21*F21</f>
        <v>250000</v>
      </c>
      <c r="I21" s="32"/>
      <c r="J21" s="33" t="n">
        <f aca="false">A21</f>
        <v>11</v>
      </c>
      <c r="K21" s="34" t="str">
        <f aca="false">B21</f>
        <v>Гидромолот F-5T Delta</v>
      </c>
      <c r="L21" s="35"/>
      <c r="M21" s="36"/>
      <c r="N21" s="37" t="str">
        <f aca="false">D21</f>
        <v>шт</v>
      </c>
      <c r="O21" s="38" t="n">
        <v>300000</v>
      </c>
      <c r="P21" s="38" t="n">
        <f aca="false">F21</f>
        <v>250000</v>
      </c>
      <c r="Q21" s="39"/>
      <c r="R21" s="40" t="n">
        <v>1</v>
      </c>
      <c r="S21" s="41" t="n">
        <f aca="false">R21*Q21</f>
        <v>0</v>
      </c>
      <c r="T21" s="24"/>
      <c r="U21" s="24"/>
      <c r="V21" s="24"/>
      <c r="W21" s="24"/>
      <c r="X21" s="24"/>
      <c r="Y21" s="24"/>
      <c r="Z21" s="24"/>
      <c r="AA21" s="1"/>
    </row>
    <row r="22" s="25" customFormat="true" ht="37.3" hidden="false" customHeight="false" outlineLevel="0" collapsed="false">
      <c r="A22" s="26" t="n">
        <v>12</v>
      </c>
      <c r="B22" s="27" t="s">
        <v>46</v>
      </c>
      <c r="C22" s="27" t="s">
        <v>47</v>
      </c>
      <c r="D22" s="28" t="s">
        <v>25</v>
      </c>
      <c r="E22" s="29" t="n">
        <v>82271.93</v>
      </c>
      <c r="F22" s="29" t="n">
        <f aca="false">E22/1.2</f>
        <v>68559.9416666667</v>
      </c>
      <c r="G22" s="30" t="n">
        <v>1</v>
      </c>
      <c r="H22" s="31" t="n">
        <f aca="false">G22*F22</f>
        <v>68559.9416666667</v>
      </c>
      <c r="I22" s="32"/>
      <c r="J22" s="33" t="n">
        <f aca="false">A22</f>
        <v>12</v>
      </c>
      <c r="K22" s="34" t="str">
        <f aca="false">B22</f>
        <v>Гидроцилиндр №144 ГЦ 160Х100Х610  (МКМ-200.02.80.0000)</v>
      </c>
      <c r="L22" s="35"/>
      <c r="M22" s="36"/>
      <c r="N22" s="37" t="str">
        <f aca="false">D22</f>
        <v>шт</v>
      </c>
      <c r="O22" s="38" t="n">
        <v>82271.93</v>
      </c>
      <c r="P22" s="38" t="n">
        <f aca="false">F22</f>
        <v>68559.9416666667</v>
      </c>
      <c r="Q22" s="39"/>
      <c r="R22" s="40" t="n">
        <v>1</v>
      </c>
      <c r="S22" s="41" t="n">
        <f aca="false">R22*Q22</f>
        <v>0</v>
      </c>
      <c r="T22" s="24"/>
      <c r="U22" s="24"/>
      <c r="V22" s="24"/>
      <c r="W22" s="24"/>
      <c r="X22" s="24"/>
      <c r="Y22" s="24"/>
      <c r="Z22" s="24"/>
      <c r="AA22" s="1"/>
    </row>
    <row r="23" s="25" customFormat="true" ht="37.3" hidden="false" customHeight="false" outlineLevel="0" collapsed="false">
      <c r="A23" s="26" t="n">
        <v>13</v>
      </c>
      <c r="B23" s="27" t="s">
        <v>48</v>
      </c>
      <c r="C23" s="27" t="s">
        <v>49</v>
      </c>
      <c r="D23" s="28" t="s">
        <v>25</v>
      </c>
      <c r="E23" s="29" t="n">
        <v>7100</v>
      </c>
      <c r="F23" s="29" t="n">
        <f aca="false">E23/1.2</f>
        <v>5916.66666666667</v>
      </c>
      <c r="G23" s="30" t="n">
        <v>1</v>
      </c>
      <c r="H23" s="31" t="n">
        <f aca="false">G23*F23</f>
        <v>5916.66666666667</v>
      </c>
      <c r="I23" s="32"/>
      <c r="J23" s="33" t="n">
        <f aca="false">A23</f>
        <v>13</v>
      </c>
      <c r="K23" s="34" t="str">
        <f aca="false">B23</f>
        <v>Гидроцилиндр включения фрикциона 66-02.02.000 для бурильной установки</v>
      </c>
      <c r="L23" s="35"/>
      <c r="M23" s="36"/>
      <c r="N23" s="37" t="str">
        <f aca="false">D23</f>
        <v>шт</v>
      </c>
      <c r="O23" s="38" t="n">
        <v>7100</v>
      </c>
      <c r="P23" s="38" t="n">
        <f aca="false">F23</f>
        <v>5916.66666666667</v>
      </c>
      <c r="Q23" s="39"/>
      <c r="R23" s="40" t="n">
        <v>1</v>
      </c>
      <c r="S23" s="41" t="n">
        <f aca="false">R23*Q23</f>
        <v>0</v>
      </c>
      <c r="T23" s="24"/>
      <c r="U23" s="24"/>
      <c r="V23" s="24"/>
      <c r="W23" s="24"/>
      <c r="X23" s="24"/>
      <c r="Y23" s="24"/>
      <c r="Z23" s="24"/>
      <c r="AA23" s="1"/>
    </row>
    <row r="24" s="25" customFormat="true" ht="37.3" hidden="false" customHeight="false" outlineLevel="0" collapsed="false">
      <c r="A24" s="26" t="n">
        <v>14</v>
      </c>
      <c r="B24" s="27" t="s">
        <v>50</v>
      </c>
      <c r="C24" s="27" t="s">
        <v>51</v>
      </c>
      <c r="D24" s="28" t="s">
        <v>25</v>
      </c>
      <c r="E24" s="29" t="n">
        <v>25000</v>
      </c>
      <c r="F24" s="29" t="n">
        <f aca="false">E24/1.2</f>
        <v>20833.3333333333</v>
      </c>
      <c r="G24" s="30" t="n">
        <v>1</v>
      </c>
      <c r="H24" s="31" t="n">
        <f aca="false">G24*F24</f>
        <v>20833.3333333333</v>
      </c>
      <c r="I24" s="32"/>
      <c r="J24" s="33" t="n">
        <f aca="false">A24</f>
        <v>14</v>
      </c>
      <c r="K24" s="34" t="str">
        <f aca="false">B24</f>
        <v>Гидроцилиндр ковша для экскаватора-погрузчика 070400200000 01 Terex</v>
      </c>
      <c r="L24" s="35"/>
      <c r="M24" s="36"/>
      <c r="N24" s="37" t="str">
        <f aca="false">D24</f>
        <v>шт</v>
      </c>
      <c r="O24" s="38" t="n">
        <v>25000</v>
      </c>
      <c r="P24" s="38" t="n">
        <f aca="false">F24</f>
        <v>20833.3333333333</v>
      </c>
      <c r="Q24" s="39"/>
      <c r="R24" s="40" t="n">
        <v>1</v>
      </c>
      <c r="S24" s="41" t="n">
        <f aca="false">R24*Q24</f>
        <v>0</v>
      </c>
      <c r="T24" s="24"/>
      <c r="U24" s="24"/>
      <c r="V24" s="24"/>
      <c r="W24" s="24"/>
      <c r="X24" s="24"/>
      <c r="Y24" s="24"/>
      <c r="Z24" s="24"/>
      <c r="AA24" s="1"/>
    </row>
    <row r="25" s="25" customFormat="true" ht="25.35" hidden="false" customHeight="false" outlineLevel="0" collapsed="false">
      <c r="A25" s="26" t="n">
        <v>15</v>
      </c>
      <c r="B25" s="27" t="s">
        <v>52</v>
      </c>
      <c r="C25" s="44" t="n">
        <v>250201110</v>
      </c>
      <c r="D25" s="28" t="s">
        <v>25</v>
      </c>
      <c r="E25" s="29" t="n">
        <v>32218.56</v>
      </c>
      <c r="F25" s="29" t="n">
        <f aca="false">E25/1.2</f>
        <v>26848.8</v>
      </c>
      <c r="G25" s="30" t="n">
        <v>2</v>
      </c>
      <c r="H25" s="31" t="n">
        <f aca="false">G25*F25</f>
        <v>53697.6</v>
      </c>
      <c r="I25" s="32"/>
      <c r="J25" s="33" t="n">
        <f aca="false">A25</f>
        <v>15</v>
      </c>
      <c r="K25" s="34" t="str">
        <f aca="false">B25</f>
        <v>Гусеница ходовой части 250201110</v>
      </c>
      <c r="L25" s="35"/>
      <c r="M25" s="36"/>
      <c r="N25" s="37" t="str">
        <f aca="false">D25</f>
        <v>шт</v>
      </c>
      <c r="O25" s="38" t="n">
        <v>32218.56</v>
      </c>
      <c r="P25" s="38" t="n">
        <f aca="false">F25</f>
        <v>26848.8</v>
      </c>
      <c r="Q25" s="39"/>
      <c r="R25" s="40" t="n">
        <v>2</v>
      </c>
      <c r="S25" s="41" t="n">
        <f aca="false">R25*Q25</f>
        <v>0</v>
      </c>
      <c r="T25" s="24"/>
      <c r="U25" s="24"/>
      <c r="V25" s="24"/>
      <c r="W25" s="24"/>
      <c r="X25" s="24"/>
      <c r="Y25" s="24"/>
      <c r="Z25" s="24"/>
      <c r="AA25" s="1"/>
    </row>
    <row r="26" s="25" customFormat="true" ht="25.35" hidden="false" customHeight="false" outlineLevel="0" collapsed="false">
      <c r="A26" s="26" t="n">
        <v>16</v>
      </c>
      <c r="B26" s="27" t="s">
        <v>53</v>
      </c>
      <c r="C26" s="27" t="s">
        <v>54</v>
      </c>
      <c r="D26" s="28" t="s">
        <v>25</v>
      </c>
      <c r="E26" s="29" t="n">
        <v>3600</v>
      </c>
      <c r="F26" s="29" t="n">
        <f aca="false">E26/1.2</f>
        <v>3000</v>
      </c>
      <c r="G26" s="30" t="n">
        <v>4</v>
      </c>
      <c r="H26" s="31" t="n">
        <f aca="false">G26*F26</f>
        <v>12000</v>
      </c>
      <c r="I26" s="32"/>
      <c r="J26" s="33" t="n">
        <f aca="false">A26</f>
        <v>16</v>
      </c>
      <c r="K26" s="34" t="str">
        <f aca="false">B26</f>
        <v>Диск тормозной 6193395M1 Terex</v>
      </c>
      <c r="L26" s="35"/>
      <c r="M26" s="36"/>
      <c r="N26" s="37" t="str">
        <f aca="false">D26</f>
        <v>шт</v>
      </c>
      <c r="O26" s="38" t="n">
        <v>3600</v>
      </c>
      <c r="P26" s="38" t="n">
        <f aca="false">F26</f>
        <v>3000</v>
      </c>
      <c r="Q26" s="39"/>
      <c r="R26" s="40" t="n">
        <v>4</v>
      </c>
      <c r="S26" s="41" t="n">
        <f aca="false">R26*Q26</f>
        <v>0</v>
      </c>
      <c r="T26" s="24"/>
      <c r="U26" s="24"/>
      <c r="V26" s="24"/>
      <c r="W26" s="24"/>
      <c r="X26" s="24"/>
      <c r="Y26" s="24"/>
      <c r="Z26" s="24"/>
      <c r="AA26" s="1"/>
    </row>
    <row r="27" s="25" customFormat="true" ht="13.8" hidden="false" customHeight="false" outlineLevel="0" collapsed="false">
      <c r="A27" s="26" t="n">
        <v>17</v>
      </c>
      <c r="B27" s="27" t="s">
        <v>55</v>
      </c>
      <c r="C27" s="27" t="s">
        <v>56</v>
      </c>
      <c r="D27" s="28" t="s">
        <v>25</v>
      </c>
      <c r="E27" s="29" t="n">
        <v>9266.4</v>
      </c>
      <c r="F27" s="29" t="n">
        <f aca="false">E27/1.2</f>
        <v>7722</v>
      </c>
      <c r="G27" s="30" t="n">
        <v>1</v>
      </c>
      <c r="H27" s="31" t="n">
        <f aca="false">G27*F27</f>
        <v>7722</v>
      </c>
      <c r="I27" s="32"/>
      <c r="J27" s="33" t="n">
        <f aca="false">A27</f>
        <v>17</v>
      </c>
      <c r="K27" s="34" t="str">
        <f aca="false">B27</f>
        <v>Забурник 300А</v>
      </c>
      <c r="L27" s="35"/>
      <c r="M27" s="36"/>
      <c r="N27" s="37" t="str">
        <f aca="false">D27</f>
        <v>шт</v>
      </c>
      <c r="O27" s="38" t="n">
        <v>9266.4</v>
      </c>
      <c r="P27" s="38" t="n">
        <f aca="false">F27</f>
        <v>7722</v>
      </c>
      <c r="Q27" s="39"/>
      <c r="R27" s="40" t="n">
        <v>1</v>
      </c>
      <c r="S27" s="41" t="n">
        <f aca="false">R27*Q27</f>
        <v>0</v>
      </c>
      <c r="T27" s="24"/>
      <c r="U27" s="24"/>
      <c r="V27" s="24"/>
      <c r="W27" s="24"/>
      <c r="X27" s="24"/>
      <c r="Y27" s="24"/>
      <c r="Z27" s="24"/>
      <c r="AA27" s="1"/>
    </row>
    <row r="28" s="25" customFormat="true" ht="13.8" hidden="false" customHeight="false" outlineLevel="0" collapsed="false">
      <c r="A28" s="26" t="n">
        <v>18</v>
      </c>
      <c r="B28" s="27" t="s">
        <v>57</v>
      </c>
      <c r="C28" s="27" t="s">
        <v>58</v>
      </c>
      <c r="D28" s="28" t="s">
        <v>25</v>
      </c>
      <c r="E28" s="29" t="n">
        <v>16468.01</v>
      </c>
      <c r="F28" s="29" t="n">
        <f aca="false">E28/1.2</f>
        <v>13723.3416666667</v>
      </c>
      <c r="G28" s="30" t="n">
        <v>1</v>
      </c>
      <c r="H28" s="31" t="n">
        <f aca="false">G28*F28</f>
        <v>13723.3416666667</v>
      </c>
      <c r="I28" s="32"/>
      <c r="J28" s="33" t="n">
        <f aca="false">A28</f>
        <v>18</v>
      </c>
      <c r="K28" s="34" t="str">
        <f aca="false">B28</f>
        <v>Забурник БК-02201.36.200</v>
      </c>
      <c r="L28" s="35"/>
      <c r="M28" s="36"/>
      <c r="N28" s="37" t="str">
        <f aca="false">D28</f>
        <v>шт</v>
      </c>
      <c r="O28" s="38" t="n">
        <v>16468.01</v>
      </c>
      <c r="P28" s="38" t="n">
        <f aca="false">F28</f>
        <v>13723.3416666667</v>
      </c>
      <c r="Q28" s="39"/>
      <c r="R28" s="40" t="n">
        <v>1</v>
      </c>
      <c r="S28" s="41" t="n">
        <f aca="false">R28*Q28</f>
        <v>0</v>
      </c>
      <c r="T28" s="24"/>
      <c r="U28" s="24"/>
      <c r="V28" s="24"/>
      <c r="W28" s="24"/>
      <c r="X28" s="24"/>
      <c r="Y28" s="24"/>
      <c r="Z28" s="24"/>
      <c r="AA28" s="1"/>
    </row>
    <row r="29" s="25" customFormat="true" ht="25.35" hidden="false" customHeight="false" outlineLevel="0" collapsed="false">
      <c r="A29" s="26" t="n">
        <v>19</v>
      </c>
      <c r="B29" s="27" t="s">
        <v>59</v>
      </c>
      <c r="C29" s="27" t="s">
        <v>60</v>
      </c>
      <c r="D29" s="28" t="s">
        <v>25</v>
      </c>
      <c r="E29" s="29" t="n">
        <v>2713.49</v>
      </c>
      <c r="F29" s="29" t="n">
        <f aca="false">E29/1.2</f>
        <v>2261.24166666667</v>
      </c>
      <c r="G29" s="30" t="n">
        <v>10</v>
      </c>
      <c r="H29" s="31" t="n">
        <f aca="false">G29*F29</f>
        <v>22612.4166666667</v>
      </c>
      <c r="I29" s="32"/>
      <c r="J29" s="33" t="n">
        <f aca="false">A29</f>
        <v>19</v>
      </c>
      <c r="K29" s="34" t="str">
        <f aca="false">B29</f>
        <v>звено гусеницы облегченное ГТ-СМ 71-3209005-02</v>
      </c>
      <c r="L29" s="35"/>
      <c r="M29" s="36"/>
      <c r="N29" s="37" t="str">
        <f aca="false">D29</f>
        <v>шт</v>
      </c>
      <c r="O29" s="38" t="n">
        <v>2713.49</v>
      </c>
      <c r="P29" s="38" t="n">
        <f aca="false">F29</f>
        <v>2261.24166666667</v>
      </c>
      <c r="Q29" s="39"/>
      <c r="R29" s="40" t="n">
        <v>10</v>
      </c>
      <c r="S29" s="41" t="n">
        <f aca="false">R29*Q29</f>
        <v>0</v>
      </c>
      <c r="T29" s="24"/>
      <c r="U29" s="24"/>
      <c r="V29" s="24"/>
      <c r="W29" s="24"/>
      <c r="X29" s="24"/>
      <c r="Y29" s="24"/>
      <c r="Z29" s="24"/>
      <c r="AA29" s="1"/>
    </row>
    <row r="30" s="25" customFormat="true" ht="25.35" hidden="false" customHeight="false" outlineLevel="0" collapsed="false">
      <c r="A30" s="26" t="n">
        <v>20</v>
      </c>
      <c r="B30" s="27" t="s">
        <v>61</v>
      </c>
      <c r="C30" s="27" t="s">
        <v>62</v>
      </c>
      <c r="D30" s="28" t="s">
        <v>25</v>
      </c>
      <c r="E30" s="42" t="n">
        <v>500</v>
      </c>
      <c r="F30" s="29" t="n">
        <f aca="false">E30/1.2</f>
        <v>416.666666666667</v>
      </c>
      <c r="G30" s="30" t="n">
        <v>10</v>
      </c>
      <c r="H30" s="31" t="n">
        <f aca="false">G30*F30</f>
        <v>4166.66666666667</v>
      </c>
      <c r="I30" s="32"/>
      <c r="J30" s="33" t="n">
        <f aca="false">A30</f>
        <v>20</v>
      </c>
      <c r="K30" s="34" t="str">
        <f aca="false">B30</f>
        <v>Карман БК-02201.36.104 для резца</v>
      </c>
      <c r="L30" s="35"/>
      <c r="M30" s="36"/>
      <c r="N30" s="37" t="str">
        <f aca="false">D30</f>
        <v>шт</v>
      </c>
      <c r="O30" s="43" t="n">
        <v>500</v>
      </c>
      <c r="P30" s="38" t="n">
        <f aca="false">F30</f>
        <v>416.666666666667</v>
      </c>
      <c r="Q30" s="39"/>
      <c r="R30" s="40" t="n">
        <v>10</v>
      </c>
      <c r="S30" s="41" t="n">
        <f aca="false">R30*Q30</f>
        <v>0</v>
      </c>
      <c r="T30" s="24"/>
      <c r="U30" s="24"/>
      <c r="V30" s="24"/>
      <c r="W30" s="24"/>
      <c r="X30" s="24"/>
      <c r="Y30" s="24"/>
      <c r="Z30" s="24"/>
      <c r="AA30" s="1"/>
    </row>
    <row r="31" s="25" customFormat="true" ht="25.35" hidden="false" customHeight="false" outlineLevel="0" collapsed="false">
      <c r="A31" s="26" t="n">
        <v>21</v>
      </c>
      <c r="B31" s="27" t="s">
        <v>63</v>
      </c>
      <c r="C31" s="27" t="s">
        <v>64</v>
      </c>
      <c r="D31" s="28" t="s">
        <v>25</v>
      </c>
      <c r="E31" s="29" t="n">
        <v>51617.89</v>
      </c>
      <c r="F31" s="29" t="n">
        <f aca="false">E31/1.2</f>
        <v>43014.9083333333</v>
      </c>
      <c r="G31" s="30" t="n">
        <v>4</v>
      </c>
      <c r="H31" s="31" t="n">
        <f aca="false">G31*F31</f>
        <v>172059.633333333</v>
      </c>
      <c r="I31" s="32"/>
      <c r="J31" s="33" t="n">
        <f aca="false">A31</f>
        <v>21</v>
      </c>
      <c r="K31" s="34" t="str">
        <f aca="false">B31</f>
        <v>Каток опорный в сборе 3903-3204100</v>
      </c>
      <c r="L31" s="35"/>
      <c r="M31" s="36"/>
      <c r="N31" s="37" t="str">
        <f aca="false">D31</f>
        <v>шт</v>
      </c>
      <c r="O31" s="38" t="n">
        <v>51617.89</v>
      </c>
      <c r="P31" s="38" t="n">
        <f aca="false">F31</f>
        <v>43014.9083333333</v>
      </c>
      <c r="Q31" s="39"/>
      <c r="R31" s="40" t="n">
        <v>4</v>
      </c>
      <c r="S31" s="41" t="n">
        <f aca="false">R31*Q31</f>
        <v>0</v>
      </c>
      <c r="T31" s="24"/>
      <c r="U31" s="24"/>
      <c r="V31" s="24"/>
      <c r="W31" s="24"/>
      <c r="X31" s="24"/>
      <c r="Y31" s="24"/>
      <c r="Z31" s="24"/>
      <c r="AA31" s="1"/>
    </row>
    <row r="32" s="25" customFormat="true" ht="49.25" hidden="false" customHeight="false" outlineLevel="0" collapsed="false">
      <c r="A32" s="26" t="n">
        <v>22</v>
      </c>
      <c r="B32" s="27" t="s">
        <v>65</v>
      </c>
      <c r="C32" s="27" t="s">
        <v>66</v>
      </c>
      <c r="D32" s="28" t="s">
        <v>25</v>
      </c>
      <c r="E32" s="29" t="n">
        <v>53460</v>
      </c>
      <c r="F32" s="29" t="n">
        <f aca="false">E32/1.2</f>
        <v>44550</v>
      </c>
      <c r="G32" s="30" t="n">
        <v>2</v>
      </c>
      <c r="H32" s="31" t="n">
        <f aca="false">G32*F32</f>
        <v>89100</v>
      </c>
      <c r="I32" s="32"/>
      <c r="J32" s="33" t="n">
        <f aca="false">A32</f>
        <v>22</v>
      </c>
      <c r="K32" s="34" t="str">
        <f aca="false">B32</f>
        <v>Каток подвесной ленивца направляющий (колесо направляющее) в сборе 3403 09 3205003 000</v>
      </c>
      <c r="L32" s="35"/>
      <c r="M32" s="36"/>
      <c r="N32" s="37" t="str">
        <f aca="false">D32</f>
        <v>шт</v>
      </c>
      <c r="O32" s="38" t="n">
        <v>53460</v>
      </c>
      <c r="P32" s="38" t="n">
        <f aca="false">F32</f>
        <v>44550</v>
      </c>
      <c r="Q32" s="39"/>
      <c r="R32" s="40" t="n">
        <v>2</v>
      </c>
      <c r="S32" s="41" t="n">
        <f aca="false">R32*Q32</f>
        <v>0</v>
      </c>
      <c r="T32" s="24"/>
      <c r="U32" s="24"/>
      <c r="V32" s="24"/>
      <c r="W32" s="24"/>
      <c r="X32" s="24"/>
      <c r="Y32" s="24"/>
      <c r="Z32" s="24"/>
      <c r="AA32" s="1"/>
    </row>
    <row r="33" s="25" customFormat="true" ht="37.3" hidden="false" customHeight="false" outlineLevel="0" collapsed="false">
      <c r="A33" s="26" t="n">
        <v>23</v>
      </c>
      <c r="B33" s="27" t="s">
        <v>67</v>
      </c>
      <c r="C33" s="27" t="s">
        <v>68</v>
      </c>
      <c r="D33" s="28" t="s">
        <v>25</v>
      </c>
      <c r="E33" s="29" t="n">
        <v>10000</v>
      </c>
      <c r="F33" s="29" t="n">
        <f aca="false">E33/1.2</f>
        <v>8333.33333333333</v>
      </c>
      <c r="G33" s="30" t="n">
        <v>2</v>
      </c>
      <c r="H33" s="31" t="n">
        <f aca="false">G33*F33</f>
        <v>16666.6666666667</v>
      </c>
      <c r="I33" s="32"/>
      <c r="J33" s="33" t="n">
        <f aca="false">A33</f>
        <v>23</v>
      </c>
      <c r="K33" s="34" t="str">
        <f aca="false">B33</f>
        <v>Клапан дозирования топлива ТНВД 47.1111344 ЯМЗ ЯЗДА в сборе</v>
      </c>
      <c r="L33" s="35"/>
      <c r="M33" s="36"/>
      <c r="N33" s="37" t="str">
        <f aca="false">D33</f>
        <v>шт</v>
      </c>
      <c r="O33" s="38" t="n">
        <v>10000</v>
      </c>
      <c r="P33" s="38" t="n">
        <f aca="false">F33</f>
        <v>8333.33333333333</v>
      </c>
      <c r="Q33" s="39"/>
      <c r="R33" s="40" t="n">
        <v>2</v>
      </c>
      <c r="S33" s="41" t="n">
        <f aca="false">R33*Q33</f>
        <v>0</v>
      </c>
      <c r="T33" s="24"/>
      <c r="U33" s="24"/>
      <c r="V33" s="24"/>
      <c r="W33" s="24"/>
      <c r="X33" s="24"/>
      <c r="Y33" s="24"/>
      <c r="Z33" s="24"/>
      <c r="AA33" s="1"/>
    </row>
    <row r="34" s="25" customFormat="true" ht="37.3" hidden="false" customHeight="false" outlineLevel="0" collapsed="false">
      <c r="A34" s="26" t="n">
        <v>24</v>
      </c>
      <c r="B34" s="27" t="s">
        <v>69</v>
      </c>
      <c r="C34" s="27" t="s">
        <v>70</v>
      </c>
      <c r="D34" s="28" t="s">
        <v>25</v>
      </c>
      <c r="E34" s="29" t="n">
        <v>27100</v>
      </c>
      <c r="F34" s="29" t="n">
        <f aca="false">E34/1.2</f>
        <v>22583.3333333333</v>
      </c>
      <c r="G34" s="30" t="n">
        <v>1</v>
      </c>
      <c r="H34" s="31" t="n">
        <f aca="false">G34*F34</f>
        <v>22583.3333333333</v>
      </c>
      <c r="I34" s="32"/>
      <c r="J34" s="33" t="n">
        <f aca="false">A34</f>
        <v>24</v>
      </c>
      <c r="K34" s="34" t="str">
        <f aca="false">B34</f>
        <v>Клапан направляющий автогидроподъемника MCD 32/2202-PS 32.011.115</v>
      </c>
      <c r="L34" s="35"/>
      <c r="M34" s="36"/>
      <c r="N34" s="37" t="str">
        <f aca="false">D34</f>
        <v>шт</v>
      </c>
      <c r="O34" s="38" t="n">
        <v>27100</v>
      </c>
      <c r="P34" s="38" t="n">
        <f aca="false">F34</f>
        <v>22583.3333333333</v>
      </c>
      <c r="Q34" s="39"/>
      <c r="R34" s="40" t="n">
        <v>1</v>
      </c>
      <c r="S34" s="41" t="n">
        <f aca="false">R34*Q34</f>
        <v>0</v>
      </c>
      <c r="T34" s="24"/>
      <c r="U34" s="24"/>
      <c r="V34" s="24"/>
      <c r="W34" s="24"/>
      <c r="X34" s="24"/>
      <c r="Y34" s="24"/>
      <c r="Z34" s="24"/>
      <c r="AA34" s="1"/>
    </row>
    <row r="35" s="25" customFormat="true" ht="25.35" hidden="false" customHeight="false" outlineLevel="0" collapsed="false">
      <c r="A35" s="26" t="n">
        <v>25</v>
      </c>
      <c r="B35" s="27" t="s">
        <v>71</v>
      </c>
      <c r="C35" s="27" t="s">
        <v>72</v>
      </c>
      <c r="D35" s="28" t="s">
        <v>25</v>
      </c>
      <c r="E35" s="29" t="n">
        <v>4200</v>
      </c>
      <c r="F35" s="29" t="n">
        <f aca="false">E35/1.2</f>
        <v>3500</v>
      </c>
      <c r="G35" s="30" t="n">
        <v>2</v>
      </c>
      <c r="H35" s="31" t="n">
        <f aca="false">G35*F35</f>
        <v>7000</v>
      </c>
      <c r="I35" s="32"/>
      <c r="J35" s="33" t="n">
        <f aca="false">A35</f>
        <v>25</v>
      </c>
      <c r="K35" s="34" t="str">
        <f aca="false">B35</f>
        <v>Комплект колодок стояночного тормоза 6193750M91 Terex</v>
      </c>
      <c r="L35" s="35"/>
      <c r="M35" s="36"/>
      <c r="N35" s="37" t="str">
        <f aca="false">D35</f>
        <v>шт</v>
      </c>
      <c r="O35" s="38" t="n">
        <v>4200</v>
      </c>
      <c r="P35" s="38" t="n">
        <f aca="false">F35</f>
        <v>3500</v>
      </c>
      <c r="Q35" s="39"/>
      <c r="R35" s="40" t="n">
        <v>2</v>
      </c>
      <c r="S35" s="41" t="n">
        <f aca="false">R35*Q35</f>
        <v>0</v>
      </c>
      <c r="T35" s="24"/>
      <c r="U35" s="24"/>
      <c r="V35" s="24"/>
      <c r="W35" s="24"/>
      <c r="X35" s="24"/>
      <c r="Y35" s="24"/>
      <c r="Z35" s="24"/>
      <c r="AA35" s="1"/>
    </row>
    <row r="36" s="25" customFormat="true" ht="25.35" hidden="false" customHeight="false" outlineLevel="0" collapsed="false">
      <c r="A36" s="26" t="n">
        <v>26</v>
      </c>
      <c r="B36" s="27" t="s">
        <v>73</v>
      </c>
      <c r="C36" s="27" t="s">
        <v>74</v>
      </c>
      <c r="D36" s="28" t="s">
        <v>25</v>
      </c>
      <c r="E36" s="29" t="n">
        <v>1500</v>
      </c>
      <c r="F36" s="29" t="n">
        <f aca="false">E36/1.2</f>
        <v>1250</v>
      </c>
      <c r="G36" s="30" t="n">
        <v>1</v>
      </c>
      <c r="H36" s="31" t="n">
        <f aca="false">G36*F36</f>
        <v>1250</v>
      </c>
      <c r="I36" s="32"/>
      <c r="J36" s="33" t="n">
        <f aca="false">A36</f>
        <v>26</v>
      </c>
      <c r="K36" s="34" t="str">
        <f aca="false">B36</f>
        <v>Комплект сервисный U5MK1017 Terex</v>
      </c>
      <c r="L36" s="35"/>
      <c r="M36" s="36"/>
      <c r="N36" s="37" t="str">
        <f aca="false">D36</f>
        <v>шт</v>
      </c>
      <c r="O36" s="38" t="n">
        <v>1500</v>
      </c>
      <c r="P36" s="38" t="n">
        <f aca="false">F36</f>
        <v>1250</v>
      </c>
      <c r="Q36" s="39"/>
      <c r="R36" s="40" t="n">
        <v>1</v>
      </c>
      <c r="S36" s="41" t="n">
        <f aca="false">R36*Q36</f>
        <v>0</v>
      </c>
      <c r="T36" s="24"/>
      <c r="U36" s="24"/>
      <c r="V36" s="24"/>
      <c r="W36" s="24"/>
      <c r="X36" s="24"/>
      <c r="Y36" s="24"/>
      <c r="Z36" s="24"/>
      <c r="AA36" s="1"/>
    </row>
    <row r="37" s="25" customFormat="true" ht="25.35" hidden="false" customHeight="false" outlineLevel="0" collapsed="false">
      <c r="A37" s="26" t="n">
        <v>27</v>
      </c>
      <c r="B37" s="27" t="s">
        <v>75</v>
      </c>
      <c r="C37" s="27" t="s">
        <v>76</v>
      </c>
      <c r="D37" s="28" t="s">
        <v>25</v>
      </c>
      <c r="E37" s="29" t="n">
        <v>10500</v>
      </c>
      <c r="F37" s="29" t="n">
        <f aca="false">E37/1.2</f>
        <v>8750</v>
      </c>
      <c r="G37" s="30" t="n">
        <v>1</v>
      </c>
      <c r="H37" s="31" t="n">
        <f aca="false">G37*F37</f>
        <v>8750</v>
      </c>
      <c r="I37" s="32"/>
      <c r="J37" s="33" t="n">
        <f aca="false">A37</f>
        <v>27</v>
      </c>
      <c r="K37" s="34" t="str">
        <f aca="false">B37</f>
        <v>Насос водооткачивающий кабины 21.12.011 ГТТ</v>
      </c>
      <c r="L37" s="35"/>
      <c r="M37" s="36"/>
      <c r="N37" s="37" t="str">
        <f aca="false">D37</f>
        <v>шт</v>
      </c>
      <c r="O37" s="38" t="n">
        <v>10500</v>
      </c>
      <c r="P37" s="38" t="n">
        <f aca="false">F37</f>
        <v>8750</v>
      </c>
      <c r="Q37" s="39"/>
      <c r="R37" s="40" t="n">
        <v>1</v>
      </c>
      <c r="S37" s="41" t="n">
        <f aca="false">R37*Q37</f>
        <v>0</v>
      </c>
      <c r="T37" s="24"/>
      <c r="U37" s="24"/>
      <c r="V37" s="24"/>
      <c r="W37" s="24"/>
      <c r="X37" s="24"/>
      <c r="Y37" s="24"/>
      <c r="Z37" s="24"/>
      <c r="AA37" s="1"/>
    </row>
    <row r="38" s="25" customFormat="true" ht="25.35" hidden="false" customHeight="false" outlineLevel="0" collapsed="false">
      <c r="A38" s="26" t="n">
        <v>28</v>
      </c>
      <c r="B38" s="27" t="s">
        <v>77</v>
      </c>
      <c r="C38" s="27" t="s">
        <v>78</v>
      </c>
      <c r="D38" s="28" t="s">
        <v>25</v>
      </c>
      <c r="E38" s="29" t="n">
        <v>55000</v>
      </c>
      <c r="F38" s="29" t="n">
        <f aca="false">E38/1.2</f>
        <v>45833.3333333333</v>
      </c>
      <c r="G38" s="30" t="n">
        <v>3</v>
      </c>
      <c r="H38" s="31" t="n">
        <f aca="false">G38*F38</f>
        <v>137500</v>
      </c>
      <c r="I38" s="32"/>
      <c r="J38" s="33" t="n">
        <f aca="false">A38</f>
        <v>28</v>
      </c>
      <c r="K38" s="34" t="str">
        <f aca="false">B38</f>
        <v>Насос водооткачивающий кабины 34039-4232210-50</v>
      </c>
      <c r="L38" s="35"/>
      <c r="M38" s="36"/>
      <c r="N38" s="37" t="str">
        <f aca="false">D38</f>
        <v>шт</v>
      </c>
      <c r="O38" s="38" t="n">
        <v>55000</v>
      </c>
      <c r="P38" s="38" t="n">
        <f aca="false">F38</f>
        <v>45833.3333333333</v>
      </c>
      <c r="Q38" s="39"/>
      <c r="R38" s="40" t="n">
        <v>3</v>
      </c>
      <c r="S38" s="41" t="n">
        <f aca="false">R38*Q38</f>
        <v>0</v>
      </c>
      <c r="T38" s="24"/>
      <c r="U38" s="24"/>
      <c r="V38" s="24"/>
      <c r="W38" s="24"/>
      <c r="X38" s="24"/>
      <c r="Y38" s="24"/>
      <c r="Z38" s="24"/>
      <c r="AA38" s="1"/>
    </row>
    <row r="39" s="25" customFormat="true" ht="25.35" hidden="false" customHeight="false" outlineLevel="0" collapsed="false">
      <c r="A39" s="26" t="n">
        <v>29</v>
      </c>
      <c r="B39" s="27" t="s">
        <v>79</v>
      </c>
      <c r="C39" s="27" t="s">
        <v>80</v>
      </c>
      <c r="D39" s="28" t="s">
        <v>25</v>
      </c>
      <c r="E39" s="29" t="n">
        <v>19000</v>
      </c>
      <c r="F39" s="29" t="n">
        <f aca="false">E39/1.2</f>
        <v>15833.3333333333</v>
      </c>
      <c r="G39" s="30" t="n">
        <v>1</v>
      </c>
      <c r="H39" s="31" t="n">
        <f aca="false">G39*F39</f>
        <v>15833.3333333333</v>
      </c>
      <c r="I39" s="32"/>
      <c r="J39" s="33" t="n">
        <f aca="false">A39</f>
        <v>29</v>
      </c>
      <c r="K39" s="34" t="str">
        <f aca="false">B39</f>
        <v>Насос водооткачивающий кабины 8.12.020-1 МТЛБ в сборе</v>
      </c>
      <c r="L39" s="35"/>
      <c r="M39" s="36"/>
      <c r="N39" s="37" t="str">
        <f aca="false">D39</f>
        <v>шт</v>
      </c>
      <c r="O39" s="38" t="n">
        <v>19000</v>
      </c>
      <c r="P39" s="38" t="n">
        <f aca="false">F39</f>
        <v>15833.3333333333</v>
      </c>
      <c r="Q39" s="39"/>
      <c r="R39" s="40" t="n">
        <v>1</v>
      </c>
      <c r="S39" s="41" t="n">
        <f aca="false">R39*Q39</f>
        <v>0</v>
      </c>
      <c r="T39" s="24"/>
      <c r="U39" s="24"/>
      <c r="V39" s="24"/>
      <c r="W39" s="24"/>
      <c r="X39" s="24"/>
      <c r="Y39" s="24"/>
      <c r="Z39" s="24"/>
      <c r="AA39" s="1"/>
    </row>
    <row r="40" s="25" customFormat="true" ht="37.3" hidden="false" customHeight="false" outlineLevel="0" collapsed="false">
      <c r="A40" s="26" t="n">
        <v>30</v>
      </c>
      <c r="B40" s="27" t="s">
        <v>81</v>
      </c>
      <c r="C40" s="27" t="s">
        <v>82</v>
      </c>
      <c r="D40" s="28" t="s">
        <v>25</v>
      </c>
      <c r="E40" s="29" t="n">
        <v>3800</v>
      </c>
      <c r="F40" s="29" t="n">
        <f aca="false">E40/1.2</f>
        <v>3166.66666666667</v>
      </c>
      <c r="G40" s="30" t="n">
        <v>1</v>
      </c>
      <c r="H40" s="31" t="n">
        <f aca="false">G40*F40</f>
        <v>3166.66666666667</v>
      </c>
      <c r="I40" s="32"/>
      <c r="J40" s="33" t="n">
        <f aca="false">A40</f>
        <v>30</v>
      </c>
      <c r="K40" s="34" t="str">
        <f aca="false">B40</f>
        <v>Насос гидравлический шестеренный (левое вращение) НШ 10Е-3Л ДТ-75,МТЗ,Т-40</v>
      </c>
      <c r="L40" s="35"/>
      <c r="M40" s="36"/>
      <c r="N40" s="37" t="str">
        <f aca="false">D40</f>
        <v>шт</v>
      </c>
      <c r="O40" s="38" t="n">
        <v>3800</v>
      </c>
      <c r="P40" s="38" t="n">
        <f aca="false">F40</f>
        <v>3166.66666666667</v>
      </c>
      <c r="Q40" s="39"/>
      <c r="R40" s="40" t="n">
        <v>1</v>
      </c>
      <c r="S40" s="41" t="n">
        <f aca="false">R40*Q40</f>
        <v>0</v>
      </c>
      <c r="T40" s="24"/>
      <c r="U40" s="24"/>
      <c r="V40" s="24"/>
      <c r="W40" s="24"/>
      <c r="X40" s="24"/>
      <c r="Y40" s="24"/>
      <c r="Z40" s="24"/>
      <c r="AA40" s="1"/>
    </row>
    <row r="41" s="25" customFormat="true" ht="25.35" hidden="false" customHeight="false" outlineLevel="0" collapsed="false">
      <c r="A41" s="26" t="n">
        <v>31</v>
      </c>
      <c r="B41" s="27" t="s">
        <v>83</v>
      </c>
      <c r="C41" s="27" t="s">
        <v>84</v>
      </c>
      <c r="D41" s="28" t="s">
        <v>25</v>
      </c>
      <c r="E41" s="42" t="n">
        <v>786.65</v>
      </c>
      <c r="F41" s="29" t="n">
        <f aca="false">E41/1.2</f>
        <v>655.541666666667</v>
      </c>
      <c r="G41" s="30" t="n">
        <v>10</v>
      </c>
      <c r="H41" s="31" t="n">
        <f aca="false">G41*F41</f>
        <v>6555.41666666667</v>
      </c>
      <c r="I41" s="32"/>
      <c r="J41" s="33" t="n">
        <f aca="false">A41</f>
        <v>31</v>
      </c>
      <c r="K41" s="34" t="str">
        <f aca="false">B41</f>
        <v>Палец звена гусеницы РМШ 0073 00 3209006 010</v>
      </c>
      <c r="L41" s="35"/>
      <c r="M41" s="36"/>
      <c r="N41" s="37" t="str">
        <f aca="false">D41</f>
        <v>шт</v>
      </c>
      <c r="O41" s="43" t="n">
        <v>786.65</v>
      </c>
      <c r="P41" s="38" t="n">
        <f aca="false">F41</f>
        <v>655.541666666667</v>
      </c>
      <c r="Q41" s="39"/>
      <c r="R41" s="40" t="n">
        <v>10</v>
      </c>
      <c r="S41" s="41" t="n">
        <f aca="false">R41*Q41</f>
        <v>0</v>
      </c>
      <c r="T41" s="24"/>
      <c r="U41" s="24"/>
      <c r="V41" s="24"/>
      <c r="W41" s="24"/>
      <c r="X41" s="24"/>
      <c r="Y41" s="24"/>
      <c r="Z41" s="24"/>
      <c r="AA41" s="1"/>
    </row>
    <row r="42" s="25" customFormat="true" ht="25.35" hidden="false" customHeight="false" outlineLevel="0" collapsed="false">
      <c r="A42" s="26" t="n">
        <v>32</v>
      </c>
      <c r="B42" s="27" t="s">
        <v>85</v>
      </c>
      <c r="C42" s="27" t="s">
        <v>86</v>
      </c>
      <c r="D42" s="28" t="s">
        <v>25</v>
      </c>
      <c r="E42" s="42" t="n">
        <v>950.4</v>
      </c>
      <c r="F42" s="29" t="n">
        <f aca="false">E42/1.2</f>
        <v>792</v>
      </c>
      <c r="G42" s="30" t="n">
        <v>10</v>
      </c>
      <c r="H42" s="31" t="n">
        <f aca="false">G42*F42</f>
        <v>7920</v>
      </c>
      <c r="I42" s="32"/>
      <c r="J42" s="33" t="n">
        <f aca="false">A42</f>
        <v>32</v>
      </c>
      <c r="K42" s="34" t="str">
        <f aca="false">B42</f>
        <v>Резец буровой РП-3 (аналоги ЗС-40, ЗН-3)</v>
      </c>
      <c r="L42" s="35"/>
      <c r="M42" s="36"/>
      <c r="N42" s="37" t="str">
        <f aca="false">D42</f>
        <v>шт</v>
      </c>
      <c r="O42" s="43" t="n">
        <v>950.4</v>
      </c>
      <c r="P42" s="38" t="n">
        <f aca="false">F42</f>
        <v>792</v>
      </c>
      <c r="Q42" s="39"/>
      <c r="R42" s="40" t="n">
        <v>10</v>
      </c>
      <c r="S42" s="41" t="n">
        <f aca="false">R42*Q42</f>
        <v>0</v>
      </c>
      <c r="T42" s="24"/>
      <c r="U42" s="24"/>
      <c r="V42" s="24"/>
      <c r="W42" s="24"/>
      <c r="X42" s="24"/>
      <c r="Y42" s="24"/>
      <c r="Z42" s="24"/>
      <c r="AA42" s="1"/>
    </row>
    <row r="43" s="25" customFormat="true" ht="13.8" hidden="false" customHeight="false" outlineLevel="0" collapsed="false">
      <c r="A43" s="26" t="n">
        <v>33</v>
      </c>
      <c r="B43" s="27" t="s">
        <v>87</v>
      </c>
      <c r="C43" s="27" t="s">
        <v>88</v>
      </c>
      <c r="D43" s="28" t="s">
        <v>25</v>
      </c>
      <c r="E43" s="42" t="n">
        <v>950.4</v>
      </c>
      <c r="F43" s="29" t="n">
        <f aca="false">E43/1.2</f>
        <v>792</v>
      </c>
      <c r="G43" s="30" t="n">
        <v>25</v>
      </c>
      <c r="H43" s="31" t="n">
        <f aca="false">G43*F43</f>
        <v>19800</v>
      </c>
      <c r="I43" s="32"/>
      <c r="J43" s="33" t="n">
        <f aca="false">A43</f>
        <v>33</v>
      </c>
      <c r="K43" s="34" t="str">
        <f aca="false">B43</f>
        <v>Резец плоский</v>
      </c>
      <c r="L43" s="35"/>
      <c r="M43" s="36"/>
      <c r="N43" s="37" t="str">
        <f aca="false">D43</f>
        <v>шт</v>
      </c>
      <c r="O43" s="43" t="n">
        <v>950.4</v>
      </c>
      <c r="P43" s="38" t="n">
        <f aca="false">F43</f>
        <v>792</v>
      </c>
      <c r="Q43" s="39"/>
      <c r="R43" s="40" t="n">
        <v>25</v>
      </c>
      <c r="S43" s="41" t="n">
        <f aca="false">R43*Q43</f>
        <v>0</v>
      </c>
      <c r="T43" s="24"/>
      <c r="U43" s="24"/>
      <c r="V43" s="24"/>
      <c r="W43" s="24"/>
      <c r="X43" s="24"/>
      <c r="Y43" s="24"/>
      <c r="Z43" s="24"/>
      <c r="AA43" s="1"/>
    </row>
    <row r="44" s="25" customFormat="true" ht="13.8" hidden="false" customHeight="false" outlineLevel="0" collapsed="false">
      <c r="A44" s="26" t="n">
        <v>34</v>
      </c>
      <c r="B44" s="27" t="s">
        <v>89</v>
      </c>
      <c r="C44" s="27" t="s">
        <v>90</v>
      </c>
      <c r="D44" s="28" t="s">
        <v>25</v>
      </c>
      <c r="E44" s="29" t="n">
        <v>2837.02</v>
      </c>
      <c r="F44" s="29" t="n">
        <f aca="false">E44/1.2</f>
        <v>2364.18333333333</v>
      </c>
      <c r="G44" s="30" t="n">
        <v>8</v>
      </c>
      <c r="H44" s="31" t="n">
        <f aca="false">G44*F44</f>
        <v>18913.4666666667</v>
      </c>
      <c r="I44" s="32"/>
      <c r="J44" s="33" t="n">
        <f aca="false">A44</f>
        <v>34</v>
      </c>
      <c r="K44" s="34" t="str">
        <f aca="false">B44</f>
        <v>Резец РБМ-35</v>
      </c>
      <c r="L44" s="35"/>
      <c r="M44" s="36"/>
      <c r="N44" s="37" t="str">
        <f aca="false">D44</f>
        <v>шт</v>
      </c>
      <c r="O44" s="38" t="n">
        <v>2837.02</v>
      </c>
      <c r="P44" s="38" t="n">
        <f aca="false">F44</f>
        <v>2364.18333333333</v>
      </c>
      <c r="Q44" s="39"/>
      <c r="R44" s="40" t="n">
        <v>8</v>
      </c>
      <c r="S44" s="41" t="n">
        <f aca="false">R44*Q44</f>
        <v>0</v>
      </c>
      <c r="T44" s="24"/>
      <c r="U44" s="24"/>
      <c r="V44" s="24"/>
      <c r="W44" s="24"/>
      <c r="X44" s="24"/>
      <c r="Y44" s="24"/>
      <c r="Z44" s="24"/>
      <c r="AA44" s="1"/>
    </row>
    <row r="45" s="25" customFormat="true" ht="13.8" hidden="false" customHeight="false" outlineLevel="0" collapsed="false">
      <c r="A45" s="26" t="n">
        <v>35</v>
      </c>
      <c r="B45" s="27" t="s">
        <v>91</v>
      </c>
      <c r="C45" s="27" t="s">
        <v>92</v>
      </c>
      <c r="D45" s="28" t="s">
        <v>25</v>
      </c>
      <c r="E45" s="42" t="n">
        <v>535.2</v>
      </c>
      <c r="F45" s="29" t="n">
        <f aca="false">E45/1.2</f>
        <v>446</v>
      </c>
      <c r="G45" s="30" t="n">
        <v>34</v>
      </c>
      <c r="H45" s="31" t="n">
        <f aca="false">G45*F45</f>
        <v>15164</v>
      </c>
      <c r="I45" s="32"/>
      <c r="J45" s="33" t="n">
        <f aca="false">A45</f>
        <v>35</v>
      </c>
      <c r="K45" s="34" t="str">
        <f aca="false">B45</f>
        <v>Резец траншейный С27Е-12,3</v>
      </c>
      <c r="L45" s="35"/>
      <c r="M45" s="36"/>
      <c r="N45" s="37" t="str">
        <f aca="false">D45</f>
        <v>шт</v>
      </c>
      <c r="O45" s="43" t="n">
        <v>535.2</v>
      </c>
      <c r="P45" s="38" t="n">
        <f aca="false">F45</f>
        <v>446</v>
      </c>
      <c r="Q45" s="39"/>
      <c r="R45" s="40" t="n">
        <v>34</v>
      </c>
      <c r="S45" s="41" t="n">
        <f aca="false">R45*Q45</f>
        <v>0</v>
      </c>
      <c r="T45" s="24"/>
      <c r="U45" s="24"/>
      <c r="V45" s="24"/>
      <c r="W45" s="24"/>
      <c r="X45" s="24"/>
      <c r="Y45" s="24"/>
      <c r="Z45" s="24"/>
      <c r="AA45" s="1"/>
    </row>
    <row r="46" s="25" customFormat="true" ht="25.35" hidden="false" customHeight="false" outlineLevel="0" collapsed="false">
      <c r="A46" s="26" t="n">
        <v>36</v>
      </c>
      <c r="B46" s="27" t="s">
        <v>93</v>
      </c>
      <c r="C46" s="27" t="s">
        <v>94</v>
      </c>
      <c r="D46" s="28" t="s">
        <v>25</v>
      </c>
      <c r="E46" s="42" t="n">
        <v>200</v>
      </c>
      <c r="F46" s="29" t="n">
        <f aca="false">E46/1.2</f>
        <v>166.666666666667</v>
      </c>
      <c r="G46" s="30" t="n">
        <v>3</v>
      </c>
      <c r="H46" s="31" t="n">
        <f aca="false">G46*F46</f>
        <v>500</v>
      </c>
      <c r="I46" s="32"/>
      <c r="J46" s="33" t="n">
        <f aca="false">A46</f>
        <v>36</v>
      </c>
      <c r="K46" s="34" t="str">
        <f aca="false">B46</f>
        <v>Ремень приводной поликлиновой генератора 6РК-890</v>
      </c>
      <c r="L46" s="35"/>
      <c r="M46" s="36"/>
      <c r="N46" s="37" t="str">
        <f aca="false">D46</f>
        <v>шт</v>
      </c>
      <c r="O46" s="43" t="n">
        <v>200</v>
      </c>
      <c r="P46" s="38" t="n">
        <f aca="false">F46</f>
        <v>166.666666666667</v>
      </c>
      <c r="Q46" s="39"/>
      <c r="R46" s="40" t="n">
        <v>3</v>
      </c>
      <c r="S46" s="41" t="n">
        <f aca="false">R46*Q46</f>
        <v>0</v>
      </c>
      <c r="T46" s="24"/>
      <c r="U46" s="24"/>
      <c r="V46" s="24"/>
      <c r="W46" s="24"/>
      <c r="X46" s="24"/>
      <c r="Y46" s="24"/>
      <c r="Z46" s="24"/>
      <c r="AA46" s="1"/>
    </row>
    <row r="47" s="25" customFormat="true" ht="25.35" hidden="false" customHeight="false" outlineLevel="0" collapsed="false">
      <c r="A47" s="26" t="n">
        <v>37</v>
      </c>
      <c r="B47" s="27" t="s">
        <v>95</v>
      </c>
      <c r="C47" s="27" t="s">
        <v>96</v>
      </c>
      <c r="D47" s="28" t="s">
        <v>25</v>
      </c>
      <c r="E47" s="29" t="n">
        <v>5100</v>
      </c>
      <c r="F47" s="29" t="n">
        <f aca="false">E47/1.2</f>
        <v>4250</v>
      </c>
      <c r="G47" s="30" t="n">
        <v>1</v>
      </c>
      <c r="H47" s="31" t="n">
        <f aca="false">G47*F47</f>
        <v>4250</v>
      </c>
      <c r="I47" s="32"/>
      <c r="J47" s="33" t="n">
        <f aca="false">A47</f>
        <v>37</v>
      </c>
      <c r="K47" s="34" t="str">
        <f aca="false">B47</f>
        <v>Ремкомплект гидроцилиндра 10X0092 Terex</v>
      </c>
      <c r="L47" s="35"/>
      <c r="M47" s="36"/>
      <c r="N47" s="37" t="str">
        <f aca="false">D47</f>
        <v>шт</v>
      </c>
      <c r="O47" s="38" t="n">
        <v>5100</v>
      </c>
      <c r="P47" s="38" t="n">
        <f aca="false">F47</f>
        <v>4250</v>
      </c>
      <c r="Q47" s="39"/>
      <c r="R47" s="40" t="n">
        <v>1</v>
      </c>
      <c r="S47" s="41" t="n">
        <f aca="false">R47*Q47</f>
        <v>0</v>
      </c>
      <c r="T47" s="24"/>
      <c r="U47" s="24"/>
      <c r="V47" s="24"/>
      <c r="W47" s="24"/>
      <c r="X47" s="24"/>
      <c r="Y47" s="24"/>
      <c r="Z47" s="24"/>
      <c r="AA47" s="1"/>
    </row>
    <row r="48" s="25" customFormat="true" ht="25.35" hidden="false" customHeight="false" outlineLevel="0" collapsed="false">
      <c r="A48" s="26" t="n">
        <v>38</v>
      </c>
      <c r="B48" s="27" t="s">
        <v>97</v>
      </c>
      <c r="C48" s="27" t="s">
        <v>98</v>
      </c>
      <c r="D48" s="28" t="s">
        <v>25</v>
      </c>
      <c r="E48" s="29" t="n">
        <v>5500</v>
      </c>
      <c r="F48" s="29" t="n">
        <f aca="false">E48/1.2</f>
        <v>4583.33333333333</v>
      </c>
      <c r="G48" s="30" t="n">
        <v>2</v>
      </c>
      <c r="H48" s="31" t="n">
        <f aca="false">G48*F48</f>
        <v>9166.66666666667</v>
      </c>
      <c r="I48" s="32"/>
      <c r="J48" s="33" t="n">
        <f aca="false">A48</f>
        <v>38</v>
      </c>
      <c r="K48" s="34" t="str">
        <f aca="false">B48</f>
        <v>Ремкомплект гидроцилиндра 10X0155 Terex</v>
      </c>
      <c r="L48" s="35"/>
      <c r="M48" s="36"/>
      <c r="N48" s="37" t="str">
        <f aca="false">D48</f>
        <v>шт</v>
      </c>
      <c r="O48" s="38" t="n">
        <v>5500</v>
      </c>
      <c r="P48" s="38" t="n">
        <f aca="false">F48</f>
        <v>4583.33333333333</v>
      </c>
      <c r="Q48" s="39"/>
      <c r="R48" s="40" t="n">
        <v>2</v>
      </c>
      <c r="S48" s="41" t="n">
        <f aca="false">R48*Q48</f>
        <v>0</v>
      </c>
      <c r="T48" s="24"/>
      <c r="U48" s="24"/>
      <c r="V48" s="24"/>
      <c r="W48" s="24"/>
      <c r="X48" s="24"/>
      <c r="Y48" s="24"/>
      <c r="Z48" s="24"/>
      <c r="AA48" s="1"/>
    </row>
    <row r="49" s="25" customFormat="true" ht="25.35" hidden="false" customHeight="false" outlineLevel="0" collapsed="false">
      <c r="A49" s="26" t="n">
        <v>39</v>
      </c>
      <c r="B49" s="27" t="s">
        <v>99</v>
      </c>
      <c r="C49" s="27" t="s">
        <v>100</v>
      </c>
      <c r="D49" s="28" t="s">
        <v>25</v>
      </c>
      <c r="E49" s="29" t="n">
        <v>3800</v>
      </c>
      <c r="F49" s="29" t="n">
        <f aca="false">E49/1.2</f>
        <v>3166.66666666667</v>
      </c>
      <c r="G49" s="30" t="n">
        <v>1</v>
      </c>
      <c r="H49" s="31" t="n">
        <f aca="false">G49*F49</f>
        <v>3166.66666666667</v>
      </c>
      <c r="I49" s="32"/>
      <c r="J49" s="33" t="n">
        <f aca="false">A49</f>
        <v>39</v>
      </c>
      <c r="K49" s="34" t="str">
        <f aca="false">B49</f>
        <v>Ремкомплект гидроцилиндра 10X1354 Terex</v>
      </c>
      <c r="L49" s="35"/>
      <c r="M49" s="36"/>
      <c r="N49" s="37" t="str">
        <f aca="false">D49</f>
        <v>шт</v>
      </c>
      <c r="O49" s="38" t="n">
        <v>3800</v>
      </c>
      <c r="P49" s="38" t="n">
        <f aca="false">F49</f>
        <v>3166.66666666667</v>
      </c>
      <c r="Q49" s="39"/>
      <c r="R49" s="40" t="n">
        <v>1</v>
      </c>
      <c r="S49" s="41" t="n">
        <f aca="false">R49*Q49</f>
        <v>0</v>
      </c>
      <c r="T49" s="24"/>
      <c r="U49" s="24"/>
      <c r="V49" s="24"/>
      <c r="W49" s="24"/>
      <c r="X49" s="24"/>
      <c r="Y49" s="24"/>
      <c r="Z49" s="24"/>
      <c r="AA49" s="1"/>
    </row>
    <row r="50" s="25" customFormat="true" ht="25.35" hidden="false" customHeight="false" outlineLevel="0" collapsed="false">
      <c r="A50" s="26" t="n">
        <v>40</v>
      </c>
      <c r="B50" s="27" t="s">
        <v>101</v>
      </c>
      <c r="C50" s="27" t="s">
        <v>102</v>
      </c>
      <c r="D50" s="28" t="s">
        <v>25</v>
      </c>
      <c r="E50" s="29" t="n">
        <v>4500</v>
      </c>
      <c r="F50" s="29" t="n">
        <f aca="false">E50/1.2</f>
        <v>3750</v>
      </c>
      <c r="G50" s="30" t="n">
        <v>1</v>
      </c>
      <c r="H50" s="31" t="n">
        <f aca="false">G50*F50</f>
        <v>3750</v>
      </c>
      <c r="I50" s="32"/>
      <c r="J50" s="33" t="n">
        <f aca="false">A50</f>
        <v>40</v>
      </c>
      <c r="K50" s="34" t="str">
        <f aca="false">B50</f>
        <v>Ремкомплект гидроцилиндра 10X1755 Terex</v>
      </c>
      <c r="L50" s="35"/>
      <c r="M50" s="36"/>
      <c r="N50" s="37" t="str">
        <f aca="false">D50</f>
        <v>шт</v>
      </c>
      <c r="O50" s="38" t="n">
        <v>4500</v>
      </c>
      <c r="P50" s="38" t="n">
        <f aca="false">F50</f>
        <v>3750</v>
      </c>
      <c r="Q50" s="39"/>
      <c r="R50" s="40" t="n">
        <v>1</v>
      </c>
      <c r="S50" s="41" t="n">
        <f aca="false">R50*Q50</f>
        <v>0</v>
      </c>
      <c r="T50" s="24"/>
      <c r="U50" s="24"/>
      <c r="V50" s="24"/>
      <c r="W50" s="24"/>
      <c r="X50" s="24"/>
      <c r="Y50" s="24"/>
      <c r="Z50" s="24"/>
      <c r="AA50" s="1"/>
    </row>
    <row r="51" s="25" customFormat="true" ht="25.35" hidden="false" customHeight="false" outlineLevel="0" collapsed="false">
      <c r="A51" s="26" t="n">
        <v>41</v>
      </c>
      <c r="B51" s="27" t="s">
        <v>103</v>
      </c>
      <c r="C51" s="27" t="s">
        <v>104</v>
      </c>
      <c r="D51" s="28" t="s">
        <v>25</v>
      </c>
      <c r="E51" s="29" t="n">
        <v>3700</v>
      </c>
      <c r="F51" s="29" t="n">
        <f aca="false">E51/1.2</f>
        <v>3083.33333333333</v>
      </c>
      <c r="G51" s="30" t="n">
        <v>1</v>
      </c>
      <c r="H51" s="31" t="n">
        <f aca="false">G51*F51</f>
        <v>3083.33333333333</v>
      </c>
      <c r="I51" s="32"/>
      <c r="J51" s="33" t="n">
        <f aca="false">A51</f>
        <v>41</v>
      </c>
      <c r="K51" s="34" t="str">
        <f aca="false">B51</f>
        <v>Ремкомплект гидроцилиндра 10X1776 Terex</v>
      </c>
      <c r="L51" s="35"/>
      <c r="M51" s="36"/>
      <c r="N51" s="37" t="str">
        <f aca="false">D51</f>
        <v>шт</v>
      </c>
      <c r="O51" s="38" t="n">
        <v>3700</v>
      </c>
      <c r="P51" s="38" t="n">
        <f aca="false">F51</f>
        <v>3083.33333333333</v>
      </c>
      <c r="Q51" s="39"/>
      <c r="R51" s="40" t="n">
        <v>1</v>
      </c>
      <c r="S51" s="41" t="n">
        <f aca="false">R51*Q51</f>
        <v>0</v>
      </c>
      <c r="T51" s="24"/>
      <c r="U51" s="24"/>
      <c r="V51" s="24"/>
      <c r="W51" s="24"/>
      <c r="X51" s="24"/>
      <c r="Y51" s="24"/>
      <c r="Z51" s="24"/>
      <c r="AA51" s="1"/>
    </row>
    <row r="52" s="25" customFormat="true" ht="25.35" hidden="false" customHeight="false" outlineLevel="0" collapsed="false">
      <c r="A52" s="26" t="n">
        <v>42</v>
      </c>
      <c r="B52" s="27" t="s">
        <v>105</v>
      </c>
      <c r="C52" s="27" t="s">
        <v>106</v>
      </c>
      <c r="D52" s="28" t="s">
        <v>25</v>
      </c>
      <c r="E52" s="29" t="n">
        <v>5100</v>
      </c>
      <c r="F52" s="29" t="n">
        <f aca="false">E52/1.2</f>
        <v>4250</v>
      </c>
      <c r="G52" s="30" t="n">
        <v>1</v>
      </c>
      <c r="H52" s="31" t="n">
        <f aca="false">G52*F52</f>
        <v>4250</v>
      </c>
      <c r="I52" s="32"/>
      <c r="J52" s="33" t="n">
        <f aca="false">A52</f>
        <v>42</v>
      </c>
      <c r="K52" s="34" t="str">
        <f aca="false">B52</f>
        <v>Ремкомплект гидроцилиндра 10Х0197 115х65 Terex</v>
      </c>
      <c r="L52" s="35"/>
      <c r="M52" s="36"/>
      <c r="N52" s="37" t="str">
        <f aca="false">D52</f>
        <v>шт</v>
      </c>
      <c r="O52" s="38" t="n">
        <v>5100</v>
      </c>
      <c r="P52" s="38" t="n">
        <f aca="false">F52</f>
        <v>4250</v>
      </c>
      <c r="Q52" s="39"/>
      <c r="R52" s="40" t="n">
        <v>1</v>
      </c>
      <c r="S52" s="41" t="n">
        <f aca="false">R52*Q52</f>
        <v>0</v>
      </c>
      <c r="T52" s="24"/>
      <c r="U52" s="24"/>
      <c r="V52" s="24"/>
      <c r="W52" s="24"/>
      <c r="X52" s="24"/>
      <c r="Y52" s="24"/>
      <c r="Z52" s="24"/>
      <c r="AA52" s="1"/>
    </row>
    <row r="53" s="25" customFormat="true" ht="25.35" hidden="false" customHeight="false" outlineLevel="0" collapsed="false">
      <c r="A53" s="26" t="n">
        <v>43</v>
      </c>
      <c r="B53" s="27" t="s">
        <v>107</v>
      </c>
      <c r="C53" s="27" t="s">
        <v>108</v>
      </c>
      <c r="D53" s="28" t="s">
        <v>25</v>
      </c>
      <c r="E53" s="29" t="n">
        <v>5200</v>
      </c>
      <c r="F53" s="29" t="n">
        <f aca="false">E53/1.2</f>
        <v>4333.33333333333</v>
      </c>
      <c r="G53" s="30" t="n">
        <v>1</v>
      </c>
      <c r="H53" s="31" t="n">
        <f aca="false">G53*F53</f>
        <v>4333.33333333333</v>
      </c>
      <c r="I53" s="32"/>
      <c r="J53" s="33" t="n">
        <f aca="false">A53</f>
        <v>43</v>
      </c>
      <c r="K53" s="34" t="str">
        <f aca="false">B53</f>
        <v>Ремкомплект гидроцилиндра 10х0241 100х65 Terex</v>
      </c>
      <c r="L53" s="35"/>
      <c r="M53" s="36"/>
      <c r="N53" s="37" t="str">
        <f aca="false">D53</f>
        <v>шт</v>
      </c>
      <c r="O53" s="38" t="n">
        <v>5200</v>
      </c>
      <c r="P53" s="38" t="n">
        <f aca="false">F53</f>
        <v>4333.33333333333</v>
      </c>
      <c r="Q53" s="39"/>
      <c r="R53" s="40" t="n">
        <v>1</v>
      </c>
      <c r="S53" s="41" t="n">
        <f aca="false">R53*Q53</f>
        <v>0</v>
      </c>
      <c r="T53" s="24"/>
      <c r="U53" s="24"/>
      <c r="V53" s="24"/>
      <c r="W53" s="24"/>
      <c r="X53" s="24"/>
      <c r="Y53" s="24"/>
      <c r="Z53" s="24"/>
      <c r="AA53" s="1"/>
    </row>
    <row r="54" s="25" customFormat="true" ht="25.35" hidden="false" customHeight="false" outlineLevel="0" collapsed="false">
      <c r="A54" s="26" t="n">
        <v>44</v>
      </c>
      <c r="B54" s="27" t="s">
        <v>109</v>
      </c>
      <c r="C54" s="27" t="s">
        <v>110</v>
      </c>
      <c r="D54" s="28" t="s">
        <v>25</v>
      </c>
      <c r="E54" s="29" t="n">
        <v>4100</v>
      </c>
      <c r="F54" s="29" t="n">
        <f aca="false">E54/1.2</f>
        <v>3416.66666666667</v>
      </c>
      <c r="G54" s="30" t="n">
        <v>2</v>
      </c>
      <c r="H54" s="31" t="n">
        <f aca="false">G54*F54</f>
        <v>6833.33333333333</v>
      </c>
      <c r="I54" s="32"/>
      <c r="J54" s="33" t="n">
        <f aca="false">A54</f>
        <v>44</v>
      </c>
      <c r="K54" s="34" t="str">
        <f aca="false">B54</f>
        <v>Ремкомплект гидроцилиндра 10Х1783 70х45 Terex</v>
      </c>
      <c r="L54" s="35"/>
      <c r="M54" s="36"/>
      <c r="N54" s="37" t="str">
        <f aca="false">D54</f>
        <v>шт</v>
      </c>
      <c r="O54" s="38" t="n">
        <v>4100</v>
      </c>
      <c r="P54" s="38" t="n">
        <f aca="false">F54</f>
        <v>3416.66666666667</v>
      </c>
      <c r="Q54" s="39"/>
      <c r="R54" s="40" t="n">
        <v>2</v>
      </c>
      <c r="S54" s="41" t="n">
        <f aca="false">R54*Q54</f>
        <v>0</v>
      </c>
      <c r="T54" s="24"/>
      <c r="U54" s="24"/>
      <c r="V54" s="24"/>
      <c r="W54" s="24"/>
      <c r="X54" s="24"/>
      <c r="Y54" s="24"/>
      <c r="Z54" s="24"/>
      <c r="AA54" s="1"/>
    </row>
    <row r="55" s="25" customFormat="true" ht="49.75" hidden="false" customHeight="false" outlineLevel="0" collapsed="false">
      <c r="A55" s="26" t="n">
        <v>45</v>
      </c>
      <c r="B55" s="27" t="s">
        <v>111</v>
      </c>
      <c r="C55" s="27" t="s">
        <v>112</v>
      </c>
      <c r="D55" s="28" t="s">
        <v>25</v>
      </c>
      <c r="E55" s="29" t="n">
        <v>4700</v>
      </c>
      <c r="F55" s="29" t="n">
        <f aca="false">E55/1.2</f>
        <v>3916.66666666667</v>
      </c>
      <c r="G55" s="30" t="n">
        <v>2</v>
      </c>
      <c r="H55" s="31" t="n">
        <f aca="false">G55*F55</f>
        <v>7833.33333333333</v>
      </c>
      <c r="I55" s="32"/>
      <c r="J55" s="33" t="n">
        <f aca="false">A55</f>
        <v>45</v>
      </c>
      <c r="K55" s="34" t="str">
        <f aca="false">B55</f>
        <v>Ремкомплект главного тормозного цилиндра для экскаватора-погрузчика SG14706 Terex</v>
      </c>
      <c r="L55" s="35"/>
      <c r="M55" s="36"/>
      <c r="N55" s="37" t="str">
        <f aca="false">D55</f>
        <v>шт</v>
      </c>
      <c r="O55" s="38" t="n">
        <v>4700</v>
      </c>
      <c r="P55" s="38" t="n">
        <f aca="false">F55</f>
        <v>3916.66666666667</v>
      </c>
      <c r="Q55" s="39"/>
      <c r="R55" s="40" t="n">
        <v>2</v>
      </c>
      <c r="S55" s="41" t="n">
        <f aca="false">R55*Q55</f>
        <v>0</v>
      </c>
      <c r="T55" s="24"/>
      <c r="U55" s="24"/>
      <c r="V55" s="24"/>
      <c r="W55" s="24"/>
      <c r="X55" s="24"/>
      <c r="Y55" s="24"/>
      <c r="Z55" s="24"/>
      <c r="AA55" s="1"/>
    </row>
    <row r="56" s="25" customFormat="true" ht="25.35" hidden="false" customHeight="false" outlineLevel="0" collapsed="false">
      <c r="A56" s="26" t="n">
        <v>46</v>
      </c>
      <c r="B56" s="27" t="s">
        <v>113</v>
      </c>
      <c r="C56" s="27" t="s">
        <v>114</v>
      </c>
      <c r="D56" s="28" t="s">
        <v>25</v>
      </c>
      <c r="E56" s="29" t="n">
        <v>1400</v>
      </c>
      <c r="F56" s="29" t="n">
        <f aca="false">E56/1.2</f>
        <v>1166.66666666667</v>
      </c>
      <c r="G56" s="30" t="n">
        <v>1</v>
      </c>
      <c r="H56" s="31" t="n">
        <f aca="false">G56*F56</f>
        <v>1166.66666666667</v>
      </c>
      <c r="I56" s="32"/>
      <c r="J56" s="33" t="n">
        <f aca="false">A56</f>
        <v>46</v>
      </c>
      <c r="K56" s="34" t="str">
        <f aca="false">B56</f>
        <v>Рукав высокого давления 1H0450 Terex</v>
      </c>
      <c r="L56" s="35"/>
      <c r="M56" s="36"/>
      <c r="N56" s="37" t="str">
        <f aca="false">D56</f>
        <v>шт</v>
      </c>
      <c r="O56" s="38" t="n">
        <v>1400</v>
      </c>
      <c r="P56" s="38" t="n">
        <f aca="false">F56</f>
        <v>1166.66666666667</v>
      </c>
      <c r="Q56" s="39"/>
      <c r="R56" s="40" t="n">
        <v>1</v>
      </c>
      <c r="S56" s="41" t="n">
        <f aca="false">R56*Q56</f>
        <v>0</v>
      </c>
      <c r="T56" s="24"/>
      <c r="U56" s="24"/>
      <c r="V56" s="24"/>
      <c r="W56" s="24"/>
      <c r="X56" s="24"/>
      <c r="Y56" s="24"/>
      <c r="Z56" s="24"/>
      <c r="AA56" s="1"/>
    </row>
    <row r="57" s="25" customFormat="true" ht="25.35" hidden="false" customHeight="false" outlineLevel="0" collapsed="false">
      <c r="A57" s="26" t="n">
        <v>47</v>
      </c>
      <c r="B57" s="27" t="s">
        <v>115</v>
      </c>
      <c r="C57" s="27" t="s">
        <v>116</v>
      </c>
      <c r="D57" s="28" t="s">
        <v>25</v>
      </c>
      <c r="E57" s="29" t="n">
        <v>1700</v>
      </c>
      <c r="F57" s="29" t="n">
        <f aca="false">E57/1.2</f>
        <v>1416.66666666667</v>
      </c>
      <c r="G57" s="30" t="n">
        <v>1</v>
      </c>
      <c r="H57" s="31" t="n">
        <f aca="false">G57*F57</f>
        <v>1416.66666666667</v>
      </c>
      <c r="I57" s="32"/>
      <c r="J57" s="33" t="n">
        <f aca="false">A57</f>
        <v>47</v>
      </c>
      <c r="K57" s="34" t="str">
        <f aca="false">B57</f>
        <v>Рукав высокого давления 1H0451 Terex</v>
      </c>
      <c r="L57" s="35"/>
      <c r="M57" s="36"/>
      <c r="N57" s="37" t="str">
        <f aca="false">D57</f>
        <v>шт</v>
      </c>
      <c r="O57" s="38" t="n">
        <v>1700</v>
      </c>
      <c r="P57" s="38" t="n">
        <f aca="false">F57</f>
        <v>1416.66666666667</v>
      </c>
      <c r="Q57" s="39"/>
      <c r="R57" s="40" t="n">
        <v>1</v>
      </c>
      <c r="S57" s="41" t="n">
        <f aca="false">R57*Q57</f>
        <v>0</v>
      </c>
      <c r="T57" s="24"/>
      <c r="U57" s="24"/>
      <c r="V57" s="24"/>
      <c r="W57" s="24"/>
      <c r="X57" s="24"/>
      <c r="Y57" s="24"/>
      <c r="Z57" s="24"/>
      <c r="AA57" s="1"/>
    </row>
    <row r="58" s="25" customFormat="true" ht="25.35" hidden="false" customHeight="false" outlineLevel="0" collapsed="false">
      <c r="A58" s="26" t="n">
        <v>48</v>
      </c>
      <c r="B58" s="27" t="s">
        <v>117</v>
      </c>
      <c r="C58" s="27" t="s">
        <v>118</v>
      </c>
      <c r="D58" s="28" t="s">
        <v>25</v>
      </c>
      <c r="E58" s="29" t="n">
        <v>1300</v>
      </c>
      <c r="F58" s="29" t="n">
        <f aca="false">E58/1.2</f>
        <v>1083.33333333333</v>
      </c>
      <c r="G58" s="30" t="n">
        <v>1</v>
      </c>
      <c r="H58" s="31" t="n">
        <f aca="false">G58*F58</f>
        <v>1083.33333333333</v>
      </c>
      <c r="I58" s="32"/>
      <c r="J58" s="33" t="n">
        <f aca="false">A58</f>
        <v>48</v>
      </c>
      <c r="K58" s="34" t="str">
        <f aca="false">B58</f>
        <v>Рукав высокого давления 6101735M92 Terex</v>
      </c>
      <c r="L58" s="35"/>
      <c r="M58" s="36"/>
      <c r="N58" s="37" t="str">
        <f aca="false">D58</f>
        <v>шт</v>
      </c>
      <c r="O58" s="38" t="n">
        <v>1300</v>
      </c>
      <c r="P58" s="38" t="n">
        <f aca="false">F58</f>
        <v>1083.33333333333</v>
      </c>
      <c r="Q58" s="39"/>
      <c r="R58" s="40" t="n">
        <v>1</v>
      </c>
      <c r="S58" s="41" t="n">
        <f aca="false">R58*Q58</f>
        <v>0</v>
      </c>
      <c r="T58" s="24"/>
      <c r="U58" s="24"/>
      <c r="V58" s="24"/>
      <c r="W58" s="24"/>
      <c r="X58" s="24"/>
      <c r="Y58" s="24"/>
      <c r="Z58" s="24"/>
      <c r="AA58" s="1"/>
    </row>
    <row r="59" s="25" customFormat="true" ht="25.35" hidden="false" customHeight="false" outlineLevel="0" collapsed="false">
      <c r="A59" s="26" t="n">
        <v>49</v>
      </c>
      <c r="B59" s="27" t="s">
        <v>119</v>
      </c>
      <c r="C59" s="27" t="s">
        <v>120</v>
      </c>
      <c r="D59" s="28" t="s">
        <v>25</v>
      </c>
      <c r="E59" s="29" t="n">
        <v>1200</v>
      </c>
      <c r="F59" s="29" t="n">
        <f aca="false">E59/1.2</f>
        <v>1000</v>
      </c>
      <c r="G59" s="30" t="n">
        <v>1</v>
      </c>
      <c r="H59" s="31" t="n">
        <f aca="false">G59*F59</f>
        <v>1000</v>
      </c>
      <c r="I59" s="32"/>
      <c r="J59" s="33" t="n">
        <f aca="false">A59</f>
        <v>49</v>
      </c>
      <c r="K59" s="34" t="str">
        <f aca="false">B59</f>
        <v>Рукав высокого давления 6101736M92 Terex</v>
      </c>
      <c r="L59" s="35"/>
      <c r="M59" s="36"/>
      <c r="N59" s="37" t="str">
        <f aca="false">D59</f>
        <v>шт</v>
      </c>
      <c r="O59" s="38" t="n">
        <v>1200</v>
      </c>
      <c r="P59" s="38" t="n">
        <f aca="false">F59</f>
        <v>1000</v>
      </c>
      <c r="Q59" s="39"/>
      <c r="R59" s="40" t="n">
        <v>1</v>
      </c>
      <c r="S59" s="41" t="n">
        <f aca="false">R59*Q59</f>
        <v>0</v>
      </c>
      <c r="T59" s="24"/>
      <c r="U59" s="24"/>
      <c r="V59" s="24"/>
      <c r="W59" s="24"/>
      <c r="X59" s="24"/>
      <c r="Y59" s="24"/>
      <c r="Z59" s="24"/>
      <c r="AA59" s="1"/>
    </row>
    <row r="60" s="25" customFormat="true" ht="25.35" hidden="false" customHeight="false" outlineLevel="0" collapsed="false">
      <c r="A60" s="26" t="n">
        <v>50</v>
      </c>
      <c r="B60" s="27" t="s">
        <v>121</v>
      </c>
      <c r="C60" s="27" t="s">
        <v>122</v>
      </c>
      <c r="D60" s="28" t="s">
        <v>25</v>
      </c>
      <c r="E60" s="29" t="n">
        <v>3700</v>
      </c>
      <c r="F60" s="29" t="n">
        <f aca="false">E60/1.2</f>
        <v>3083.33333333333</v>
      </c>
      <c r="G60" s="30" t="n">
        <v>1</v>
      </c>
      <c r="H60" s="31" t="n">
        <f aca="false">G60*F60</f>
        <v>3083.33333333333</v>
      </c>
      <c r="I60" s="32"/>
      <c r="J60" s="33" t="n">
        <f aca="false">A60</f>
        <v>50</v>
      </c>
      <c r="K60" s="34" t="str">
        <f aca="false">B60</f>
        <v>Рукав высокого давления 6101737M91 Terex</v>
      </c>
      <c r="L60" s="35"/>
      <c r="M60" s="36"/>
      <c r="N60" s="37" t="str">
        <f aca="false">D60</f>
        <v>шт</v>
      </c>
      <c r="O60" s="38" t="n">
        <v>3700</v>
      </c>
      <c r="P60" s="38" t="n">
        <f aca="false">F60</f>
        <v>3083.33333333333</v>
      </c>
      <c r="Q60" s="39"/>
      <c r="R60" s="40" t="n">
        <v>1</v>
      </c>
      <c r="S60" s="41" t="n">
        <f aca="false">R60*Q60</f>
        <v>0</v>
      </c>
      <c r="T60" s="24"/>
      <c r="U60" s="24"/>
      <c r="V60" s="24"/>
      <c r="W60" s="24"/>
      <c r="X60" s="24"/>
      <c r="Y60" s="24"/>
      <c r="Z60" s="24"/>
      <c r="AA60" s="1"/>
    </row>
    <row r="61" s="25" customFormat="true" ht="25.35" hidden="false" customHeight="false" outlineLevel="0" collapsed="false">
      <c r="A61" s="26" t="n">
        <v>51</v>
      </c>
      <c r="B61" s="27" t="s">
        <v>123</v>
      </c>
      <c r="C61" s="27" t="s">
        <v>124</v>
      </c>
      <c r="D61" s="28" t="s">
        <v>25</v>
      </c>
      <c r="E61" s="29" t="n">
        <v>1200</v>
      </c>
      <c r="F61" s="29" t="n">
        <f aca="false">E61/1.2</f>
        <v>1000</v>
      </c>
      <c r="G61" s="30" t="n">
        <v>1</v>
      </c>
      <c r="H61" s="31" t="n">
        <f aca="false">G61*F61</f>
        <v>1000</v>
      </c>
      <c r="I61" s="32"/>
      <c r="J61" s="33" t="n">
        <f aca="false">A61</f>
        <v>51</v>
      </c>
      <c r="K61" s="34" t="str">
        <f aca="false">B61</f>
        <v>Рукав высокого давления 6101738M91 Terex</v>
      </c>
      <c r="L61" s="35"/>
      <c r="M61" s="36"/>
      <c r="N61" s="37" t="str">
        <f aca="false">D61</f>
        <v>шт</v>
      </c>
      <c r="O61" s="38" t="n">
        <v>1200</v>
      </c>
      <c r="P61" s="38" t="n">
        <f aca="false">F61</f>
        <v>1000</v>
      </c>
      <c r="Q61" s="39"/>
      <c r="R61" s="40" t="n">
        <v>1</v>
      </c>
      <c r="S61" s="41" t="n">
        <f aca="false">R61*Q61</f>
        <v>0</v>
      </c>
      <c r="T61" s="24"/>
      <c r="U61" s="24"/>
      <c r="V61" s="24"/>
      <c r="W61" s="24"/>
      <c r="X61" s="24"/>
      <c r="Y61" s="24"/>
      <c r="Z61" s="24"/>
      <c r="AA61" s="1"/>
    </row>
    <row r="62" s="25" customFormat="true" ht="25.35" hidden="false" customHeight="false" outlineLevel="0" collapsed="false">
      <c r="A62" s="26" t="n">
        <v>52</v>
      </c>
      <c r="B62" s="27" t="s">
        <v>125</v>
      </c>
      <c r="C62" s="27" t="s">
        <v>126</v>
      </c>
      <c r="D62" s="28" t="s">
        <v>25</v>
      </c>
      <c r="E62" s="29" t="n">
        <v>1600</v>
      </c>
      <c r="F62" s="29" t="n">
        <f aca="false">E62/1.2</f>
        <v>1333.33333333333</v>
      </c>
      <c r="G62" s="30" t="n">
        <v>1</v>
      </c>
      <c r="H62" s="31" t="n">
        <f aca="false">G62*F62</f>
        <v>1333.33333333333</v>
      </c>
      <c r="I62" s="32"/>
      <c r="J62" s="33" t="n">
        <f aca="false">A62</f>
        <v>52</v>
      </c>
      <c r="K62" s="34" t="str">
        <f aca="false">B62</f>
        <v>Рукав высокого давления 6101739M91 Terex</v>
      </c>
      <c r="L62" s="35"/>
      <c r="M62" s="36"/>
      <c r="N62" s="37" t="str">
        <f aca="false">D62</f>
        <v>шт</v>
      </c>
      <c r="O62" s="38" t="n">
        <v>1600</v>
      </c>
      <c r="P62" s="38" t="n">
        <f aca="false">F62</f>
        <v>1333.33333333333</v>
      </c>
      <c r="Q62" s="39"/>
      <c r="R62" s="40" t="n">
        <v>1</v>
      </c>
      <c r="S62" s="41" t="n">
        <f aca="false">R62*Q62</f>
        <v>0</v>
      </c>
      <c r="T62" s="24"/>
      <c r="U62" s="24"/>
      <c r="V62" s="24"/>
      <c r="W62" s="24"/>
      <c r="X62" s="24"/>
      <c r="Y62" s="24"/>
      <c r="Z62" s="24"/>
      <c r="AA62" s="1"/>
    </row>
    <row r="63" s="25" customFormat="true" ht="25.35" hidden="false" customHeight="false" outlineLevel="0" collapsed="false">
      <c r="A63" s="26" t="n">
        <v>53</v>
      </c>
      <c r="B63" s="27" t="s">
        <v>127</v>
      </c>
      <c r="C63" s="27" t="s">
        <v>128</v>
      </c>
      <c r="D63" s="28" t="s">
        <v>25</v>
      </c>
      <c r="E63" s="29" t="n">
        <v>2200</v>
      </c>
      <c r="F63" s="29" t="n">
        <f aca="false">E63/1.2</f>
        <v>1833.33333333333</v>
      </c>
      <c r="G63" s="30" t="n">
        <v>1</v>
      </c>
      <c r="H63" s="31" t="n">
        <f aca="false">G63*F63</f>
        <v>1833.33333333333</v>
      </c>
      <c r="I63" s="32"/>
      <c r="J63" s="33" t="n">
        <f aca="false">A63</f>
        <v>53</v>
      </c>
      <c r="K63" s="34" t="str">
        <f aca="false">B63</f>
        <v>Рукав высокого давления 6101740M91 Terex</v>
      </c>
      <c r="L63" s="35"/>
      <c r="M63" s="36"/>
      <c r="N63" s="37" t="str">
        <f aca="false">D63</f>
        <v>шт</v>
      </c>
      <c r="O63" s="38" t="n">
        <v>2200</v>
      </c>
      <c r="P63" s="38" t="n">
        <f aca="false">F63</f>
        <v>1833.33333333333</v>
      </c>
      <c r="Q63" s="39"/>
      <c r="R63" s="40" t="n">
        <v>1</v>
      </c>
      <c r="S63" s="41" t="n">
        <f aca="false">R63*Q63</f>
        <v>0</v>
      </c>
      <c r="T63" s="24"/>
      <c r="U63" s="24"/>
      <c r="V63" s="24"/>
      <c r="W63" s="24"/>
      <c r="X63" s="24"/>
      <c r="Y63" s="24"/>
      <c r="Z63" s="24"/>
      <c r="AA63" s="1"/>
    </row>
    <row r="64" s="25" customFormat="true" ht="25.35" hidden="false" customHeight="false" outlineLevel="0" collapsed="false">
      <c r="A64" s="26" t="n">
        <v>54</v>
      </c>
      <c r="B64" s="27" t="s">
        <v>129</v>
      </c>
      <c r="C64" s="27" t="s">
        <v>130</v>
      </c>
      <c r="D64" s="28" t="s">
        <v>25</v>
      </c>
      <c r="E64" s="29" t="n">
        <v>1400</v>
      </c>
      <c r="F64" s="29" t="n">
        <f aca="false">E64/1.2</f>
        <v>1166.66666666667</v>
      </c>
      <c r="G64" s="30" t="n">
        <v>1</v>
      </c>
      <c r="H64" s="31" t="n">
        <f aca="false">G64*F64</f>
        <v>1166.66666666667</v>
      </c>
      <c r="I64" s="32"/>
      <c r="J64" s="33" t="n">
        <f aca="false">A64</f>
        <v>54</v>
      </c>
      <c r="K64" s="34" t="str">
        <f aca="false">B64</f>
        <v>Рукав высокого давления 6101741M91 Terex</v>
      </c>
      <c r="L64" s="35"/>
      <c r="M64" s="36"/>
      <c r="N64" s="37" t="str">
        <f aca="false">D64</f>
        <v>шт</v>
      </c>
      <c r="O64" s="38" t="n">
        <v>1400</v>
      </c>
      <c r="P64" s="38" t="n">
        <f aca="false">F64</f>
        <v>1166.66666666667</v>
      </c>
      <c r="Q64" s="39"/>
      <c r="R64" s="40" t="n">
        <v>1</v>
      </c>
      <c r="S64" s="41" t="n">
        <f aca="false">R64*Q64</f>
        <v>0</v>
      </c>
      <c r="T64" s="24"/>
      <c r="U64" s="24"/>
      <c r="V64" s="24"/>
      <c r="W64" s="24"/>
      <c r="X64" s="24"/>
      <c r="Y64" s="24"/>
      <c r="Z64" s="24"/>
      <c r="AA64" s="1"/>
    </row>
    <row r="65" s="25" customFormat="true" ht="25.35" hidden="false" customHeight="false" outlineLevel="0" collapsed="false">
      <c r="A65" s="26" t="n">
        <v>55</v>
      </c>
      <c r="B65" s="27" t="s">
        <v>131</v>
      </c>
      <c r="C65" s="27" t="s">
        <v>132</v>
      </c>
      <c r="D65" s="28" t="s">
        <v>25</v>
      </c>
      <c r="E65" s="29" t="n">
        <v>1200</v>
      </c>
      <c r="F65" s="29" t="n">
        <f aca="false">E65/1.2</f>
        <v>1000</v>
      </c>
      <c r="G65" s="30" t="n">
        <v>1</v>
      </c>
      <c r="H65" s="31" t="n">
        <f aca="false">G65*F65</f>
        <v>1000</v>
      </c>
      <c r="I65" s="32"/>
      <c r="J65" s="33" t="n">
        <f aca="false">A65</f>
        <v>55</v>
      </c>
      <c r="K65" s="34" t="str">
        <f aca="false">B65</f>
        <v>Рукав высокого давления 6101757M91 Terex</v>
      </c>
      <c r="L65" s="35"/>
      <c r="M65" s="36"/>
      <c r="N65" s="37" t="str">
        <f aca="false">D65</f>
        <v>шт</v>
      </c>
      <c r="O65" s="38" t="n">
        <v>1200</v>
      </c>
      <c r="P65" s="38" t="n">
        <f aca="false">F65</f>
        <v>1000</v>
      </c>
      <c r="Q65" s="39"/>
      <c r="R65" s="40" t="n">
        <v>1</v>
      </c>
      <c r="S65" s="41" t="n">
        <f aca="false">R65*Q65</f>
        <v>0</v>
      </c>
      <c r="T65" s="24"/>
      <c r="U65" s="24"/>
      <c r="V65" s="24"/>
      <c r="W65" s="24"/>
      <c r="X65" s="24"/>
      <c r="Y65" s="24"/>
      <c r="Z65" s="24"/>
      <c r="AA65" s="1"/>
    </row>
    <row r="66" s="25" customFormat="true" ht="25.35" hidden="false" customHeight="false" outlineLevel="0" collapsed="false">
      <c r="A66" s="26" t="n">
        <v>56</v>
      </c>
      <c r="B66" s="27" t="s">
        <v>133</v>
      </c>
      <c r="C66" s="27" t="s">
        <v>134</v>
      </c>
      <c r="D66" s="28" t="s">
        <v>25</v>
      </c>
      <c r="E66" s="29" t="n">
        <v>1400</v>
      </c>
      <c r="F66" s="29" t="n">
        <f aca="false">E66/1.2</f>
        <v>1166.66666666667</v>
      </c>
      <c r="G66" s="30" t="n">
        <v>1</v>
      </c>
      <c r="H66" s="31" t="n">
        <f aca="false">G66*F66</f>
        <v>1166.66666666667</v>
      </c>
      <c r="I66" s="32"/>
      <c r="J66" s="33" t="n">
        <f aca="false">A66</f>
        <v>56</v>
      </c>
      <c r="K66" s="34" t="str">
        <f aca="false">B66</f>
        <v>Рукав высокого давления 6108764M91 Terex</v>
      </c>
      <c r="L66" s="35"/>
      <c r="M66" s="36"/>
      <c r="N66" s="37" t="str">
        <f aca="false">D66</f>
        <v>шт</v>
      </c>
      <c r="O66" s="38" t="n">
        <v>1400</v>
      </c>
      <c r="P66" s="38" t="n">
        <f aca="false">F66</f>
        <v>1166.66666666667</v>
      </c>
      <c r="Q66" s="39"/>
      <c r="R66" s="40" t="n">
        <v>1</v>
      </c>
      <c r="S66" s="41" t="n">
        <f aca="false">R66*Q66</f>
        <v>0</v>
      </c>
      <c r="T66" s="24"/>
      <c r="U66" s="24"/>
      <c r="V66" s="24"/>
      <c r="W66" s="24"/>
      <c r="X66" s="24"/>
      <c r="Y66" s="24"/>
      <c r="Z66" s="24"/>
      <c r="AA66" s="1"/>
    </row>
    <row r="67" s="25" customFormat="true" ht="25.35" hidden="false" customHeight="false" outlineLevel="0" collapsed="false">
      <c r="A67" s="26" t="n">
        <v>57</v>
      </c>
      <c r="B67" s="27" t="s">
        <v>135</v>
      </c>
      <c r="C67" s="27" t="s">
        <v>136</v>
      </c>
      <c r="D67" s="28" t="s">
        <v>25</v>
      </c>
      <c r="E67" s="29" t="n">
        <v>1200</v>
      </c>
      <c r="F67" s="29" t="n">
        <f aca="false">E67/1.2</f>
        <v>1000</v>
      </c>
      <c r="G67" s="30" t="n">
        <v>1</v>
      </c>
      <c r="H67" s="31" t="n">
        <f aca="false">G67*F67</f>
        <v>1000</v>
      </c>
      <c r="I67" s="32"/>
      <c r="J67" s="33" t="n">
        <f aca="false">A67</f>
        <v>57</v>
      </c>
      <c r="K67" s="34" t="str">
        <f aca="false">B67</f>
        <v>Рукав высокого давления 6108765M91 Terex</v>
      </c>
      <c r="L67" s="35"/>
      <c r="M67" s="36"/>
      <c r="N67" s="37" t="str">
        <f aca="false">D67</f>
        <v>шт</v>
      </c>
      <c r="O67" s="38" t="n">
        <v>1200</v>
      </c>
      <c r="P67" s="38" t="n">
        <f aca="false">F67</f>
        <v>1000</v>
      </c>
      <c r="Q67" s="39"/>
      <c r="R67" s="40" t="n">
        <v>1</v>
      </c>
      <c r="S67" s="41" t="n">
        <f aca="false">R67*Q67</f>
        <v>0</v>
      </c>
      <c r="T67" s="24"/>
      <c r="U67" s="24"/>
      <c r="V67" s="24"/>
      <c r="W67" s="24"/>
      <c r="X67" s="24"/>
      <c r="Y67" s="24"/>
      <c r="Z67" s="24"/>
      <c r="AA67" s="1"/>
    </row>
    <row r="68" s="25" customFormat="true" ht="25.35" hidden="false" customHeight="false" outlineLevel="0" collapsed="false">
      <c r="A68" s="26" t="n">
        <v>58</v>
      </c>
      <c r="B68" s="27" t="s">
        <v>137</v>
      </c>
      <c r="C68" s="27" t="s">
        <v>138</v>
      </c>
      <c r="D68" s="28" t="s">
        <v>25</v>
      </c>
      <c r="E68" s="29" t="n">
        <v>1400</v>
      </c>
      <c r="F68" s="29" t="n">
        <f aca="false">E68/1.2</f>
        <v>1166.66666666667</v>
      </c>
      <c r="G68" s="30" t="n">
        <v>2</v>
      </c>
      <c r="H68" s="31" t="n">
        <f aca="false">G68*F68</f>
        <v>2333.33333333333</v>
      </c>
      <c r="I68" s="32"/>
      <c r="J68" s="33" t="n">
        <f aca="false">A68</f>
        <v>58</v>
      </c>
      <c r="K68" s="34" t="str">
        <f aca="false">B68</f>
        <v>Свеча зажигания BR9TS снегоход Буран</v>
      </c>
      <c r="L68" s="35"/>
      <c r="M68" s="36"/>
      <c r="N68" s="37" t="str">
        <f aca="false">D68</f>
        <v>шт</v>
      </c>
      <c r="O68" s="38" t="n">
        <v>1400</v>
      </c>
      <c r="P68" s="38" t="n">
        <f aca="false">F68</f>
        <v>1166.66666666667</v>
      </c>
      <c r="Q68" s="39"/>
      <c r="R68" s="40" t="n">
        <v>2</v>
      </c>
      <c r="S68" s="41" t="n">
        <f aca="false">R68*Q68</f>
        <v>0</v>
      </c>
      <c r="T68" s="24"/>
      <c r="U68" s="24"/>
      <c r="V68" s="24"/>
      <c r="W68" s="24"/>
      <c r="X68" s="24"/>
      <c r="Y68" s="24"/>
      <c r="Z68" s="24"/>
      <c r="AA68" s="1"/>
    </row>
    <row r="69" s="25" customFormat="true" ht="25.35" hidden="false" customHeight="false" outlineLevel="0" collapsed="false">
      <c r="A69" s="26" t="n">
        <v>59</v>
      </c>
      <c r="B69" s="27" t="s">
        <v>139</v>
      </c>
      <c r="C69" s="44" t="n">
        <v>110700104</v>
      </c>
      <c r="D69" s="28" t="s">
        <v>25</v>
      </c>
      <c r="E69" s="29" t="n">
        <v>1854.04</v>
      </c>
      <c r="F69" s="29" t="n">
        <f aca="false">E69/1.2</f>
        <v>1545.03333333333</v>
      </c>
      <c r="G69" s="30" t="n">
        <v>1</v>
      </c>
      <c r="H69" s="31" t="n">
        <f aca="false">G69*F69</f>
        <v>1545.03333333333</v>
      </c>
      <c r="I69" s="32"/>
      <c r="J69" s="33" t="n">
        <f aca="false">A69</f>
        <v>59</v>
      </c>
      <c r="K69" s="34" t="str">
        <f aca="false">B69</f>
        <v>Стекло ветровое прямое мягкое 110700104 для снегохода</v>
      </c>
      <c r="L69" s="35"/>
      <c r="M69" s="36"/>
      <c r="N69" s="37" t="str">
        <f aca="false">D69</f>
        <v>шт</v>
      </c>
      <c r="O69" s="38" t="n">
        <v>1854.04</v>
      </c>
      <c r="P69" s="38" t="n">
        <f aca="false">F69</f>
        <v>1545.03333333333</v>
      </c>
      <c r="Q69" s="39"/>
      <c r="R69" s="40" t="n">
        <v>1</v>
      </c>
      <c r="S69" s="41" t="n">
        <f aca="false">R69*Q69</f>
        <v>0</v>
      </c>
      <c r="T69" s="24"/>
      <c r="U69" s="24"/>
      <c r="V69" s="24"/>
      <c r="W69" s="24"/>
      <c r="X69" s="24"/>
      <c r="Y69" s="24"/>
      <c r="Z69" s="24"/>
      <c r="AA69" s="1"/>
    </row>
    <row r="70" s="25" customFormat="true" ht="37.3" hidden="false" customHeight="false" outlineLevel="0" collapsed="false">
      <c r="A70" s="26" t="n">
        <v>60</v>
      </c>
      <c r="B70" s="27" t="s">
        <v>140</v>
      </c>
      <c r="C70" s="27" t="s">
        <v>141</v>
      </c>
      <c r="D70" s="28" t="s">
        <v>25</v>
      </c>
      <c r="E70" s="29" t="n">
        <v>4100</v>
      </c>
      <c r="F70" s="29" t="n">
        <f aca="false">E70/1.2</f>
        <v>3416.66666666667</v>
      </c>
      <c r="G70" s="30" t="n">
        <v>1</v>
      </c>
      <c r="H70" s="31" t="n">
        <f aca="false">G70*F70</f>
        <v>3416.66666666667</v>
      </c>
      <c r="I70" s="32"/>
      <c r="J70" s="33" t="n">
        <f aca="false">A70</f>
        <v>60</v>
      </c>
      <c r="K70" s="34" t="str">
        <f aca="false">B70</f>
        <v>Стекло кабины заднее для экскаватора-погрузчика 6099765М91 Terex</v>
      </c>
      <c r="L70" s="35"/>
      <c r="M70" s="36"/>
      <c r="N70" s="37" t="str">
        <f aca="false">D70</f>
        <v>шт</v>
      </c>
      <c r="O70" s="38" t="n">
        <v>4100</v>
      </c>
      <c r="P70" s="38" t="n">
        <f aca="false">F70</f>
        <v>3416.66666666667</v>
      </c>
      <c r="Q70" s="39"/>
      <c r="R70" s="40" t="n">
        <v>1</v>
      </c>
      <c r="S70" s="41" t="n">
        <f aca="false">R70*Q70</f>
        <v>0</v>
      </c>
      <c r="T70" s="24"/>
      <c r="U70" s="24"/>
      <c r="V70" s="24"/>
      <c r="W70" s="24"/>
      <c r="X70" s="24"/>
      <c r="Y70" s="24"/>
      <c r="Z70" s="24"/>
      <c r="AA70" s="1"/>
    </row>
    <row r="71" s="25" customFormat="true" ht="25.35" hidden="false" customHeight="false" outlineLevel="0" collapsed="false">
      <c r="A71" s="26" t="n">
        <v>61</v>
      </c>
      <c r="B71" s="27" t="s">
        <v>142</v>
      </c>
      <c r="C71" s="27" t="s">
        <v>143</v>
      </c>
      <c r="D71" s="28" t="s">
        <v>25</v>
      </c>
      <c r="E71" s="29" t="n">
        <v>7840.8</v>
      </c>
      <c r="F71" s="29" t="n">
        <f aca="false">E71/1.2</f>
        <v>6534</v>
      </c>
      <c r="G71" s="30" t="n">
        <v>1</v>
      </c>
      <c r="H71" s="31" t="n">
        <f aca="false">G71*F71</f>
        <v>6534</v>
      </c>
      <c r="I71" s="32"/>
      <c r="J71" s="33" t="n">
        <f aca="false">A71</f>
        <v>61</v>
      </c>
      <c r="K71" s="34" t="str">
        <f aca="false">B71</f>
        <v>Фильтр воздушный P780799 Donaldson</v>
      </c>
      <c r="L71" s="35"/>
      <c r="M71" s="36"/>
      <c r="N71" s="37" t="str">
        <f aca="false">D71</f>
        <v>шт</v>
      </c>
      <c r="O71" s="38" t="n">
        <v>7840.8</v>
      </c>
      <c r="P71" s="38" t="n">
        <f aca="false">F71</f>
        <v>6534</v>
      </c>
      <c r="Q71" s="39"/>
      <c r="R71" s="40" t="n">
        <v>1</v>
      </c>
      <c r="S71" s="41" t="n">
        <f aca="false">R71*Q71</f>
        <v>0</v>
      </c>
      <c r="T71" s="24"/>
      <c r="U71" s="24"/>
      <c r="V71" s="24"/>
      <c r="W71" s="24"/>
      <c r="X71" s="24"/>
      <c r="Y71" s="24"/>
      <c r="Z71" s="24"/>
      <c r="AA71" s="1"/>
    </row>
    <row r="72" s="25" customFormat="true" ht="25.35" hidden="false" customHeight="false" outlineLevel="0" collapsed="false">
      <c r="A72" s="26" t="n">
        <v>62</v>
      </c>
      <c r="B72" s="27" t="s">
        <v>144</v>
      </c>
      <c r="C72" s="27" t="s">
        <v>145</v>
      </c>
      <c r="D72" s="28" t="s">
        <v>25</v>
      </c>
      <c r="E72" s="29" t="n">
        <v>9147.6</v>
      </c>
      <c r="F72" s="29" t="n">
        <f aca="false">E72/1.2</f>
        <v>7623</v>
      </c>
      <c r="G72" s="30" t="n">
        <v>1</v>
      </c>
      <c r="H72" s="31" t="n">
        <f aca="false">G72*F72</f>
        <v>7623</v>
      </c>
      <c r="I72" s="32"/>
      <c r="J72" s="33" t="n">
        <f aca="false">A72</f>
        <v>62</v>
      </c>
      <c r="K72" s="34" t="str">
        <f aca="false">B72</f>
        <v>Фильтр воздушный P780800 Donaldson</v>
      </c>
      <c r="L72" s="35"/>
      <c r="M72" s="36"/>
      <c r="N72" s="37" t="str">
        <f aca="false">D72</f>
        <v>шт</v>
      </c>
      <c r="O72" s="38" t="n">
        <v>9147.6</v>
      </c>
      <c r="P72" s="38" t="n">
        <f aca="false">F72</f>
        <v>7623</v>
      </c>
      <c r="Q72" s="39"/>
      <c r="R72" s="40" t="n">
        <v>1</v>
      </c>
      <c r="S72" s="41" t="n">
        <f aca="false">R72*Q72</f>
        <v>0</v>
      </c>
      <c r="T72" s="24"/>
      <c r="U72" s="24"/>
      <c r="V72" s="24"/>
      <c r="W72" s="24"/>
      <c r="X72" s="24"/>
      <c r="Y72" s="24"/>
      <c r="Z72" s="24"/>
      <c r="AA72" s="1"/>
    </row>
    <row r="73" s="25" customFormat="true" ht="13.8" hidden="false" customHeight="false" outlineLevel="0" collapsed="false">
      <c r="A73" s="26" t="n">
        <v>63</v>
      </c>
      <c r="B73" s="27" t="s">
        <v>146</v>
      </c>
      <c r="C73" s="27" t="s">
        <v>147</v>
      </c>
      <c r="D73" s="28" t="s">
        <v>25</v>
      </c>
      <c r="E73" s="29" t="n">
        <v>8512.54</v>
      </c>
      <c r="F73" s="29" t="n">
        <f aca="false">E73/1.2</f>
        <v>7093.78333333334</v>
      </c>
      <c r="G73" s="30" t="n">
        <v>3</v>
      </c>
      <c r="H73" s="31" t="n">
        <f aca="false">G73*F73</f>
        <v>21281.35</v>
      </c>
      <c r="I73" s="32"/>
      <c r="J73" s="33" t="n">
        <f aca="false">A73</f>
        <v>63</v>
      </c>
      <c r="K73" s="34" t="str">
        <f aca="false">B73</f>
        <v>Фильтр гидравлический ЕА1392</v>
      </c>
      <c r="L73" s="35"/>
      <c r="M73" s="36"/>
      <c r="N73" s="37" t="str">
        <f aca="false">D73</f>
        <v>шт</v>
      </c>
      <c r="O73" s="38" t="n">
        <v>8512.54</v>
      </c>
      <c r="P73" s="38" t="n">
        <f aca="false">F73</f>
        <v>7093.78333333334</v>
      </c>
      <c r="Q73" s="39"/>
      <c r="R73" s="40" t="n">
        <v>3</v>
      </c>
      <c r="S73" s="41" t="n">
        <f aca="false">R73*Q73</f>
        <v>0</v>
      </c>
      <c r="T73" s="24"/>
      <c r="U73" s="24"/>
      <c r="V73" s="24"/>
      <c r="W73" s="24"/>
      <c r="X73" s="24"/>
      <c r="Y73" s="24"/>
      <c r="Z73" s="24"/>
      <c r="AA73" s="1"/>
    </row>
    <row r="74" s="25" customFormat="true" ht="13.8" hidden="false" customHeight="false" outlineLevel="0" collapsed="false">
      <c r="A74" s="26" t="n">
        <v>64</v>
      </c>
      <c r="B74" s="27" t="s">
        <v>148</v>
      </c>
      <c r="C74" s="27" t="s">
        <v>149</v>
      </c>
      <c r="D74" s="28" t="s">
        <v>25</v>
      </c>
      <c r="E74" s="29" t="n">
        <v>6810.04</v>
      </c>
      <c r="F74" s="29" t="n">
        <f aca="false">E74/1.2</f>
        <v>5675.03333333333</v>
      </c>
      <c r="G74" s="30" t="n">
        <v>1</v>
      </c>
      <c r="H74" s="31" t="n">
        <f aca="false">G74*F74</f>
        <v>5675.03333333333</v>
      </c>
      <c r="I74" s="32"/>
      <c r="J74" s="33" t="n">
        <f aca="false">A74</f>
        <v>64</v>
      </c>
      <c r="K74" s="34" t="str">
        <f aca="false">B74</f>
        <v>Фильтр гидравлический ЕА1412</v>
      </c>
      <c r="L74" s="35"/>
      <c r="M74" s="36"/>
      <c r="N74" s="37" t="str">
        <f aca="false">D74</f>
        <v>шт</v>
      </c>
      <c r="O74" s="38" t="n">
        <v>6810.04</v>
      </c>
      <c r="P74" s="38" t="n">
        <f aca="false">F74</f>
        <v>5675.03333333333</v>
      </c>
      <c r="Q74" s="39"/>
      <c r="R74" s="40" t="n">
        <v>1</v>
      </c>
      <c r="S74" s="41" t="n">
        <f aca="false">R74*Q74</f>
        <v>0</v>
      </c>
      <c r="T74" s="24"/>
      <c r="U74" s="24"/>
      <c r="V74" s="24"/>
      <c r="W74" s="24"/>
      <c r="X74" s="24"/>
      <c r="Y74" s="24"/>
      <c r="Z74" s="24"/>
      <c r="AA74" s="1"/>
    </row>
    <row r="75" s="25" customFormat="true" ht="25.8" hidden="false" customHeight="false" outlineLevel="0" collapsed="false">
      <c r="A75" s="26" t="n">
        <v>65</v>
      </c>
      <c r="B75" s="27" t="s">
        <v>150</v>
      </c>
      <c r="C75" s="27" t="s">
        <v>151</v>
      </c>
      <c r="D75" s="28" t="s">
        <v>25</v>
      </c>
      <c r="E75" s="29" t="n">
        <v>5832</v>
      </c>
      <c r="F75" s="29" t="n">
        <f aca="false">E75/1.2</f>
        <v>4860</v>
      </c>
      <c r="G75" s="30" t="n">
        <v>2</v>
      </c>
      <c r="H75" s="31" t="n">
        <f aca="false">G75*F75</f>
        <v>9720</v>
      </c>
      <c r="I75" s="32"/>
      <c r="J75" s="33" t="n">
        <f aca="false">A75</f>
        <v>65</v>
      </c>
      <c r="K75" s="34" t="str">
        <f aca="false">B75</f>
        <v>Фильтр гидравлической системы 6100361М91 Terex</v>
      </c>
      <c r="L75" s="35"/>
      <c r="M75" s="36"/>
      <c r="N75" s="37" t="str">
        <f aca="false">D75</f>
        <v>шт</v>
      </c>
      <c r="O75" s="38" t="n">
        <v>5832</v>
      </c>
      <c r="P75" s="38" t="n">
        <f aca="false">F75</f>
        <v>4860</v>
      </c>
      <c r="Q75" s="39"/>
      <c r="R75" s="40" t="n">
        <v>2</v>
      </c>
      <c r="S75" s="41" t="n">
        <f aca="false">R75*Q75</f>
        <v>0</v>
      </c>
      <c r="T75" s="24"/>
      <c r="U75" s="24"/>
      <c r="V75" s="24"/>
      <c r="W75" s="24"/>
      <c r="X75" s="24"/>
      <c r="Y75" s="24"/>
      <c r="Z75" s="24"/>
      <c r="AA75" s="1"/>
    </row>
    <row r="76" s="25" customFormat="true" ht="13.8" hidden="false" customHeight="false" outlineLevel="0" collapsed="false">
      <c r="A76" s="26" t="n">
        <v>66</v>
      </c>
      <c r="B76" s="27" t="s">
        <v>152</v>
      </c>
      <c r="C76" s="27" t="s">
        <v>153</v>
      </c>
      <c r="D76" s="28" t="s">
        <v>25</v>
      </c>
      <c r="E76" s="29" t="n">
        <v>1745.98</v>
      </c>
      <c r="F76" s="29" t="n">
        <f aca="false">E76/1.2</f>
        <v>1454.98333333333</v>
      </c>
      <c r="G76" s="30" t="n">
        <v>2</v>
      </c>
      <c r="H76" s="31" t="n">
        <f aca="false">G76*F76</f>
        <v>2909.96666666667</v>
      </c>
      <c r="I76" s="32"/>
      <c r="J76" s="33" t="n">
        <f aca="false">A76</f>
        <v>66</v>
      </c>
      <c r="K76" s="34" t="str">
        <f aca="false">B76</f>
        <v>фильтр маслянный Д-245</v>
      </c>
      <c r="L76" s="35"/>
      <c r="M76" s="36"/>
      <c r="N76" s="37" t="str">
        <f aca="false">D76</f>
        <v>шт</v>
      </c>
      <c r="O76" s="38" t="n">
        <v>1745.98</v>
      </c>
      <c r="P76" s="38" t="n">
        <f aca="false">F76</f>
        <v>1454.98333333333</v>
      </c>
      <c r="Q76" s="39"/>
      <c r="R76" s="40" t="n">
        <v>2</v>
      </c>
      <c r="S76" s="41" t="n">
        <f aca="false">R76*Q76</f>
        <v>0</v>
      </c>
      <c r="T76" s="24"/>
      <c r="U76" s="24"/>
      <c r="V76" s="24"/>
      <c r="W76" s="24"/>
      <c r="X76" s="24"/>
      <c r="Y76" s="24"/>
      <c r="Z76" s="24"/>
      <c r="AA76" s="1"/>
    </row>
    <row r="77" s="25" customFormat="true" ht="25.35" hidden="false" customHeight="false" outlineLevel="0" collapsed="false">
      <c r="A77" s="26" t="n">
        <v>67</v>
      </c>
      <c r="B77" s="27" t="s">
        <v>154</v>
      </c>
      <c r="C77" s="44" t="n">
        <v>2654407</v>
      </c>
      <c r="D77" s="28" t="s">
        <v>25</v>
      </c>
      <c r="E77" s="29" t="n">
        <v>2290.41</v>
      </c>
      <c r="F77" s="29" t="n">
        <f aca="false">E77/1.2</f>
        <v>1908.675</v>
      </c>
      <c r="G77" s="30" t="n">
        <v>2</v>
      </c>
      <c r="H77" s="31" t="n">
        <f aca="false">G77*F77</f>
        <v>3817.35</v>
      </c>
      <c r="I77" s="32"/>
      <c r="J77" s="33" t="n">
        <f aca="false">A77</f>
        <v>67</v>
      </c>
      <c r="K77" s="34" t="str">
        <f aca="false">B77</f>
        <v>Фильтр масляный С-5102 2654407</v>
      </c>
      <c r="L77" s="35"/>
      <c r="M77" s="36"/>
      <c r="N77" s="37" t="str">
        <f aca="false">D77</f>
        <v>шт</v>
      </c>
      <c r="O77" s="38" t="n">
        <v>2290.41</v>
      </c>
      <c r="P77" s="38" t="n">
        <f aca="false">F77</f>
        <v>1908.675</v>
      </c>
      <c r="Q77" s="39"/>
      <c r="R77" s="40" t="n">
        <v>2</v>
      </c>
      <c r="S77" s="41" t="n">
        <f aca="false">R77*Q77</f>
        <v>0</v>
      </c>
      <c r="T77" s="24"/>
      <c r="U77" s="24"/>
      <c r="V77" s="24"/>
      <c r="W77" s="24"/>
      <c r="X77" s="24"/>
      <c r="Y77" s="24"/>
      <c r="Z77" s="24"/>
      <c r="AA77" s="1"/>
    </row>
    <row r="78" s="25" customFormat="true" ht="25.35" hidden="false" customHeight="false" outlineLevel="0" collapsed="false">
      <c r="A78" s="26" t="n">
        <v>68</v>
      </c>
      <c r="B78" s="27" t="s">
        <v>155</v>
      </c>
      <c r="C78" s="27" t="s">
        <v>156</v>
      </c>
      <c r="D78" s="28" t="s">
        <v>25</v>
      </c>
      <c r="E78" s="29" t="n">
        <v>1745.98</v>
      </c>
      <c r="F78" s="29" t="n">
        <f aca="false">E78/1.2</f>
        <v>1454.98333333333</v>
      </c>
      <c r="G78" s="30" t="n">
        <v>2</v>
      </c>
      <c r="H78" s="31" t="n">
        <f aca="false">G78*F78</f>
        <v>2909.96666666667</v>
      </c>
      <c r="I78" s="32"/>
      <c r="J78" s="33" t="n">
        <f aca="false">A78</f>
        <v>68</v>
      </c>
      <c r="K78" s="34" t="str">
        <f aca="false">B78</f>
        <v>Фильтр топл Д-243 Д-245 (020-1117010) НФ-243-Т</v>
      </c>
      <c r="L78" s="35"/>
      <c r="M78" s="36"/>
      <c r="N78" s="37" t="str">
        <f aca="false">D78</f>
        <v>шт</v>
      </c>
      <c r="O78" s="38" t="n">
        <v>1745.98</v>
      </c>
      <c r="P78" s="38" t="n">
        <f aca="false">F78</f>
        <v>1454.98333333333</v>
      </c>
      <c r="Q78" s="39"/>
      <c r="R78" s="40" t="n">
        <v>2</v>
      </c>
      <c r="S78" s="41" t="n">
        <f aca="false">R78*Q78</f>
        <v>0</v>
      </c>
      <c r="T78" s="24"/>
      <c r="U78" s="24"/>
      <c r="V78" s="24"/>
      <c r="W78" s="24"/>
      <c r="X78" s="24"/>
      <c r="Y78" s="24"/>
      <c r="Z78" s="24"/>
      <c r="AA78" s="1"/>
    </row>
    <row r="79" s="25" customFormat="true" ht="25.35" hidden="false" customHeight="false" outlineLevel="0" collapsed="false">
      <c r="A79" s="26" t="n">
        <v>69</v>
      </c>
      <c r="B79" s="27" t="s">
        <v>157</v>
      </c>
      <c r="C79" s="27" t="s">
        <v>158</v>
      </c>
      <c r="D79" s="28" t="s">
        <v>25</v>
      </c>
      <c r="E79" s="29" t="n">
        <v>2808</v>
      </c>
      <c r="F79" s="29" t="n">
        <f aca="false">E79/1.2</f>
        <v>2340</v>
      </c>
      <c r="G79" s="30" t="n">
        <v>2</v>
      </c>
      <c r="H79" s="31" t="n">
        <f aca="false">G79*F79</f>
        <v>4680</v>
      </c>
      <c r="I79" s="32"/>
      <c r="J79" s="33" t="n">
        <f aca="false">A79</f>
        <v>69</v>
      </c>
      <c r="K79" s="34" t="str">
        <f aca="false">B79</f>
        <v>Фильтр топливный тонкой очистки С01AM73/4816636 JCB</v>
      </c>
      <c r="L79" s="35"/>
      <c r="M79" s="36"/>
      <c r="N79" s="37" t="str">
        <f aca="false">D79</f>
        <v>шт</v>
      </c>
      <c r="O79" s="38" t="n">
        <v>2808</v>
      </c>
      <c r="P79" s="38" t="n">
        <f aca="false">F79</f>
        <v>2340</v>
      </c>
      <c r="Q79" s="39"/>
      <c r="R79" s="40" t="n">
        <v>2</v>
      </c>
      <c r="S79" s="41" t="n">
        <f aca="false">R79*Q79</f>
        <v>0</v>
      </c>
      <c r="T79" s="24"/>
      <c r="U79" s="24"/>
      <c r="V79" s="24"/>
      <c r="W79" s="24"/>
      <c r="X79" s="24"/>
      <c r="Y79" s="24"/>
      <c r="Z79" s="24"/>
      <c r="AA79" s="1"/>
    </row>
    <row r="80" s="25" customFormat="true" ht="37.3" hidden="false" customHeight="false" outlineLevel="0" collapsed="false">
      <c r="A80" s="26" t="n">
        <v>70</v>
      </c>
      <c r="B80" s="27" t="s">
        <v>159</v>
      </c>
      <c r="C80" s="27" t="s">
        <v>160</v>
      </c>
      <c r="D80" s="28" t="s">
        <v>25</v>
      </c>
      <c r="E80" s="29" t="n">
        <v>4320</v>
      </c>
      <c r="F80" s="29" t="n">
        <f aca="false">E80/1.2</f>
        <v>3600</v>
      </c>
      <c r="G80" s="30" t="n">
        <v>1</v>
      </c>
      <c r="H80" s="31" t="n">
        <f aca="false">G80*F80</f>
        <v>3600</v>
      </c>
      <c r="I80" s="32"/>
      <c r="J80" s="33" t="n">
        <f aca="false">A80</f>
        <v>70</v>
      </c>
      <c r="K80" s="34" t="str">
        <f aca="false">B80</f>
        <v>Фильтр трансмиссиии гидравлический 6110604М91 Terex</v>
      </c>
      <c r="L80" s="35"/>
      <c r="M80" s="36"/>
      <c r="N80" s="37" t="str">
        <f aca="false">D80</f>
        <v>шт</v>
      </c>
      <c r="O80" s="38" t="n">
        <v>4320</v>
      </c>
      <c r="P80" s="38" t="n">
        <f aca="false">F80</f>
        <v>3600</v>
      </c>
      <c r="Q80" s="39"/>
      <c r="R80" s="40" t="n">
        <v>1</v>
      </c>
      <c r="S80" s="41" t="n">
        <f aca="false">R80*Q80</f>
        <v>0</v>
      </c>
      <c r="T80" s="24"/>
      <c r="U80" s="24"/>
      <c r="V80" s="24"/>
      <c r="W80" s="24"/>
      <c r="X80" s="24"/>
      <c r="Y80" s="24"/>
      <c r="Z80" s="24"/>
      <c r="AA80" s="1"/>
    </row>
    <row r="81" s="25" customFormat="true" ht="25.35" hidden="false" customHeight="false" outlineLevel="0" collapsed="false">
      <c r="A81" s="26" t="n">
        <v>71</v>
      </c>
      <c r="B81" s="27" t="s">
        <v>161</v>
      </c>
      <c r="C81" s="27" t="s">
        <v>162</v>
      </c>
      <c r="D81" s="28" t="s">
        <v>25</v>
      </c>
      <c r="E81" s="29" t="n">
        <v>2100</v>
      </c>
      <c r="F81" s="29" t="n">
        <f aca="false">E81/1.2</f>
        <v>1750</v>
      </c>
      <c r="G81" s="30" t="n">
        <v>1</v>
      </c>
      <c r="H81" s="31" t="n">
        <f aca="false">G81*F81</f>
        <v>1750</v>
      </c>
      <c r="I81" s="32"/>
      <c r="J81" s="33" t="n">
        <f aca="false">A81</f>
        <v>71</v>
      </c>
      <c r="K81" s="34" t="str">
        <f aca="false">B81</f>
        <v>Фонарь задний левый 1D0233 Terex</v>
      </c>
      <c r="L81" s="35"/>
      <c r="M81" s="36"/>
      <c r="N81" s="37" t="str">
        <f aca="false">D81</f>
        <v>шт</v>
      </c>
      <c r="O81" s="38" t="n">
        <v>2100</v>
      </c>
      <c r="P81" s="38" t="n">
        <f aca="false">F81</f>
        <v>1750</v>
      </c>
      <c r="Q81" s="39"/>
      <c r="R81" s="40" t="n">
        <v>1</v>
      </c>
      <c r="S81" s="41" t="n">
        <f aca="false">R81*Q81</f>
        <v>0</v>
      </c>
      <c r="T81" s="24"/>
      <c r="U81" s="24"/>
      <c r="V81" s="24"/>
      <c r="W81" s="24"/>
      <c r="X81" s="24"/>
      <c r="Y81" s="24"/>
      <c r="Z81" s="24"/>
      <c r="AA81" s="1"/>
    </row>
    <row r="82" s="25" customFormat="true" ht="25.35" hidden="false" customHeight="false" outlineLevel="0" collapsed="false">
      <c r="A82" s="26" t="n">
        <v>72</v>
      </c>
      <c r="B82" s="27" t="s">
        <v>163</v>
      </c>
      <c r="C82" s="27" t="s">
        <v>164</v>
      </c>
      <c r="D82" s="28" t="s">
        <v>25</v>
      </c>
      <c r="E82" s="29" t="n">
        <v>2100</v>
      </c>
      <c r="F82" s="29" t="n">
        <f aca="false">E82/1.2</f>
        <v>1750</v>
      </c>
      <c r="G82" s="30" t="n">
        <v>1</v>
      </c>
      <c r="H82" s="31" t="n">
        <f aca="false">G82*F82</f>
        <v>1750</v>
      </c>
      <c r="I82" s="32"/>
      <c r="J82" s="33" t="n">
        <f aca="false">A82</f>
        <v>72</v>
      </c>
      <c r="K82" s="34" t="str">
        <f aca="false">B82</f>
        <v>Фонарь задний правый 1D0194 Terex Terex</v>
      </c>
      <c r="L82" s="35"/>
      <c r="M82" s="36"/>
      <c r="N82" s="37" t="str">
        <f aca="false">D82</f>
        <v>шт</v>
      </c>
      <c r="O82" s="38" t="n">
        <v>2100</v>
      </c>
      <c r="P82" s="38" t="n">
        <f aca="false">F82</f>
        <v>1750</v>
      </c>
      <c r="Q82" s="39"/>
      <c r="R82" s="40" t="n">
        <v>1</v>
      </c>
      <c r="S82" s="41" t="n">
        <f aca="false">R82*Q82</f>
        <v>0</v>
      </c>
      <c r="T82" s="24"/>
      <c r="U82" s="24"/>
      <c r="V82" s="24"/>
      <c r="W82" s="24"/>
      <c r="X82" s="24"/>
      <c r="Y82" s="24"/>
      <c r="Z82" s="24"/>
      <c r="AA82" s="1"/>
    </row>
    <row r="83" s="25" customFormat="true" ht="25.35" hidden="false" customHeight="false" outlineLevel="0" collapsed="false">
      <c r="A83" s="26" t="n">
        <v>73</v>
      </c>
      <c r="B83" s="27" t="s">
        <v>165</v>
      </c>
      <c r="C83" s="27" t="s">
        <v>166</v>
      </c>
      <c r="D83" s="28" t="s">
        <v>25</v>
      </c>
      <c r="E83" s="29" t="n">
        <v>38000</v>
      </c>
      <c r="F83" s="29" t="n">
        <f aca="false">E83/1.2</f>
        <v>31666.6666666667</v>
      </c>
      <c r="G83" s="30" t="n">
        <v>1</v>
      </c>
      <c r="H83" s="31" t="n">
        <f aca="false">G83*F83</f>
        <v>31666.6666666667</v>
      </c>
      <c r="I83" s="32"/>
      <c r="J83" s="33" t="n">
        <f aca="false">A83</f>
        <v>73</v>
      </c>
      <c r="K83" s="34" t="str">
        <f aca="false">B83</f>
        <v>Цепь перекатная ПСС-131.17э (АПТ-17) 3000мм</v>
      </c>
      <c r="L83" s="35"/>
      <c r="M83" s="36"/>
      <c r="N83" s="37" t="str">
        <f aca="false">D83</f>
        <v>шт</v>
      </c>
      <c r="O83" s="38" t="n">
        <v>38000</v>
      </c>
      <c r="P83" s="38" t="n">
        <f aca="false">F83</f>
        <v>31666.6666666667</v>
      </c>
      <c r="Q83" s="39"/>
      <c r="R83" s="40" t="n">
        <v>1</v>
      </c>
      <c r="S83" s="41" t="n">
        <f aca="false">R83*Q83</f>
        <v>0</v>
      </c>
      <c r="T83" s="24"/>
      <c r="U83" s="24"/>
      <c r="V83" s="24"/>
      <c r="W83" s="24"/>
      <c r="X83" s="24"/>
      <c r="Y83" s="24"/>
      <c r="Z83" s="24"/>
      <c r="AA83" s="1"/>
    </row>
    <row r="84" s="25" customFormat="true" ht="15" hidden="false" customHeight="true" outlineLevel="0" collapsed="false">
      <c r="A84" s="45" t="s">
        <v>167</v>
      </c>
      <c r="B84" s="45"/>
      <c r="C84" s="46"/>
      <c r="D84" s="47"/>
      <c r="E84" s="47"/>
      <c r="F84" s="48"/>
      <c r="G84" s="49" t="n">
        <f aca="false">SUM(G11:G83)</f>
        <v>264</v>
      </c>
      <c r="H84" s="50" t="n">
        <f aca="false">SUM(H11:H83)</f>
        <v>1603016.86666667</v>
      </c>
      <c r="I84" s="32"/>
      <c r="J84" s="51"/>
      <c r="K84" s="35"/>
      <c r="L84" s="35"/>
      <c r="M84" s="36"/>
      <c r="N84" s="52"/>
      <c r="O84" s="52"/>
      <c r="P84" s="53"/>
      <c r="Q84" s="39"/>
      <c r="R84" s="54" t="n">
        <f aca="false">G84</f>
        <v>264</v>
      </c>
      <c r="S84" s="55" t="n">
        <f aca="false">SUM(S11:S83)</f>
        <v>0</v>
      </c>
      <c r="T84" s="24"/>
      <c r="U84" s="24"/>
      <c r="V84" s="24"/>
      <c r="W84" s="24"/>
      <c r="X84" s="24"/>
      <c r="Y84" s="24"/>
      <c r="Z84" s="24"/>
      <c r="AA84" s="1"/>
    </row>
    <row r="85" s="25" customFormat="true" ht="15.75" hidden="false" customHeight="true" outlineLevel="0" collapsed="false">
      <c r="A85" s="22" t="s">
        <v>168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4"/>
      <c r="U85" s="24"/>
      <c r="V85" s="24"/>
      <c r="W85" s="24"/>
      <c r="X85" s="24"/>
      <c r="Y85" s="24"/>
      <c r="Z85" s="24"/>
      <c r="AA85" s="1"/>
    </row>
    <row r="86" s="25" customFormat="true" ht="13.8" hidden="false" customHeight="false" outlineLevel="0" collapsed="false">
      <c r="A86" s="56" t="n">
        <v>1</v>
      </c>
      <c r="B86" s="27" t="s">
        <v>169</v>
      </c>
      <c r="C86" s="27" t="s">
        <v>170</v>
      </c>
      <c r="D86" s="57" t="s">
        <v>25</v>
      </c>
      <c r="E86" s="57"/>
      <c r="F86" s="29" t="n">
        <f aca="false">594000/1.2</f>
        <v>495000</v>
      </c>
      <c r="G86" s="30" t="n">
        <v>1</v>
      </c>
      <c r="H86" s="38" t="n">
        <f aca="false">F86*G86</f>
        <v>495000</v>
      </c>
      <c r="I86" s="32"/>
      <c r="J86" s="58" t="n">
        <f aca="false">A86</f>
        <v>1</v>
      </c>
      <c r="K86" s="59" t="str">
        <f aca="false">B86</f>
        <v>Вращатель БМ302 на базе ГАЗ66</v>
      </c>
      <c r="L86" s="35"/>
      <c r="M86" s="36"/>
      <c r="N86" s="60" t="str">
        <f aca="false">D86</f>
        <v>шт</v>
      </c>
      <c r="O86" s="60"/>
      <c r="P86" s="38" t="n">
        <f aca="false">F86</f>
        <v>495000</v>
      </c>
      <c r="Q86" s="39"/>
      <c r="R86" s="40" t="n">
        <v>1</v>
      </c>
      <c r="S86" s="41" t="n">
        <f aca="false">Q86*R86</f>
        <v>0</v>
      </c>
      <c r="T86" s="24"/>
      <c r="U86" s="24"/>
      <c r="V86" s="24"/>
      <c r="W86" s="24"/>
      <c r="X86" s="24"/>
      <c r="Y86" s="24"/>
      <c r="Z86" s="24"/>
      <c r="AA86" s="1"/>
    </row>
    <row r="87" s="25" customFormat="true" ht="37.3" hidden="false" customHeight="false" outlineLevel="0" collapsed="false">
      <c r="A87" s="56" t="n">
        <v>2</v>
      </c>
      <c r="B87" s="27" t="s">
        <v>46</v>
      </c>
      <c r="C87" s="27" t="s">
        <v>47</v>
      </c>
      <c r="D87" s="57" t="s">
        <v>25</v>
      </c>
      <c r="E87" s="57"/>
      <c r="F87" s="29" t="n">
        <f aca="false">82271.93/1.2</f>
        <v>68559.9416666667</v>
      </c>
      <c r="G87" s="30" t="n">
        <v>1</v>
      </c>
      <c r="H87" s="38" t="n">
        <f aca="false">F87*G87</f>
        <v>68559.9416666667</v>
      </c>
      <c r="I87" s="32"/>
      <c r="J87" s="58" t="n">
        <f aca="false">A87</f>
        <v>2</v>
      </c>
      <c r="K87" s="59" t="str">
        <f aca="false">B87</f>
        <v>Гидроцилиндр №144 ГЦ 160Х100Х610  (МКМ-200.02.80.0000)</v>
      </c>
      <c r="L87" s="35"/>
      <c r="M87" s="36"/>
      <c r="N87" s="60" t="str">
        <f aca="false">D87</f>
        <v>шт</v>
      </c>
      <c r="O87" s="60"/>
      <c r="P87" s="38" t="n">
        <f aca="false">F87</f>
        <v>68559.9416666667</v>
      </c>
      <c r="Q87" s="39"/>
      <c r="R87" s="40" t="n">
        <v>1</v>
      </c>
      <c r="S87" s="41" t="n">
        <f aca="false">Q87*R87</f>
        <v>0</v>
      </c>
      <c r="T87" s="24"/>
      <c r="U87" s="24"/>
      <c r="V87" s="24"/>
      <c r="W87" s="24"/>
      <c r="X87" s="24"/>
      <c r="Y87" s="24"/>
      <c r="Z87" s="24"/>
      <c r="AA87" s="1"/>
    </row>
    <row r="88" s="25" customFormat="true" ht="37.3" hidden="false" customHeight="false" outlineLevel="0" collapsed="false">
      <c r="A88" s="56" t="n">
        <v>3</v>
      </c>
      <c r="B88" s="27" t="s">
        <v>171</v>
      </c>
      <c r="C88" s="27" t="s">
        <v>172</v>
      </c>
      <c r="D88" s="57" t="s">
        <v>25</v>
      </c>
      <c r="E88" s="57"/>
      <c r="F88" s="29" t="n">
        <f aca="false">112860/1.2</f>
        <v>94050</v>
      </c>
      <c r="G88" s="30" t="n">
        <v>1</v>
      </c>
      <c r="H88" s="38" t="n">
        <f aca="false">F88*G88</f>
        <v>94050</v>
      </c>
      <c r="I88" s="32"/>
      <c r="J88" s="58" t="n">
        <f aca="false">A88</f>
        <v>3</v>
      </c>
      <c r="K88" s="59" t="str">
        <f aca="false">B88</f>
        <v>Канат для МКМ200 9.00 24х7-IWRC 2160 B ZZ EN 12385-4-2003</v>
      </c>
      <c r="L88" s="35"/>
      <c r="M88" s="36"/>
      <c r="N88" s="60" t="str">
        <f aca="false">D88</f>
        <v>шт</v>
      </c>
      <c r="O88" s="60"/>
      <c r="P88" s="38" t="n">
        <f aca="false">F88</f>
        <v>94050</v>
      </c>
      <c r="Q88" s="39"/>
      <c r="R88" s="40" t="n">
        <v>1</v>
      </c>
      <c r="S88" s="41" t="n">
        <f aca="false">Q88*R88</f>
        <v>0</v>
      </c>
      <c r="T88" s="24"/>
      <c r="U88" s="24"/>
      <c r="V88" s="24"/>
      <c r="W88" s="24"/>
      <c r="X88" s="24"/>
      <c r="Y88" s="24"/>
      <c r="Z88" s="24"/>
      <c r="AA88" s="1"/>
    </row>
    <row r="89" s="25" customFormat="true" ht="37.3" hidden="false" customHeight="false" outlineLevel="0" collapsed="false">
      <c r="A89" s="56" t="n">
        <v>4</v>
      </c>
      <c r="B89" s="27" t="s">
        <v>67</v>
      </c>
      <c r="C89" s="27" t="s">
        <v>68</v>
      </c>
      <c r="D89" s="57" t="s">
        <v>25</v>
      </c>
      <c r="E89" s="57"/>
      <c r="F89" s="29" t="n">
        <f aca="false">10000/1.2</f>
        <v>8333.33333333333</v>
      </c>
      <c r="G89" s="30" t="n">
        <v>1</v>
      </c>
      <c r="H89" s="38" t="n">
        <f aca="false">F89*G89</f>
        <v>8333.33333333333</v>
      </c>
      <c r="I89" s="32"/>
      <c r="J89" s="58" t="n">
        <f aca="false">A89</f>
        <v>4</v>
      </c>
      <c r="K89" s="59" t="str">
        <f aca="false">B89</f>
        <v>Клапан дозирования топлива ТНВД 47.1111344 ЯМЗ ЯЗДА в сборе</v>
      </c>
      <c r="L89" s="35"/>
      <c r="M89" s="36"/>
      <c r="N89" s="60" t="str">
        <f aca="false">D89</f>
        <v>шт</v>
      </c>
      <c r="O89" s="60"/>
      <c r="P89" s="38" t="n">
        <f aca="false">F89</f>
        <v>8333.33333333333</v>
      </c>
      <c r="Q89" s="39"/>
      <c r="R89" s="40" t="n">
        <v>1</v>
      </c>
      <c r="S89" s="41" t="n">
        <f aca="false">Q89*R89</f>
        <v>0</v>
      </c>
      <c r="T89" s="24"/>
      <c r="U89" s="24"/>
      <c r="V89" s="24"/>
      <c r="W89" s="24"/>
      <c r="X89" s="24"/>
      <c r="Y89" s="24"/>
      <c r="Z89" s="24"/>
      <c r="AA89" s="1"/>
    </row>
    <row r="90" s="25" customFormat="true" ht="25.35" hidden="false" customHeight="false" outlineLevel="0" collapsed="false">
      <c r="A90" s="56" t="n">
        <v>5</v>
      </c>
      <c r="B90" s="27" t="s">
        <v>173</v>
      </c>
      <c r="C90" s="27" t="s">
        <v>174</v>
      </c>
      <c r="D90" s="57" t="s">
        <v>25</v>
      </c>
      <c r="E90" s="57"/>
      <c r="F90" s="29" t="n">
        <f aca="false">28879.2/1.2</f>
        <v>24066</v>
      </c>
      <c r="G90" s="30" t="n">
        <v>1</v>
      </c>
      <c r="H90" s="38" t="n">
        <f aca="false">F90*G90</f>
        <v>24066</v>
      </c>
      <c r="I90" s="32"/>
      <c r="J90" s="58" t="n">
        <f aca="false">A90</f>
        <v>5</v>
      </c>
      <c r="K90" s="59" t="str">
        <f aca="false">B90</f>
        <v>Коробка отбора мощности PF 19001P UNI МКМ,ПСКБМ МАЗ</v>
      </c>
      <c r="L90" s="35"/>
      <c r="M90" s="36"/>
      <c r="N90" s="60" t="str">
        <f aca="false">D90</f>
        <v>шт</v>
      </c>
      <c r="O90" s="60"/>
      <c r="P90" s="38" t="n">
        <f aca="false">F90</f>
        <v>24066</v>
      </c>
      <c r="Q90" s="39"/>
      <c r="R90" s="40" t="n">
        <v>1</v>
      </c>
      <c r="S90" s="41" t="n">
        <f aca="false">Q90*R90</f>
        <v>0</v>
      </c>
      <c r="T90" s="24"/>
      <c r="U90" s="24"/>
      <c r="V90" s="24"/>
      <c r="W90" s="24"/>
      <c r="X90" s="24"/>
      <c r="Y90" s="24"/>
      <c r="Z90" s="24"/>
      <c r="AA90" s="1"/>
    </row>
    <row r="91" s="25" customFormat="true" ht="25.35" hidden="false" customHeight="false" outlineLevel="0" collapsed="false">
      <c r="A91" s="56" t="n">
        <v>6</v>
      </c>
      <c r="B91" s="27" t="s">
        <v>175</v>
      </c>
      <c r="C91" s="27" t="s">
        <v>176</v>
      </c>
      <c r="D91" s="57" t="s">
        <v>25</v>
      </c>
      <c r="E91" s="57"/>
      <c r="F91" s="29" t="n">
        <f aca="false">98000/1.2</f>
        <v>81666.6666666667</v>
      </c>
      <c r="G91" s="30" t="n">
        <v>1</v>
      </c>
      <c r="H91" s="38" t="n">
        <f aca="false">F91*G91</f>
        <v>81666.6666666667</v>
      </c>
      <c r="I91" s="32"/>
      <c r="J91" s="58" t="n">
        <f aca="false">A91</f>
        <v>6</v>
      </c>
      <c r="K91" s="59" t="str">
        <f aca="false">B91</f>
        <v>Мачта бурильная БКМ-317.40.20.1000</v>
      </c>
      <c r="L91" s="35"/>
      <c r="M91" s="36"/>
      <c r="N91" s="60" t="str">
        <f aca="false">D91</f>
        <v>шт</v>
      </c>
      <c r="O91" s="60"/>
      <c r="P91" s="38" t="n">
        <f aca="false">F91</f>
        <v>81666.6666666667</v>
      </c>
      <c r="Q91" s="39"/>
      <c r="R91" s="40" t="n">
        <v>1</v>
      </c>
      <c r="S91" s="41" t="n">
        <f aca="false">Q91*R91</f>
        <v>0</v>
      </c>
      <c r="T91" s="24"/>
      <c r="U91" s="24"/>
      <c r="V91" s="24"/>
      <c r="W91" s="24"/>
      <c r="X91" s="24"/>
      <c r="Y91" s="24"/>
      <c r="Z91" s="24"/>
      <c r="AA91" s="1"/>
    </row>
    <row r="92" s="25" customFormat="true" ht="25.35" hidden="false" customHeight="false" outlineLevel="0" collapsed="false">
      <c r="A92" s="56" t="n">
        <v>7</v>
      </c>
      <c r="B92" s="27" t="s">
        <v>177</v>
      </c>
      <c r="C92" s="27" t="s">
        <v>178</v>
      </c>
      <c r="D92" s="57" t="s">
        <v>25</v>
      </c>
      <c r="E92" s="57"/>
      <c r="F92" s="29" t="n">
        <f aca="false">28000/1.2</f>
        <v>23333.3333333333</v>
      </c>
      <c r="G92" s="30" t="n">
        <v>1</v>
      </c>
      <c r="H92" s="38" t="n">
        <f aca="false">F92*G92</f>
        <v>23333.3333333333</v>
      </c>
      <c r="I92" s="32"/>
      <c r="J92" s="58" t="n">
        <f aca="false">A92</f>
        <v>7</v>
      </c>
      <c r="K92" s="59" t="str">
        <f aca="false">B92</f>
        <v>Насос гидравлический 2PB19D-P54S2 (612080522)</v>
      </c>
      <c r="L92" s="35"/>
      <c r="M92" s="36"/>
      <c r="N92" s="60" t="str">
        <f aca="false">D92</f>
        <v>шт</v>
      </c>
      <c r="O92" s="60"/>
      <c r="P92" s="38" t="n">
        <f aca="false">F92</f>
        <v>23333.3333333333</v>
      </c>
      <c r="Q92" s="39"/>
      <c r="R92" s="40" t="n">
        <v>1</v>
      </c>
      <c r="S92" s="41" t="n">
        <f aca="false">Q92*R92</f>
        <v>0</v>
      </c>
      <c r="T92" s="24"/>
      <c r="U92" s="24"/>
      <c r="V92" s="24"/>
      <c r="W92" s="24"/>
      <c r="X92" s="24"/>
      <c r="Y92" s="24"/>
      <c r="Z92" s="24"/>
      <c r="AA92" s="1"/>
    </row>
    <row r="93" s="25" customFormat="true" ht="37.3" hidden="false" customHeight="false" outlineLevel="0" collapsed="false">
      <c r="A93" s="56" t="n">
        <v>8</v>
      </c>
      <c r="B93" s="27" t="s">
        <v>179</v>
      </c>
      <c r="C93" s="44" t="n">
        <v>623104230</v>
      </c>
      <c r="D93" s="57" t="s">
        <v>25</v>
      </c>
      <c r="E93" s="57"/>
      <c r="F93" s="29" t="n">
        <f aca="false">86000/1.2</f>
        <v>71666.6666666667</v>
      </c>
      <c r="G93" s="30" t="n">
        <v>1</v>
      </c>
      <c r="H93" s="38" t="n">
        <f aca="false">F93*G93</f>
        <v>71666.6666666667</v>
      </c>
      <c r="I93" s="32"/>
      <c r="J93" s="58" t="n">
        <f aca="false">A93</f>
        <v>8</v>
      </c>
      <c r="K93" s="59" t="str">
        <f aca="false">B93</f>
        <v>Распределитель гидравлический VDM6/MMMM/U4G 623104230 Salami</v>
      </c>
      <c r="L93" s="35"/>
      <c r="M93" s="36"/>
      <c r="N93" s="60" t="str">
        <f aca="false">D93</f>
        <v>шт</v>
      </c>
      <c r="O93" s="60"/>
      <c r="P93" s="38" t="n">
        <f aca="false">F93</f>
        <v>71666.6666666667</v>
      </c>
      <c r="Q93" s="39"/>
      <c r="R93" s="40" t="n">
        <v>1</v>
      </c>
      <c r="S93" s="41" t="n">
        <f aca="false">Q93*R93</f>
        <v>0</v>
      </c>
      <c r="T93" s="24"/>
      <c r="U93" s="24"/>
      <c r="V93" s="24"/>
      <c r="W93" s="24"/>
      <c r="X93" s="24"/>
      <c r="Y93" s="24"/>
      <c r="Z93" s="24"/>
      <c r="AA93" s="1"/>
    </row>
    <row r="94" s="25" customFormat="true" ht="13.8" hidden="false" customHeight="false" outlineLevel="0" collapsed="false">
      <c r="A94" s="56" t="n">
        <v>9</v>
      </c>
      <c r="B94" s="27" t="s">
        <v>180</v>
      </c>
      <c r="C94" s="27" t="s">
        <v>181</v>
      </c>
      <c r="D94" s="57" t="s">
        <v>25</v>
      </c>
      <c r="E94" s="57"/>
      <c r="F94" s="29" t="n">
        <f aca="false">1777.8/1.2</f>
        <v>1481.5</v>
      </c>
      <c r="G94" s="30" t="n">
        <v>30</v>
      </c>
      <c r="H94" s="38" t="n">
        <f aca="false">F94*G94</f>
        <v>44445</v>
      </c>
      <c r="I94" s="32"/>
      <c r="J94" s="58" t="n">
        <f aca="false">A94</f>
        <v>9</v>
      </c>
      <c r="K94" s="59" t="str">
        <f aca="false">B94</f>
        <v>Резец РБМ-35 БЛ-50.00.010</v>
      </c>
      <c r="L94" s="35"/>
      <c r="M94" s="36"/>
      <c r="N94" s="60" t="str">
        <f aca="false">D94</f>
        <v>шт</v>
      </c>
      <c r="O94" s="60"/>
      <c r="P94" s="38" t="n">
        <f aca="false">F94</f>
        <v>1481.5</v>
      </c>
      <c r="Q94" s="39"/>
      <c r="R94" s="40" t="n">
        <v>30</v>
      </c>
      <c r="S94" s="41" t="n">
        <f aca="false">Q94*R94</f>
        <v>0</v>
      </c>
      <c r="T94" s="24"/>
      <c r="U94" s="24"/>
      <c r="V94" s="24"/>
      <c r="W94" s="24"/>
      <c r="X94" s="24"/>
      <c r="Y94" s="24"/>
      <c r="Z94" s="24"/>
      <c r="AA94" s="1"/>
    </row>
    <row r="95" s="25" customFormat="true" ht="25.35" hidden="false" customHeight="false" outlineLevel="0" collapsed="false">
      <c r="A95" s="56" t="n">
        <v>10</v>
      </c>
      <c r="B95" s="27" t="s">
        <v>182</v>
      </c>
      <c r="C95" s="27" t="s">
        <v>183</v>
      </c>
      <c r="D95" s="57" t="s">
        <v>25</v>
      </c>
      <c r="E95" s="57"/>
      <c r="F95" s="29" t="n">
        <f aca="false">56000/1.2</f>
        <v>46666.6666666667</v>
      </c>
      <c r="G95" s="30" t="n">
        <v>1</v>
      </c>
      <c r="H95" s="38" t="n">
        <f aca="false">F95*G95</f>
        <v>46666.6666666667</v>
      </c>
      <c r="I95" s="32"/>
      <c r="J95" s="58" t="n">
        <f aca="false">A95</f>
        <v>10</v>
      </c>
      <c r="K95" s="59" t="str">
        <f aca="false">B95</f>
        <v>Устройство крановое БКМ-317.40.20.2000</v>
      </c>
      <c r="L95" s="35"/>
      <c r="M95" s="36"/>
      <c r="N95" s="60" t="str">
        <f aca="false">D95</f>
        <v>шт</v>
      </c>
      <c r="O95" s="60"/>
      <c r="P95" s="38" t="n">
        <f aca="false">F95</f>
        <v>46666.6666666667</v>
      </c>
      <c r="Q95" s="39"/>
      <c r="R95" s="40" t="n">
        <v>1</v>
      </c>
      <c r="S95" s="41" t="n">
        <f aca="false">Q95*R95</f>
        <v>0</v>
      </c>
      <c r="T95" s="24"/>
      <c r="U95" s="24"/>
      <c r="V95" s="24"/>
      <c r="W95" s="24"/>
      <c r="X95" s="24"/>
      <c r="Y95" s="24"/>
      <c r="Z95" s="24"/>
      <c r="AA95" s="1"/>
    </row>
    <row r="96" s="25" customFormat="true" ht="37.3" hidden="false" customHeight="false" outlineLevel="0" collapsed="false">
      <c r="A96" s="56" t="n">
        <v>11</v>
      </c>
      <c r="B96" s="27" t="s">
        <v>184</v>
      </c>
      <c r="C96" s="27" t="s">
        <v>185</v>
      </c>
      <c r="D96" s="57" t="s">
        <v>25</v>
      </c>
      <c r="E96" s="57"/>
      <c r="F96" s="29" t="n">
        <f aca="false">4590/1.2</f>
        <v>3825</v>
      </c>
      <c r="G96" s="30" t="n">
        <v>2</v>
      </c>
      <c r="H96" s="38" t="n">
        <f aca="false">F96*G96</f>
        <v>7650</v>
      </c>
      <c r="I96" s="32"/>
      <c r="J96" s="58" t="n">
        <f aca="false">A96</f>
        <v>11</v>
      </c>
      <c r="K96" s="59" t="str">
        <f aca="false">B96</f>
        <v>Фильтр воздушный 612В-81-7042/6127-81-7412+6128-81 Komatsu,Shantui в сборе</v>
      </c>
      <c r="L96" s="35"/>
      <c r="M96" s="36"/>
      <c r="N96" s="60" t="str">
        <f aca="false">D96</f>
        <v>шт</v>
      </c>
      <c r="O96" s="60"/>
      <c r="P96" s="38" t="n">
        <f aca="false">F96</f>
        <v>3825</v>
      </c>
      <c r="Q96" s="39"/>
      <c r="R96" s="40" t="n">
        <v>2</v>
      </c>
      <c r="S96" s="41" t="n">
        <f aca="false">Q96*R96</f>
        <v>0</v>
      </c>
      <c r="T96" s="24"/>
      <c r="U96" s="24"/>
      <c r="V96" s="24"/>
      <c r="W96" s="24"/>
      <c r="X96" s="24"/>
      <c r="Y96" s="24"/>
      <c r="Z96" s="24"/>
      <c r="AA96" s="1"/>
    </row>
    <row r="97" s="25" customFormat="true" ht="25.35" hidden="false" customHeight="false" outlineLevel="0" collapsed="false">
      <c r="A97" s="56" t="n">
        <v>12</v>
      </c>
      <c r="B97" s="27" t="s">
        <v>186</v>
      </c>
      <c r="C97" s="27" t="s">
        <v>187</v>
      </c>
      <c r="D97" s="57" t="s">
        <v>25</v>
      </c>
      <c r="E97" s="57"/>
      <c r="F97" s="29" t="n">
        <f aca="false">1782/1.2</f>
        <v>1485</v>
      </c>
      <c r="G97" s="30" t="n">
        <v>2</v>
      </c>
      <c r="H97" s="38" t="n">
        <f aca="false">F97*G97</f>
        <v>2970</v>
      </c>
      <c r="I97" s="32"/>
      <c r="J97" s="58" t="n">
        <f aca="false">A97</f>
        <v>12</v>
      </c>
      <c r="K97" s="59" t="str">
        <f aca="false">B97</f>
        <v>Фильтр масляный LF670/ST10804/3889310</v>
      </c>
      <c r="L97" s="35"/>
      <c r="M97" s="36"/>
      <c r="N97" s="60" t="str">
        <f aca="false">D97</f>
        <v>шт</v>
      </c>
      <c r="O97" s="60"/>
      <c r="P97" s="38" t="n">
        <f aca="false">F97</f>
        <v>1485</v>
      </c>
      <c r="Q97" s="39"/>
      <c r="R97" s="40" t="n">
        <v>2</v>
      </c>
      <c r="S97" s="41" t="n">
        <f aca="false">Q97*R97</f>
        <v>0</v>
      </c>
      <c r="T97" s="24"/>
      <c r="U97" s="24"/>
      <c r="V97" s="24"/>
      <c r="W97" s="24"/>
      <c r="X97" s="24"/>
      <c r="Y97" s="24"/>
      <c r="Z97" s="24"/>
      <c r="AA97" s="1"/>
    </row>
    <row r="98" s="25" customFormat="true" ht="25.35" hidden="false" customHeight="false" outlineLevel="0" collapsed="false">
      <c r="A98" s="56" t="n">
        <v>13</v>
      </c>
      <c r="B98" s="27" t="s">
        <v>188</v>
      </c>
      <c r="C98" s="27" t="s">
        <v>189</v>
      </c>
      <c r="D98" s="57" t="s">
        <v>25</v>
      </c>
      <c r="E98" s="57"/>
      <c r="F98" s="29" t="n">
        <f aca="false">1782/1.2</f>
        <v>1485</v>
      </c>
      <c r="G98" s="30" t="n">
        <v>2</v>
      </c>
      <c r="H98" s="38" t="n">
        <f aca="false">F98*G98</f>
        <v>2970</v>
      </c>
      <c r="I98" s="32"/>
      <c r="J98" s="58" t="n">
        <f aca="false">A98</f>
        <v>13</v>
      </c>
      <c r="K98" s="59" t="str">
        <f aca="false">B98</f>
        <v>Фильтр масляный LF777/ST10805/3889311</v>
      </c>
      <c r="L98" s="35"/>
      <c r="M98" s="36"/>
      <c r="N98" s="60" t="str">
        <f aca="false">D98</f>
        <v>шт</v>
      </c>
      <c r="O98" s="60"/>
      <c r="P98" s="38" t="n">
        <f aca="false">F98</f>
        <v>1485</v>
      </c>
      <c r="Q98" s="39"/>
      <c r="R98" s="40" t="n">
        <v>2</v>
      </c>
      <c r="S98" s="41" t="n">
        <f aca="false">Q98*R98</f>
        <v>0</v>
      </c>
      <c r="T98" s="24"/>
      <c r="U98" s="24"/>
      <c r="V98" s="24"/>
      <c r="W98" s="24"/>
      <c r="X98" s="24"/>
      <c r="Y98" s="24"/>
      <c r="Z98" s="24"/>
      <c r="AA98" s="1"/>
    </row>
    <row r="99" s="25" customFormat="true" ht="25.35" hidden="false" customHeight="false" outlineLevel="0" collapsed="false">
      <c r="A99" s="56" t="n">
        <v>14</v>
      </c>
      <c r="B99" s="27" t="s">
        <v>190</v>
      </c>
      <c r="C99" s="27" t="s">
        <v>191</v>
      </c>
      <c r="D99" s="57" t="s">
        <v>25</v>
      </c>
      <c r="E99" s="57"/>
      <c r="F99" s="29" t="n">
        <f aca="false">1782/1.2</f>
        <v>1485</v>
      </c>
      <c r="G99" s="30" t="n">
        <v>1</v>
      </c>
      <c r="H99" s="38" t="n">
        <f aca="false">F99*G99</f>
        <v>1485</v>
      </c>
      <c r="I99" s="32"/>
      <c r="J99" s="58" t="n">
        <f aca="false">A99</f>
        <v>14</v>
      </c>
      <c r="K99" s="59" t="str">
        <f aca="false">B99</f>
        <v>Фильтр охлаждающей жидкости ST-SX824</v>
      </c>
      <c r="L99" s="35"/>
      <c r="M99" s="36"/>
      <c r="N99" s="60" t="str">
        <f aca="false">D99</f>
        <v>шт</v>
      </c>
      <c r="O99" s="60"/>
      <c r="P99" s="38" t="n">
        <f aca="false">F99</f>
        <v>1485</v>
      </c>
      <c r="Q99" s="39"/>
      <c r="R99" s="40" t="n">
        <v>1</v>
      </c>
      <c r="S99" s="41" t="n">
        <f aca="false">Q99*R99</f>
        <v>0</v>
      </c>
      <c r="T99" s="24"/>
      <c r="U99" s="24"/>
      <c r="V99" s="24"/>
      <c r="W99" s="24"/>
      <c r="X99" s="24"/>
      <c r="Y99" s="24"/>
      <c r="Z99" s="24"/>
      <c r="AA99" s="1"/>
    </row>
    <row r="100" s="25" customFormat="true" ht="25.35" hidden="false" customHeight="false" outlineLevel="0" collapsed="false">
      <c r="A100" s="56" t="n">
        <v>15</v>
      </c>
      <c r="B100" s="61" t="s">
        <v>192</v>
      </c>
      <c r="C100" s="61" t="s">
        <v>193</v>
      </c>
      <c r="D100" s="57" t="s">
        <v>25</v>
      </c>
      <c r="E100" s="57"/>
      <c r="F100" s="62" t="n">
        <f aca="false">591.07/1.2</f>
        <v>492.558333333333</v>
      </c>
      <c r="G100" s="63" t="n">
        <v>4</v>
      </c>
      <c r="H100" s="38" t="n">
        <f aca="false">F100*G100</f>
        <v>1970.23333333333</v>
      </c>
      <c r="I100" s="32"/>
      <c r="J100" s="58" t="n">
        <f aca="false">A100</f>
        <v>15</v>
      </c>
      <c r="K100" s="59" t="str">
        <f aca="false">B100</f>
        <v>Фильтр топливный CX806/FS1212/3308638/SFC5705</v>
      </c>
      <c r="L100" s="35"/>
      <c r="M100" s="36"/>
      <c r="N100" s="60" t="str">
        <f aca="false">D100</f>
        <v>шт</v>
      </c>
      <c r="O100" s="60"/>
      <c r="P100" s="38" t="n">
        <f aca="false">F100</f>
        <v>492.558333333333</v>
      </c>
      <c r="Q100" s="39"/>
      <c r="R100" s="64" t="n">
        <v>4</v>
      </c>
      <c r="S100" s="41" t="n">
        <f aca="false">Q100*R100</f>
        <v>0</v>
      </c>
      <c r="T100" s="24"/>
      <c r="U100" s="24"/>
      <c r="V100" s="24"/>
      <c r="W100" s="24"/>
      <c r="X100" s="24"/>
      <c r="Y100" s="24"/>
      <c r="Z100" s="24"/>
      <c r="AA100" s="1"/>
    </row>
    <row r="101" s="25" customFormat="true" ht="25.35" hidden="false" customHeight="false" outlineLevel="0" collapsed="false">
      <c r="A101" s="56" t="n">
        <v>16</v>
      </c>
      <c r="B101" s="61" t="s">
        <v>194</v>
      </c>
      <c r="C101" s="61" t="s">
        <v>195</v>
      </c>
      <c r="D101" s="65" t="s">
        <v>25</v>
      </c>
      <c r="E101" s="65"/>
      <c r="F101" s="66" t="n">
        <f aca="false">1782/1.2</f>
        <v>1485</v>
      </c>
      <c r="G101" s="63" t="n">
        <v>2</v>
      </c>
      <c r="H101" s="38" t="n">
        <f aca="false">F101*G101</f>
        <v>2970</v>
      </c>
      <c r="I101" s="32"/>
      <c r="J101" s="58" t="n">
        <f aca="false">A101</f>
        <v>16</v>
      </c>
      <c r="K101" s="59" t="str">
        <f aca="false">B101</f>
        <v>Фильтр топливный ST20806/CX806</v>
      </c>
      <c r="L101" s="35"/>
      <c r="M101" s="36"/>
      <c r="N101" s="60" t="str">
        <f aca="false">D101</f>
        <v>шт</v>
      </c>
      <c r="O101" s="67"/>
      <c r="P101" s="38" t="n">
        <f aca="false">F101</f>
        <v>1485</v>
      </c>
      <c r="Q101" s="39"/>
      <c r="R101" s="64" t="n">
        <v>2</v>
      </c>
      <c r="S101" s="41" t="n">
        <f aca="false">Q101*R101</f>
        <v>0</v>
      </c>
      <c r="T101" s="24"/>
      <c r="U101" s="24"/>
      <c r="V101" s="24"/>
      <c r="W101" s="24"/>
      <c r="X101" s="24"/>
      <c r="Y101" s="24"/>
      <c r="Z101" s="24"/>
      <c r="AA101" s="1"/>
    </row>
    <row r="102" customFormat="false" ht="15.75" hidden="false" customHeight="true" outlineLevel="0" collapsed="false">
      <c r="A102" s="45" t="s">
        <v>167</v>
      </c>
      <c r="B102" s="45"/>
      <c r="C102" s="46"/>
      <c r="D102" s="47"/>
      <c r="E102" s="47"/>
      <c r="F102" s="48"/>
      <c r="G102" s="68" t="n">
        <f aca="false">SUM(G86:G101)</f>
        <v>52</v>
      </c>
      <c r="H102" s="69" t="n">
        <f aca="false">SUM(H86:H101)</f>
        <v>977802.841666667</v>
      </c>
      <c r="I102" s="70"/>
      <c r="J102" s="70"/>
      <c r="K102" s="70"/>
      <c r="L102" s="70"/>
      <c r="M102" s="70"/>
      <c r="N102" s="70"/>
      <c r="O102" s="70"/>
      <c r="P102" s="70"/>
      <c r="Q102" s="70"/>
      <c r="R102" s="54" t="n">
        <f aca="false">G102</f>
        <v>52</v>
      </c>
      <c r="S102" s="55" t="n">
        <f aca="false">SUM(S86:S101)</f>
        <v>0</v>
      </c>
    </row>
    <row r="103" customFormat="false" ht="15" hidden="false" customHeight="false" outlineLevel="0" collapsed="false">
      <c r="A103" s="71" t="s">
        <v>196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</row>
    <row r="104" customFormat="false" ht="25.35" hidden="false" customHeight="false" outlineLevel="0" collapsed="false">
      <c r="A104" s="26" t="n">
        <v>1</v>
      </c>
      <c r="B104" s="27" t="s">
        <v>197</v>
      </c>
      <c r="C104" s="27" t="s">
        <v>198</v>
      </c>
      <c r="D104" s="28" t="s">
        <v>25</v>
      </c>
      <c r="E104" s="28"/>
      <c r="F104" s="29" t="n">
        <f aca="false">2166.81/1.2</f>
        <v>1805.675</v>
      </c>
      <c r="G104" s="30" t="n">
        <v>1</v>
      </c>
      <c r="H104" s="38" t="n">
        <f aca="false">G104*F104</f>
        <v>1805.675</v>
      </c>
      <c r="I104" s="70"/>
      <c r="J104" s="33" t="n">
        <f aca="false">A104</f>
        <v>1</v>
      </c>
      <c r="K104" s="34" t="str">
        <f aca="false">B104</f>
        <v>Болт М16х40  DIN 933  01.10.16040.С</v>
      </c>
      <c r="L104" s="35"/>
      <c r="M104" s="70"/>
      <c r="N104" s="72" t="str">
        <f aca="false">D104</f>
        <v>шт</v>
      </c>
      <c r="O104" s="72"/>
      <c r="P104" s="41" t="n">
        <f aca="false">F104</f>
        <v>1805.675</v>
      </c>
      <c r="Q104" s="70"/>
      <c r="R104" s="72" t="n">
        <f aca="false">G104</f>
        <v>1</v>
      </c>
      <c r="S104" s="41" t="n">
        <f aca="false">R104*Q104</f>
        <v>0</v>
      </c>
    </row>
    <row r="105" customFormat="false" ht="25.35" hidden="false" customHeight="false" outlineLevel="0" collapsed="false">
      <c r="A105" s="26" t="n">
        <v>2</v>
      </c>
      <c r="B105" s="27" t="s">
        <v>199</v>
      </c>
      <c r="C105" s="27" t="s">
        <v>200</v>
      </c>
      <c r="D105" s="28" t="s">
        <v>25</v>
      </c>
      <c r="E105" s="28"/>
      <c r="F105" s="29" t="n">
        <f aca="false">2166.81/1.2</f>
        <v>1805.675</v>
      </c>
      <c r="G105" s="30" t="n">
        <v>1</v>
      </c>
      <c r="H105" s="38" t="n">
        <f aca="false">G105*F105</f>
        <v>1805.675</v>
      </c>
      <c r="I105" s="70"/>
      <c r="J105" s="33" t="n">
        <f aca="false">A105</f>
        <v>2</v>
      </c>
      <c r="K105" s="34" t="str">
        <f aca="false">B105</f>
        <v>Болт М16х50  DIN 933  01.10.16050.С</v>
      </c>
      <c r="L105" s="35"/>
      <c r="M105" s="70"/>
      <c r="N105" s="72" t="str">
        <f aca="false">D105</f>
        <v>шт</v>
      </c>
      <c r="O105" s="72"/>
      <c r="P105" s="41" t="n">
        <f aca="false">F105</f>
        <v>1805.675</v>
      </c>
      <c r="Q105" s="70"/>
      <c r="R105" s="72" t="n">
        <f aca="false">G105</f>
        <v>1</v>
      </c>
      <c r="S105" s="41" t="n">
        <f aca="false">R105*Q105</f>
        <v>0</v>
      </c>
    </row>
    <row r="106" customFormat="false" ht="13.8" hidden="false" customHeight="false" outlineLevel="0" collapsed="false">
      <c r="A106" s="26" t="n">
        <v>3</v>
      </c>
      <c r="B106" s="27" t="s">
        <v>201</v>
      </c>
      <c r="C106" s="27" t="s">
        <v>202</v>
      </c>
      <c r="D106" s="28" t="s">
        <v>25</v>
      </c>
      <c r="E106" s="28"/>
      <c r="F106" s="42" t="n">
        <f aca="false">83.83/1.2</f>
        <v>69.8583333333333</v>
      </c>
      <c r="G106" s="30" t="n">
        <v>28</v>
      </c>
      <c r="H106" s="38" t="n">
        <f aca="false">G106*F106</f>
        <v>1956.03333333333</v>
      </c>
      <c r="I106" s="70"/>
      <c r="J106" s="33" t="n">
        <f aca="false">A106</f>
        <v>3</v>
      </c>
      <c r="K106" s="34" t="str">
        <f aca="false">B106</f>
        <v>Гайка</v>
      </c>
      <c r="L106" s="35"/>
      <c r="M106" s="70"/>
      <c r="N106" s="72" t="str">
        <f aca="false">D106</f>
        <v>шт</v>
      </c>
      <c r="O106" s="72"/>
      <c r="P106" s="41" t="n">
        <f aca="false">F106</f>
        <v>69.8583333333333</v>
      </c>
      <c r="Q106" s="70"/>
      <c r="R106" s="72" t="n">
        <f aca="false">G106</f>
        <v>28</v>
      </c>
      <c r="S106" s="41" t="n">
        <f aca="false">R106*Q106</f>
        <v>0</v>
      </c>
    </row>
    <row r="107" customFormat="false" ht="13.8" hidden="false" customHeight="false" outlineLevel="0" collapsed="false">
      <c r="A107" s="26" t="n">
        <v>4</v>
      </c>
      <c r="B107" s="27" t="s">
        <v>203</v>
      </c>
      <c r="C107" s="27" t="s">
        <v>204</v>
      </c>
      <c r="D107" s="28" t="s">
        <v>25</v>
      </c>
      <c r="E107" s="28"/>
      <c r="F107" s="29" t="n">
        <f aca="false">48056.66/1.2</f>
        <v>40047.2166666667</v>
      </c>
      <c r="G107" s="30" t="n">
        <v>12</v>
      </c>
      <c r="H107" s="38" t="n">
        <f aca="false">G107*F107</f>
        <v>480566.6</v>
      </c>
      <c r="I107" s="70"/>
      <c r="J107" s="33" t="n">
        <f aca="false">A107</f>
        <v>4</v>
      </c>
      <c r="K107" s="34" t="str">
        <f aca="false">B107</f>
        <v>Каток опорный 3902-3204110</v>
      </c>
      <c r="L107" s="35"/>
      <c r="M107" s="70"/>
      <c r="N107" s="72" t="str">
        <f aca="false">D107</f>
        <v>шт</v>
      </c>
      <c r="O107" s="72"/>
      <c r="P107" s="41" t="n">
        <f aca="false">F107</f>
        <v>40047.2166666667</v>
      </c>
      <c r="Q107" s="70"/>
      <c r="R107" s="72" t="n">
        <f aca="false">G107</f>
        <v>12</v>
      </c>
      <c r="S107" s="41" t="n">
        <f aca="false">R107*Q107</f>
        <v>0</v>
      </c>
    </row>
    <row r="108" customFormat="false" ht="25.35" hidden="false" customHeight="false" outlineLevel="0" collapsed="false">
      <c r="A108" s="26" t="n">
        <v>5</v>
      </c>
      <c r="B108" s="27" t="s">
        <v>205</v>
      </c>
      <c r="C108" s="27" t="s">
        <v>206</v>
      </c>
      <c r="D108" s="28" t="s">
        <v>25</v>
      </c>
      <c r="E108" s="28"/>
      <c r="F108" s="29" t="n">
        <f aca="false">84909.88/1.2</f>
        <v>70758.2333333333</v>
      </c>
      <c r="G108" s="30" t="n">
        <v>2</v>
      </c>
      <c r="H108" s="38" t="n">
        <f aca="false">G108*F108</f>
        <v>141516.466666667</v>
      </c>
      <c r="I108" s="70"/>
      <c r="J108" s="33" t="n">
        <f aca="false">A108</f>
        <v>5</v>
      </c>
      <c r="K108" s="34" t="str">
        <f aca="false">B108</f>
        <v>Колесо ведущее ТТМ 3902 под РМШ</v>
      </c>
      <c r="L108" s="35"/>
      <c r="M108" s="70"/>
      <c r="N108" s="72" t="str">
        <f aca="false">D108</f>
        <v>шт</v>
      </c>
      <c r="O108" s="72"/>
      <c r="P108" s="41" t="n">
        <f aca="false">F108</f>
        <v>70758.2333333333</v>
      </c>
      <c r="Q108" s="70"/>
      <c r="R108" s="72" t="n">
        <f aca="false">G108</f>
        <v>2</v>
      </c>
      <c r="S108" s="41" t="n">
        <f aca="false">R108*Q108</f>
        <v>0</v>
      </c>
    </row>
    <row r="109" customFormat="false" ht="25.35" hidden="false" customHeight="false" outlineLevel="0" collapsed="false">
      <c r="A109" s="26" t="n">
        <v>6</v>
      </c>
      <c r="B109" s="27" t="s">
        <v>207</v>
      </c>
      <c r="C109" s="27" t="s">
        <v>208</v>
      </c>
      <c r="D109" s="28" t="s">
        <v>25</v>
      </c>
      <c r="E109" s="28"/>
      <c r="F109" s="29" t="n">
        <f aca="false">1000.27/1.2</f>
        <v>833.558333333333</v>
      </c>
      <c r="G109" s="30" t="n">
        <v>12</v>
      </c>
      <c r="H109" s="38" t="n">
        <f aca="false">G109*F109</f>
        <v>10002.7</v>
      </c>
      <c r="I109" s="70"/>
      <c r="J109" s="33" t="n">
        <f aca="false">A109</f>
        <v>6</v>
      </c>
      <c r="K109" s="34" t="str">
        <f aca="false">B109</f>
        <v>Подшипник 6- 408(6408)(VBF) 40*110*27</v>
      </c>
      <c r="L109" s="35"/>
      <c r="M109" s="70"/>
      <c r="N109" s="72" t="str">
        <f aca="false">D109</f>
        <v>шт</v>
      </c>
      <c r="O109" s="72"/>
      <c r="P109" s="41" t="n">
        <f aca="false">F109</f>
        <v>833.558333333333</v>
      </c>
      <c r="Q109" s="70"/>
      <c r="R109" s="72" t="n">
        <f aca="false">G109</f>
        <v>12</v>
      </c>
      <c r="S109" s="41" t="n">
        <f aca="false">R109*Q109</f>
        <v>0</v>
      </c>
    </row>
    <row r="110" customFormat="false" ht="25.35" hidden="false" customHeight="false" outlineLevel="0" collapsed="false">
      <c r="A110" s="26" t="n">
        <v>7</v>
      </c>
      <c r="B110" s="27" t="s">
        <v>209</v>
      </c>
      <c r="C110" s="27" t="s">
        <v>210</v>
      </c>
      <c r="D110" s="28" t="s">
        <v>25</v>
      </c>
      <c r="E110" s="28"/>
      <c r="F110" s="29" t="n">
        <f aca="false">1214.83/1.2</f>
        <v>1012.35833333333</v>
      </c>
      <c r="G110" s="30" t="n">
        <v>12</v>
      </c>
      <c r="H110" s="38" t="n">
        <f aca="false">G110*F110</f>
        <v>12148.3</v>
      </c>
      <c r="I110" s="70"/>
      <c r="J110" s="33" t="n">
        <f aca="false">A110</f>
        <v>7</v>
      </c>
      <c r="K110" s="34" t="str">
        <f aca="false">B110</f>
        <v>Подшипник6- 409(6409)(VBF) 45*120*29</v>
      </c>
      <c r="L110" s="35"/>
      <c r="M110" s="70"/>
      <c r="N110" s="72" t="str">
        <f aca="false">D110</f>
        <v>шт</v>
      </c>
      <c r="O110" s="72"/>
      <c r="P110" s="41" t="n">
        <f aca="false">F110</f>
        <v>1012.35833333333</v>
      </c>
      <c r="Q110" s="70"/>
      <c r="R110" s="72" t="n">
        <f aca="false">G110</f>
        <v>12</v>
      </c>
      <c r="S110" s="41" t="n">
        <f aca="false">R110*Q110</f>
        <v>0</v>
      </c>
    </row>
    <row r="111" customFormat="false" ht="37.3" hidden="false" customHeight="false" outlineLevel="0" collapsed="false">
      <c r="A111" s="26" t="n">
        <v>8</v>
      </c>
      <c r="B111" s="27" t="s">
        <v>211</v>
      </c>
      <c r="C111" s="27" t="s">
        <v>212</v>
      </c>
      <c r="D111" s="28" t="s">
        <v>25</v>
      </c>
      <c r="E111" s="28"/>
      <c r="F111" s="29" t="n">
        <f aca="false">5988.36/1.2</f>
        <v>4990.3</v>
      </c>
      <c r="G111" s="30" t="n">
        <v>4</v>
      </c>
      <c r="H111" s="38" t="n">
        <f aca="false">G111*F111</f>
        <v>19961.2</v>
      </c>
      <c r="I111" s="70"/>
      <c r="J111" s="33" t="n">
        <f aca="false">A111</f>
        <v>8</v>
      </c>
      <c r="K111" s="34" t="str">
        <f aca="false">B111</f>
        <v>Фильтр воздушный в сборе (внешний+внутренний) Shantui  SD 16 6I0274/6I0273</v>
      </c>
      <c r="L111" s="35"/>
      <c r="M111" s="70"/>
      <c r="N111" s="72" t="str">
        <f aca="false">D111</f>
        <v>шт</v>
      </c>
      <c r="O111" s="72"/>
      <c r="P111" s="41" t="n">
        <f aca="false">F111</f>
        <v>4990.3</v>
      </c>
      <c r="Q111" s="70"/>
      <c r="R111" s="72" t="n">
        <f aca="false">G111</f>
        <v>4</v>
      </c>
      <c r="S111" s="41" t="n">
        <f aca="false">R111*Q111</f>
        <v>0</v>
      </c>
    </row>
    <row r="112" customFormat="false" ht="49.25" hidden="false" customHeight="false" outlineLevel="0" collapsed="false">
      <c r="A112" s="26" t="n">
        <v>9</v>
      </c>
      <c r="B112" s="27" t="s">
        <v>213</v>
      </c>
      <c r="C112" s="27" t="s">
        <v>214</v>
      </c>
      <c r="D112" s="28" t="s">
        <v>25</v>
      </c>
      <c r="E112" s="28"/>
      <c r="F112" s="29" t="n">
        <f aca="false">1202.13/1.2</f>
        <v>1001.775</v>
      </c>
      <c r="G112" s="30" t="n">
        <v>4</v>
      </c>
      <c r="H112" s="38" t="n">
        <f aca="false">G112*F112</f>
        <v>4007.1</v>
      </c>
      <c r="I112" s="70"/>
      <c r="J112" s="33" t="n">
        <f aca="false">A112</f>
        <v>9</v>
      </c>
      <c r="K112" s="34" t="str">
        <f aca="false">B112</f>
        <v>Фильтр гидравлический (трансмиссия) SP808/175-49-11580/HF6072/H5606/16Y-75-23200</v>
      </c>
      <c r="L112" s="35"/>
      <c r="M112" s="70"/>
      <c r="N112" s="72" t="str">
        <f aca="false">D112</f>
        <v>шт</v>
      </c>
      <c r="O112" s="72"/>
      <c r="P112" s="41" t="n">
        <f aca="false">F112</f>
        <v>1001.775</v>
      </c>
      <c r="Q112" s="70"/>
      <c r="R112" s="72" t="n">
        <f aca="false">G112</f>
        <v>4</v>
      </c>
      <c r="S112" s="41" t="n">
        <f aca="false">R112*Q112</f>
        <v>0</v>
      </c>
    </row>
    <row r="113" customFormat="false" ht="25.35" hidden="false" customHeight="false" outlineLevel="0" collapsed="false">
      <c r="A113" s="26" t="n">
        <v>10</v>
      </c>
      <c r="B113" s="27" t="s">
        <v>215</v>
      </c>
      <c r="C113" s="27" t="s">
        <v>216</v>
      </c>
      <c r="D113" s="28" t="s">
        <v>25</v>
      </c>
      <c r="E113" s="28"/>
      <c r="F113" s="29" t="n">
        <f aca="false">1127.01/1.2</f>
        <v>939.175</v>
      </c>
      <c r="G113" s="30" t="n">
        <v>4</v>
      </c>
      <c r="H113" s="38" t="n">
        <f aca="false">G113*F113</f>
        <v>3756.7</v>
      </c>
      <c r="I113" s="70"/>
      <c r="J113" s="33" t="n">
        <f aca="false">A113</f>
        <v>10</v>
      </c>
      <c r="K113" s="34" t="str">
        <f aca="false">B113</f>
        <v>Фильтр гидравлического бака 16Y-60-13000</v>
      </c>
      <c r="L113" s="35"/>
      <c r="M113" s="70"/>
      <c r="N113" s="72" t="str">
        <f aca="false">D113</f>
        <v>шт</v>
      </c>
      <c r="O113" s="72"/>
      <c r="P113" s="41" t="n">
        <f aca="false">F113</f>
        <v>939.175</v>
      </c>
      <c r="Q113" s="70"/>
      <c r="R113" s="72" t="n">
        <f aca="false">G113</f>
        <v>4</v>
      </c>
      <c r="S113" s="41" t="n">
        <f aca="false">R113*Q113</f>
        <v>0</v>
      </c>
    </row>
    <row r="114" customFormat="false" ht="37.3" hidden="false" customHeight="false" outlineLevel="0" collapsed="false">
      <c r="A114" s="26" t="n">
        <v>11</v>
      </c>
      <c r="B114" s="27" t="s">
        <v>217</v>
      </c>
      <c r="C114" s="27" t="s">
        <v>218</v>
      </c>
      <c r="D114" s="28" t="s">
        <v>25</v>
      </c>
      <c r="E114" s="28"/>
      <c r="F114" s="42" t="n">
        <f aca="false">525.95/1.2</f>
        <v>438.291666666667</v>
      </c>
      <c r="G114" s="30" t="n">
        <v>4</v>
      </c>
      <c r="H114" s="38" t="n">
        <f aca="false">G114*F114</f>
        <v>1753.16666666667</v>
      </c>
      <c r="I114" s="70"/>
      <c r="J114" s="33" t="n">
        <f aca="false">A114</f>
        <v>11</v>
      </c>
      <c r="K114" s="34" t="str">
        <f aca="false">B114</f>
        <v>Фильтр гидротрансформатора SP808/195-13-13420/16Y-75-13100</v>
      </c>
      <c r="L114" s="35"/>
      <c r="M114" s="70"/>
      <c r="N114" s="72" t="str">
        <f aca="false">D114</f>
        <v>шт</v>
      </c>
      <c r="O114" s="72"/>
      <c r="P114" s="41" t="n">
        <f aca="false">F114</f>
        <v>438.291666666667</v>
      </c>
      <c r="Q114" s="70"/>
      <c r="R114" s="72" t="n">
        <f aca="false">G114</f>
        <v>4</v>
      </c>
      <c r="S114" s="41" t="n">
        <f aca="false">R114*Q114</f>
        <v>0</v>
      </c>
    </row>
    <row r="115" customFormat="false" ht="13.8" hidden="false" customHeight="false" outlineLevel="0" collapsed="false">
      <c r="A115" s="26" t="n">
        <v>12</v>
      </c>
      <c r="B115" s="27" t="s">
        <v>219</v>
      </c>
      <c r="C115" s="27" t="s">
        <v>220</v>
      </c>
      <c r="D115" s="28" t="s">
        <v>25</v>
      </c>
      <c r="E115" s="28"/>
      <c r="F115" s="29" t="n">
        <f aca="false">1652.91/1.2</f>
        <v>1377.425</v>
      </c>
      <c r="G115" s="30" t="n">
        <v>8</v>
      </c>
      <c r="H115" s="38" t="n">
        <f aca="false">G115*F115</f>
        <v>11019.4</v>
      </c>
      <c r="I115" s="70"/>
      <c r="J115" s="33" t="n">
        <f aca="false">A115</f>
        <v>12</v>
      </c>
      <c r="K115" s="34" t="str">
        <f aca="false">B115</f>
        <v>Фильтр масляный  16Y-76-09200</v>
      </c>
      <c r="L115" s="35"/>
      <c r="M115" s="70"/>
      <c r="N115" s="72" t="str">
        <f aca="false">D115</f>
        <v>шт</v>
      </c>
      <c r="O115" s="72"/>
      <c r="P115" s="41" t="n">
        <f aca="false">F115</f>
        <v>1377.425</v>
      </c>
      <c r="Q115" s="70"/>
      <c r="R115" s="72" t="n">
        <f aca="false">G115</f>
        <v>8</v>
      </c>
      <c r="S115" s="41" t="n">
        <f aca="false">R115*Q115</f>
        <v>0</v>
      </c>
    </row>
    <row r="116" customFormat="false" ht="25.35" hidden="false" customHeight="false" outlineLevel="0" collapsed="false">
      <c r="A116" s="26" t="n">
        <v>13</v>
      </c>
      <c r="B116" s="27" t="s">
        <v>221</v>
      </c>
      <c r="C116" s="27" t="s">
        <v>222</v>
      </c>
      <c r="D116" s="28" t="s">
        <v>25</v>
      </c>
      <c r="E116" s="28"/>
      <c r="F116" s="42" t="n">
        <f aca="false">819.72/1.2</f>
        <v>683.1</v>
      </c>
      <c r="G116" s="30" t="n">
        <v>6</v>
      </c>
      <c r="H116" s="38" t="n">
        <f aca="false">G116*F116</f>
        <v>4098.6</v>
      </c>
      <c r="I116" s="70"/>
      <c r="J116" s="33" t="n">
        <f aca="false">A116</f>
        <v>13</v>
      </c>
      <c r="K116" s="34" t="str">
        <f aca="false">B116</f>
        <v>Фильтр масляный ДВС Shantui SD16 STJX480</v>
      </c>
      <c r="L116" s="35"/>
      <c r="M116" s="70"/>
      <c r="N116" s="72" t="str">
        <f aca="false">D116</f>
        <v>шт</v>
      </c>
      <c r="O116" s="72"/>
      <c r="P116" s="41" t="n">
        <f aca="false">F116</f>
        <v>683.1</v>
      </c>
      <c r="Q116" s="70"/>
      <c r="R116" s="72" t="n">
        <f aca="false">G116</f>
        <v>6</v>
      </c>
      <c r="S116" s="41" t="n">
        <f aca="false">R116*Q116</f>
        <v>0</v>
      </c>
    </row>
    <row r="117" customFormat="false" ht="49.25" hidden="false" customHeight="false" outlineLevel="0" collapsed="false">
      <c r="A117" s="26" t="n">
        <v>14</v>
      </c>
      <c r="B117" s="27" t="s">
        <v>223</v>
      </c>
      <c r="C117" s="27" t="s">
        <v>224</v>
      </c>
      <c r="D117" s="28" t="s">
        <v>25</v>
      </c>
      <c r="E117" s="28"/>
      <c r="F117" s="29" t="n">
        <f aca="false">1122.81/1.2</f>
        <v>935.675</v>
      </c>
      <c r="G117" s="30" t="n">
        <v>8</v>
      </c>
      <c r="H117" s="38" t="n">
        <f aca="false">G117*F117</f>
        <v>7485.4</v>
      </c>
      <c r="I117" s="70"/>
      <c r="J117" s="33" t="n">
        <f aca="false">A117</f>
        <v>14</v>
      </c>
      <c r="K117" s="34" t="str">
        <f aca="false">B117</f>
        <v>Фильтр топливный грубой отчистки топлива Shantui  SD 16 D638-002-02, CX583/SF185/FF185 ST</v>
      </c>
      <c r="L117" s="35"/>
      <c r="M117" s="70"/>
      <c r="N117" s="72" t="str">
        <f aca="false">D117</f>
        <v>шт</v>
      </c>
      <c r="O117" s="72"/>
      <c r="P117" s="41" t="n">
        <f aca="false">F117</f>
        <v>935.675</v>
      </c>
      <c r="Q117" s="70"/>
      <c r="R117" s="72" t="n">
        <f aca="false">G117</f>
        <v>8</v>
      </c>
      <c r="S117" s="41" t="n">
        <f aca="false">R117*Q117</f>
        <v>0</v>
      </c>
    </row>
    <row r="118" customFormat="false" ht="49.25" hidden="false" customHeight="false" outlineLevel="0" collapsed="false">
      <c r="A118" s="26" t="n">
        <v>15</v>
      </c>
      <c r="B118" s="27" t="s">
        <v>225</v>
      </c>
      <c r="C118" s="27" t="s">
        <v>226</v>
      </c>
      <c r="D118" s="28" t="s">
        <v>25</v>
      </c>
      <c r="E118" s="28"/>
      <c r="F118" s="29" t="n">
        <f aca="false">1122.81/1.2</f>
        <v>935.675</v>
      </c>
      <c r="G118" s="30" t="n">
        <v>8</v>
      </c>
      <c r="H118" s="38" t="n">
        <f aca="false">G118*F118</f>
        <v>7485.4</v>
      </c>
      <c r="I118" s="70"/>
      <c r="J118" s="33" t="n">
        <f aca="false">A118</f>
        <v>15</v>
      </c>
      <c r="K118" s="34" t="str">
        <f aca="false">B118</f>
        <v>Фильтр топливный тонкой отчистки топлива Shantui  SD 16 STD00-034-01, CX5135/SFS5135/FF5135</v>
      </c>
      <c r="L118" s="35"/>
      <c r="M118" s="70"/>
      <c r="N118" s="72" t="str">
        <f aca="false">D118</f>
        <v>шт</v>
      </c>
      <c r="O118" s="72"/>
      <c r="P118" s="41" t="n">
        <f aca="false">F118</f>
        <v>935.675</v>
      </c>
      <c r="Q118" s="70"/>
      <c r="R118" s="72" t="n">
        <f aca="false">G118</f>
        <v>8</v>
      </c>
      <c r="S118" s="41" t="n">
        <f aca="false">R118*Q118</f>
        <v>0</v>
      </c>
    </row>
    <row r="119" s="23" customFormat="true" ht="15.75" hidden="false" customHeight="true" outlineLevel="0" collapsed="false">
      <c r="A119" s="73"/>
      <c r="B119" s="74" t="s">
        <v>227</v>
      </c>
      <c r="C119" s="74"/>
      <c r="D119" s="75"/>
      <c r="E119" s="75"/>
      <c r="F119" s="75"/>
      <c r="G119" s="76" t="n">
        <f aca="false">SUM(G104:G118)</f>
        <v>114</v>
      </c>
      <c r="H119" s="77" t="n">
        <f aca="false">SUM(H104:H118)</f>
        <v>709368.416666667</v>
      </c>
      <c r="I119" s="73"/>
      <c r="J119" s="73"/>
      <c r="K119" s="73" t="str">
        <f aca="false">B119</f>
        <v>Итого спецификация 2</v>
      </c>
      <c r="L119" s="73"/>
      <c r="M119" s="73"/>
      <c r="N119" s="73"/>
      <c r="O119" s="73"/>
      <c r="P119" s="73"/>
      <c r="Q119" s="73"/>
      <c r="R119" s="78" t="n">
        <f aca="false">SUM(R104:R118)</f>
        <v>114</v>
      </c>
      <c r="S119" s="55" t="n">
        <f aca="false">SUM(S104:S118)</f>
        <v>0</v>
      </c>
      <c r="AA119" s="1"/>
    </row>
    <row r="120" customFormat="false" ht="15" hidden="false" customHeight="true" outlineLevel="0" collapsed="false">
      <c r="A120" s="75"/>
      <c r="B120" s="79" t="s">
        <v>228</v>
      </c>
      <c r="C120" s="79"/>
      <c r="D120" s="79"/>
      <c r="E120" s="79"/>
      <c r="F120" s="79"/>
      <c r="G120" s="79"/>
      <c r="H120" s="80" t="n">
        <f aca="false">H102+H119+H84</f>
        <v>3290188.125</v>
      </c>
      <c r="I120" s="81"/>
      <c r="J120" s="73"/>
      <c r="K120" s="79" t="s">
        <v>228</v>
      </c>
      <c r="L120" s="79"/>
      <c r="M120" s="79"/>
      <c r="N120" s="79"/>
      <c r="O120" s="79"/>
      <c r="P120" s="79"/>
      <c r="Q120" s="79"/>
      <c r="R120" s="82"/>
      <c r="S120" s="83" t="n">
        <f aca="false">S119+S102+S84</f>
        <v>0</v>
      </c>
      <c r="T120" s="7"/>
      <c r="U120" s="7"/>
      <c r="V120" s="7"/>
      <c r="W120" s="7"/>
      <c r="X120" s="7"/>
      <c r="Y120" s="7"/>
    </row>
    <row r="121" customFormat="false" ht="15.75" hidden="false" customHeight="true" outlineLevel="0" collapsed="false">
      <c r="A121" s="75"/>
      <c r="B121" s="84" t="s">
        <v>229</v>
      </c>
      <c r="C121" s="84"/>
      <c r="D121" s="84"/>
      <c r="E121" s="84"/>
      <c r="F121" s="84"/>
      <c r="G121" s="85" t="n">
        <v>0.2</v>
      </c>
      <c r="H121" s="86" t="n">
        <f aca="false">H120*G121</f>
        <v>658037.625</v>
      </c>
      <c r="I121" s="81"/>
      <c r="J121" s="73"/>
      <c r="K121" s="84" t="s">
        <v>229</v>
      </c>
      <c r="L121" s="84"/>
      <c r="M121" s="84"/>
      <c r="N121" s="84"/>
      <c r="O121" s="84"/>
      <c r="P121" s="84"/>
      <c r="Q121" s="84"/>
      <c r="R121" s="85" t="n">
        <v>0.2</v>
      </c>
      <c r="S121" s="87" t="n">
        <f aca="false">S120*R121</f>
        <v>0</v>
      </c>
      <c r="T121" s="7"/>
      <c r="U121" s="7"/>
      <c r="V121" s="7"/>
      <c r="W121" s="7"/>
      <c r="X121" s="7"/>
      <c r="Y121" s="7"/>
    </row>
    <row r="122" customFormat="false" ht="20.85" hidden="false" customHeight="true" outlineLevel="0" collapsed="false">
      <c r="A122" s="75"/>
      <c r="B122" s="84" t="s">
        <v>230</v>
      </c>
      <c r="C122" s="84"/>
      <c r="D122" s="84"/>
      <c r="E122" s="84"/>
      <c r="F122" s="84"/>
      <c r="G122" s="84"/>
      <c r="H122" s="86" t="n">
        <f aca="false">H120+H121</f>
        <v>3948225.75</v>
      </c>
      <c r="I122" s="81"/>
      <c r="J122" s="73"/>
      <c r="K122" s="88"/>
      <c r="L122" s="88"/>
      <c r="M122" s="88"/>
      <c r="N122" s="88"/>
      <c r="O122" s="88"/>
      <c r="P122" s="88"/>
      <c r="Q122" s="89" t="s">
        <v>230</v>
      </c>
      <c r="R122" s="89"/>
      <c r="S122" s="87" t="n">
        <f aca="false">S121+S120</f>
        <v>0</v>
      </c>
    </row>
    <row r="123" customFormat="false" ht="40.15" hidden="false" customHeight="true" outlineLevel="0" collapsed="false">
      <c r="I123" s="7"/>
      <c r="J123" s="7"/>
      <c r="K123" s="7"/>
    </row>
    <row r="124" customFormat="false" ht="93.75" hidden="false" customHeight="true" outlineLevel="0" collapsed="false">
      <c r="I124" s="90"/>
      <c r="J124" s="90"/>
      <c r="K124" s="90" t="s">
        <v>231</v>
      </c>
    </row>
    <row r="125" customFormat="false" ht="13.8" hidden="false" customHeight="false" outlineLevel="0" collapsed="false">
      <c r="K125" s="2"/>
      <c r="L125" s="2"/>
    </row>
    <row r="126" customFormat="false" ht="13.8" hidden="false" customHeight="false" outlineLevel="0" collapsed="false">
      <c r="K126" s="2"/>
      <c r="L126" s="2"/>
    </row>
    <row r="127" customFormat="false" ht="13.8" hidden="false" customHeight="false" outlineLevel="0" collapsed="false">
      <c r="K127" s="2"/>
      <c r="L127" s="2"/>
    </row>
    <row r="128" customFormat="false" ht="13.8" hidden="false" customHeight="false" outlineLevel="0" collapsed="false">
      <c r="K128" s="2"/>
      <c r="L128" s="2"/>
    </row>
    <row r="129" customFormat="false" ht="13.8" hidden="false" customHeight="false" outlineLevel="0" collapsed="false">
      <c r="K129" s="2"/>
      <c r="L129" s="2"/>
    </row>
    <row r="130" customFormat="false" ht="13.8" hidden="false" customHeight="false" outlineLevel="0" collapsed="false">
      <c r="K130" s="2"/>
      <c r="L130" s="2"/>
    </row>
    <row r="131" customFormat="false" ht="13.8" hidden="false" customHeight="false" outlineLevel="0" collapsed="false">
      <c r="K131" s="2"/>
      <c r="L131" s="2"/>
    </row>
    <row r="132" customFormat="false" ht="13.8" hidden="false" customHeight="false" outlineLevel="0" collapsed="false">
      <c r="K132" s="2"/>
      <c r="L132" s="2"/>
    </row>
    <row r="133" customFormat="false" ht="13.8" hidden="false" customHeight="false" outlineLevel="0" collapsed="false">
      <c r="K133" s="2"/>
      <c r="L133" s="2"/>
    </row>
    <row r="134" customFormat="false" ht="13.8" hidden="false" customHeight="false" outlineLevel="0" collapsed="false">
      <c r="K134" s="2"/>
      <c r="L134" s="2"/>
    </row>
  </sheetData>
  <mergeCells count="20">
    <mergeCell ref="A1:S1"/>
    <mergeCell ref="A3:F3"/>
    <mergeCell ref="J3:S3"/>
    <mergeCell ref="A4:H4"/>
    <mergeCell ref="J4:M4"/>
    <mergeCell ref="A7:H7"/>
    <mergeCell ref="J7:S7"/>
    <mergeCell ref="A9:S9"/>
    <mergeCell ref="A10:S10"/>
    <mergeCell ref="A84:B84"/>
    <mergeCell ref="A85:S85"/>
    <mergeCell ref="A102:B102"/>
    <mergeCell ref="A103:S103"/>
    <mergeCell ref="B119:C119"/>
    <mergeCell ref="B120:G120"/>
    <mergeCell ref="K120:Q120"/>
    <mergeCell ref="B121:F121"/>
    <mergeCell ref="K121:Q121"/>
    <mergeCell ref="B122:G122"/>
    <mergeCell ref="K122:P122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AlterOffice/3.3.1.3$Linux_X86_64 LibreOffice_project/90d829a0d92d6015ad4fa014ce4f460a7fe6c0ba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demchuk_ig</cp:lastModifiedBy>
  <cp:lastPrinted>2019-09-27T01:45:21Z</cp:lastPrinted>
  <dcterms:modified xsi:type="dcterms:W3CDTF">2024-11-13T11:07:43Z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