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Сводный сметный расчет - НМЦК." sheetId="1" state="visible" r:id="rId2"/>
    <sheet name="ССР" sheetId="2" state="visible" r:id="rId3"/>
    <sheet name="Смета №1 ПИР" sheetId="3" state="visible" r:id="rId4"/>
    <sheet name="Смета №2" sheetId="4" state="visible" r:id="rId5"/>
    <sheet name="Смета №3" sheetId="5" state="visible" r:id="rId6"/>
  </sheets>
  <definedNames>
    <definedName function="false" hidden="false" localSheetId="0" name="_xlnm.Print_Area" vbProcedure="false">'Сводный сметный расчет - НМЦК.'!$A$1:$G$53</definedName>
    <definedName function="false" hidden="false" localSheetId="2" name="_xlnm.Print_Area" vbProcedure="false">'Смета №1 ПИР'!$A$1:$E$32</definedName>
    <definedName function="false" hidden="true" localSheetId="2" name="_xlnm._FilterDatabase" vbProcedure="false">'Смета №1 ПИР'!$A$15:$F$30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<sst xmlns="http://schemas.openxmlformats.org/spreadsheetml/2006/main" count="285" uniqueCount="235">
  <si>
    <t xml:space="preserve">Приложение 2</t>
  </si>
  <si>
    <t xml:space="preserve">Приказа Минстроя России от 23.12.2019 №841/пр</t>
  </si>
  <si>
    <t xml:space="preserve">РАСЧЕТ НАЧАЛЬНОЙ (МАКСИМАЛЬНОЙ) ЦЕНЫ КОНТРАКТА</t>
  </si>
  <si>
    <t xml:space="preserve">при осуществлении закупок по подготовке проектной документации и выполнению инженерных изысканий по объекту:</t>
  </si>
  <si>
    <t xml:space="preserve">Основание для расчета:</t>
  </si>
  <si>
    <t xml:space="preserve">1.</t>
  </si>
  <si>
    <t xml:space="preserve">Градостроительный план земельного участка (ГПЗУ) от ___ № ___ и (или) проект планировки территории от ___ № ___.</t>
  </si>
  <si>
    <t xml:space="preserve">2.</t>
  </si>
  <si>
    <t xml:space="preserve">Приказ Минстроя России от 23.12.2019 № 841/пр</t>
  </si>
  <si>
    <t xml:space="preserve">3.</t>
  </si>
  <si>
    <t xml:space="preserve">Техническое задание.</t>
  </si>
  <si>
    <t xml:space="preserve">4.</t>
  </si>
  <si>
    <t xml:space="preserve">Технологическое задание (при необходимости)</t>
  </si>
  <si>
    <t xml:space="preserve">5.</t>
  </si>
  <si>
    <t xml:space="preserve">Нормативные документы (справочники, методики и иные документы), в соответствии с которыми выполнен расчет</t>
  </si>
  <si>
    <t xml:space="preserve">6.</t>
  </si>
  <si>
    <t xml:space="preserve">Продолжительность проектирования - _____ (в том числе с учетом получения положительного заключения государственной экспертизы).</t>
  </si>
  <si>
    <t xml:space="preserve">Наименование работ и затрат</t>
  </si>
  <si>
    <t xml:space="preserve">Стоимость работ в ценах
на дату утверждения сметной документации на
III квартал 2025г.</t>
  </si>
  <si>
    <t xml:space="preserve">Индекс фактической инфляции</t>
  </si>
  <si>
    <t xml:space="preserve">Стоимость работ в
ценах на дату формирования начальной (максимальной) цены контракта 
IV квартал 2025г.</t>
  </si>
  <si>
    <t xml:space="preserve">Индекс прогнозной инфляции на период выполнения работ</t>
  </si>
  <si>
    <t xml:space="preserve">Начальная (максимальная) цена контракта с учетом прогнозного индекса инфляции на период выполнения работ</t>
  </si>
  <si>
    <t xml:space="preserve">Выполнение инженерных изысканий</t>
  </si>
  <si>
    <t xml:space="preserve">Разработка проектной документации</t>
  </si>
  <si>
    <t xml:space="preserve">Стоимость без учета НДС</t>
  </si>
  <si>
    <t xml:space="preserve">НДС (20%)</t>
  </si>
  <si>
    <t xml:space="preserve">Стоимость с учетом НДС</t>
  </si>
  <si>
    <t xml:space="preserve">Уровень цен утверждённой сметной документации</t>
  </si>
  <si>
    <t xml:space="preserve">IV квартал 2025 (Октябрь 2025)</t>
  </si>
  <si>
    <t xml:space="preserve">Дата формирования НМЦК</t>
  </si>
  <si>
    <t xml:space="preserve">Октябрь 2025</t>
  </si>
  <si>
    <t xml:space="preserve">Начало проектирования</t>
  </si>
  <si>
    <t xml:space="preserve">Январь 2026</t>
  </si>
  <si>
    <t xml:space="preserve">Окончание проектирования</t>
  </si>
  <si>
    <t xml:space="preserve">Ноябрь 2026</t>
  </si>
  <si>
    <t xml:space="preserve">Продолжительность проектирования</t>
  </si>
  <si>
    <t xml:space="preserve">11 месяцев</t>
  </si>
  <si>
    <t xml:space="preserve">1. Расчет индекса фактической инфляции с использованием ИПЦ Росстата</t>
  </si>
  <si>
    <t xml:space="preserve">Индекс фактической инфляции не используется</t>
  </si>
  <si>
    <t xml:space="preserve">2. Расчет индекса прогнозной инфляции</t>
  </si>
  <si>
    <t xml:space="preserve">Доля сметной стоимости, подлежащая выполнению в 2025г.</t>
  </si>
  <si>
    <t xml:space="preserve">Доля сметной стоимости, подлежащая выполнению в 2026г. (11 месяцев/11 месяцев)</t>
  </si>
  <si>
    <t xml:space="preserve">Годовые индексы прогнозной инфляции:</t>
  </si>
  <si>
    <t xml:space="preserve">на 2025 год</t>
  </si>
  <si>
    <t xml:space="preserve">107,4%</t>
  </si>
  <si>
    <t xml:space="preserve">на 2026 год</t>
  </si>
  <si>
    <t xml:space="preserve">105,5%</t>
  </si>
  <si>
    <t xml:space="preserve">Ежемесячные индексы прогнозной инфляции:</t>
  </si>
  <si>
    <t xml:space="preserve">¹²√1,074</t>
  </si>
  <si>
    <t xml:space="preserve">¹²√1,055</t>
  </si>
  <si>
    <t xml:space="preserve">Индексы прогнозной инфляции на период исполнения контракта:</t>
  </si>
  <si>
    <t xml:space="preserve">К на 2025 год</t>
  </si>
  <si>
    <t xml:space="preserve">(1,006² - 1)/2 + 1</t>
  </si>
  <si>
    <t xml:space="preserve">К на 2026 год</t>
  </si>
  <si>
    <t xml:space="preserve">1,006² * (1,0045 + 1,0045¹¹)/2</t>
  </si>
  <si>
    <t xml:space="preserve">Итого индекс прогнозной инфляции:</t>
  </si>
  <si>
    <t xml:space="preserve">0 * 1,006 + 1 * 1,0399</t>
  </si>
  <si>
    <t xml:space="preserve">Руководитель проектной организации</t>
  </si>
  <si>
    <t xml:space="preserve">Заказчик</t>
  </si>
  <si>
    <t xml:space="preserve">Главный инженер проекта</t>
  </si>
  <si>
    <t xml:space="preserve">Начальник отдела</t>
  </si>
  <si>
    <t xml:space="preserve">Название отдела</t>
  </si>
  <si>
    <t xml:space="preserve">Составил</t>
  </si>
  <si>
    <t xml:space="preserve">Проверил</t>
  </si>
  <si>
    <t xml:space="preserve">СВОДНАЯ СМЕТА </t>
  </si>
  <si>
    <t xml:space="preserve">на проектные работы и инженерные изыскания</t>
  </si>
  <si>
    <t xml:space="preserve">ОКПД2 71.12.13.000 Проведение проектно-изыскательских работ для реконструкции ПС 35 кВ Табага Майинского РЭС для нужд Центральных электрических сетей в рамках инвестиционного проекта P_508-92406</t>
  </si>
  <si>
    <t xml:space="preserve">(наименование стройки)</t>
  </si>
  <si>
    <t xml:space="preserve">ПАО "Якутскэнерго"</t>
  </si>
  <si>
    <t xml:space="preserve">(наименование организации)</t>
  </si>
  <si>
    <t xml:space="preserve">Изыскательская организация</t>
  </si>
  <si>
    <t xml:space="preserve">Проектная организация</t>
  </si>
  <si>
    <t xml:space="preserve">Составлена в уровне цен на IV кв. 2025 г.</t>
  </si>
  <si>
    <t xml:space="preserve">№№ п/п</t>
  </si>
  <si>
    <t xml:space="preserve">Наименование смет на проектные работы и инженерные изыскания, затрат</t>
  </si>
  <si>
    <t xml:space="preserve">Обоснование, 
№ cмет</t>
  </si>
  <si>
    <t xml:space="preserve">Сметная стоимость, руб.</t>
  </si>
  <si>
    <t xml:space="preserve">1</t>
  </si>
  <si>
    <t xml:space="preserve">Проектные работы</t>
  </si>
  <si>
    <t xml:space="preserve">Смета №1</t>
  </si>
  <si>
    <t xml:space="preserve">Инженерно-геологические изыскания</t>
  </si>
  <si>
    <t xml:space="preserve">Смета №2</t>
  </si>
  <si>
    <t xml:space="preserve">Инженерно-геодезические изыскания</t>
  </si>
  <si>
    <t xml:space="preserve">Смета №3</t>
  </si>
  <si>
    <t xml:space="preserve">4</t>
  </si>
  <si>
    <t xml:space="preserve">Итого без НДС</t>
  </si>
  <si>
    <t xml:space="preserve">5</t>
  </si>
  <si>
    <t xml:space="preserve">Итого с индекс-дефлятором</t>
  </si>
  <si>
    <t xml:space="preserve">6</t>
  </si>
  <si>
    <t xml:space="preserve">НДС</t>
  </si>
  <si>
    <t xml:space="preserve">20% от п.4</t>
  </si>
  <si>
    <t xml:space="preserve">7</t>
  </si>
  <si>
    <t xml:space="preserve">ВСЕГО</t>
  </si>
  <si>
    <t xml:space="preserve">Сумма от п.4-5</t>
  </si>
  <si>
    <t xml:space="preserve">Смета №1 на проектные  работы</t>
  </si>
  <si>
    <t xml:space="preserve">в ценах на 4 кв. 2025</t>
  </si>
  <si>
    <t xml:space="preserve">№п/п</t>
  </si>
  <si>
    <t xml:space="preserve">Характеристика, предприятия, здания, сооружения или виды работ</t>
  </si>
  <si>
    <t xml:space="preserve">№№ частей глав, таблиц, §§ и пунктов указаний к разделу или главе Сборника цен на проектные работы для строительства</t>
  </si>
  <si>
    <t xml:space="preserve">Расчет стоимости: а+вх или (объем СМР)</t>
  </si>
  <si>
    <t xml:space="preserve">Стоимость (руб), без НДС</t>
  </si>
  <si>
    <t xml:space="preserve">Сооружений кабельной электрической линии напряжением до 35 кВ:от 100 до 500 включительно, 200 (п.м)</t>
  </si>
  <si>
    <r>
      <rPr>
        <sz val="12"/>
        <color rgb="FF000000"/>
        <rFont val="Times New Roman"/>
        <family val="1"/>
        <charset val="204"/>
      </rPr>
      <t xml:space="preserve">НЗ_СИТО_ИО "Строительство, реконструкция сетей инженерно-технического обеспечения и объектов инфраструктуры", таб.3.11 п.2-1 (НЗ_СИТО_ИО-3.11-2-1)
</t>
    </r>
    <r>
      <rPr>
        <sz val="11"/>
        <color rgb="FF000000"/>
        <rFont val="Times New Roman"/>
        <family val="1"/>
        <charset val="1"/>
      </rPr>
      <t xml:space="preserve">К=1,62 - индекс изменения стоимости проектных работ к уровню цен по состоянию на 01.01.2021 г. (Письмо Минстроя России от 20.10.2025 № 62725-ИФ/09)</t>
    </r>
  </si>
  <si>
    <t xml:space="preserve">27000+402*200</t>
  </si>
  <si>
    <t xml:space="preserve">2</t>
  </si>
  <si>
    <t xml:space="preserve">Открытые электрические подстанции напряжением 35–1150 кВ, в процентах от общей стоимости строительства в ценах на 01.01.2001 г.:8,97 млн. руб. - 9,7%, 9,772737 (млн. руб.)</t>
  </si>
  <si>
    <r>
      <rPr>
        <sz val="12"/>
        <color rgb="FF000000"/>
        <rFont val="Times New Roman"/>
        <family val="1"/>
        <charset val="1"/>
      </rPr>
      <t xml:space="preserve">СБЦП "Объекты энергетики. Электросетевые объекты (2016)" табл.1 п.1 (СБЦП24-1-1-1) 
</t>
    </r>
    <r>
      <rPr>
        <i val="true"/>
        <sz val="10"/>
        <color rgb="FF000000"/>
        <rFont val="Times New Roman"/>
        <family val="1"/>
        <charset val="1"/>
      </rPr>
      <t xml:space="preserve">Электрическая подстанция переменного тока   напряжением 35 кВ/6-20 кВ. ПС с ОРУ по блочным схемам с двумя ТР: Открытая установка силовых ТР
К2 = 0,34 (Таб.21)
</t>
    </r>
    <r>
      <rPr>
        <sz val="12"/>
        <color rgb="FF000000"/>
        <rFont val="Times New Roman"/>
        <family val="1"/>
        <charset val="1"/>
      </rPr>
      <t xml:space="preserve">X=68,40916*2,39/16,73
К=6,88</t>
    </r>
    <r>
      <rPr>
        <sz val="11"/>
        <color rgb="FF000000"/>
        <rFont val="Times New Roman"/>
        <family val="1"/>
        <charset val="1"/>
      </rPr>
      <t xml:space="preserve"> - прогнозный индекс изменения стоимости изыскательских работ на IV квартал 2025 г. (Письмо Минстроя России от 20.10.2025 № 62725-ИФ/09)
</t>
    </r>
    <r>
      <rPr>
        <sz val="12"/>
        <color rgb="FF000000"/>
        <rFont val="Times New Roman"/>
        <family val="1"/>
        <charset val="1"/>
      </rPr>
      <t xml:space="preserve">К=1,15"вечномерзлые,просадочные… и др." (МУ п.3.7 Приказ от 29.12.2009 г №620)</t>
    </r>
  </si>
  <si>
    <t xml:space="preserve">(9,7+(9,2-9,7)/(11,97-8,97)*(9,772737-8,97))*0,34*1,15</t>
  </si>
  <si>
    <t xml:space="preserve">3</t>
  </si>
  <si>
    <t xml:space="preserve">Расчет опор в особых климатических районах.</t>
  </si>
  <si>
    <r>
      <rPr>
        <sz val="12"/>
        <color rgb="FF000000"/>
        <rFont val="Times New Roman"/>
        <family val="1"/>
        <charset val="1"/>
      </rPr>
      <t xml:space="preserve">Нормативные затраты на работы по подготовке проектной документации №847/пр от 28.11.2023 Табл. 3.18 п.3
а=11,3, х=1
</t>
    </r>
    <r>
      <rPr>
        <sz val="11"/>
        <color rgb="FF000000"/>
        <rFont val="Times New Roman"/>
        <family val="1"/>
        <charset val="1"/>
      </rPr>
      <t xml:space="preserve">К=1,62 - индекс изменения стоимости проектных работ к уровню цен по состоянию на 01.01.2021 г. (Письмо Минстроя России от 20.10.2025 № 62725-ИФ/09)</t>
    </r>
  </si>
  <si>
    <t xml:space="preserve">11,3*1*1,62</t>
  </si>
  <si>
    <t xml:space="preserve">Расчет закрепления опор в особых грунтах (скальных, болотистых, просадочных)</t>
  </si>
  <si>
    <r>
      <rPr>
        <sz val="12"/>
        <color rgb="FF000000"/>
        <rFont val="Times New Roman"/>
        <family val="1"/>
        <charset val="204"/>
      </rPr>
      <t xml:space="preserve">Нормативные затраты на работы по подготовке проектной документации №847/пр от 28.11.2023 Табл. 3.18 п.4
а=13,4, х=1
</t>
    </r>
    <r>
      <rPr>
        <sz val="11"/>
        <color rgb="FF000000"/>
        <rFont val="Times New Roman"/>
        <family val="1"/>
        <charset val="1"/>
      </rPr>
      <t xml:space="preserve">К=1,62 - индекс изменения стоимости проектных работ к уровню цен по состоянию на 01.01.2021 г. (Письмо Минстроя России от 20.10.2025 № 62725-ИФ/09)</t>
    </r>
  </si>
  <si>
    <t xml:space="preserve">13,4*1*1,62</t>
  </si>
  <si>
    <t xml:space="preserve">Расчет заземления в скальных, вечномерзлых грунтах с потреблением ро более 500 Ом х м</t>
  </si>
  <si>
    <r>
      <rPr>
        <sz val="12"/>
        <color rgb="FF000000"/>
        <rFont val="Times New Roman"/>
        <family val="1"/>
        <charset val="204"/>
      </rPr>
      <t xml:space="preserve">Нормативные затраты на работы по подготовке проектной документации №847/пр от 28.11.2023 Табл. 3.18 п.5
а=7,7, х=1
</t>
    </r>
    <r>
      <rPr>
        <sz val="11"/>
        <color rgb="FF000000"/>
        <rFont val="Times New Roman"/>
        <family val="1"/>
        <charset val="1"/>
      </rPr>
      <t xml:space="preserve">К=1,62 - индекс изменения стоимости проектных работ к уровню цен по состоянию на 01.01.2021 г. (Письмо Минстроя России от 20.10.2025 № 62725-ИФ/09)</t>
    </r>
  </si>
  <si>
    <t xml:space="preserve">7,7*1*1,62</t>
  </si>
  <si>
    <t xml:space="preserve">Выкопировка с топографической основы</t>
  </si>
  <si>
    <r>
      <rPr>
        <sz val="12"/>
        <rFont val="Times New Roman"/>
        <family val="1"/>
        <charset val="204"/>
      </rPr>
      <t xml:space="preserve">СБЦ-2004 "СБЦ на инженерные изыскания для строительства инженерно-геодезические изыскания" табл. 63, п. 6
a=39, осн. показ.: х=28 дм2
Коэффициенты:
К1=1,5 районный коэффициент к заработной плате (О. У., п. 8е)
К2=1,75 выполнение картографических работ с составлением планов (продольных профилей) в двух видах: на бумажном и магнитном носителях (О. У., п. 15е)
К3=1,1 составление плана подземных и надземных сооружений в цвете (красках) (О. У., п. 15г)
</t>
    </r>
    <r>
      <rPr>
        <sz val="12"/>
        <color rgb="FF000000"/>
        <rFont val="Times New Roman"/>
        <family val="1"/>
        <charset val="1"/>
      </rPr>
      <t xml:space="preserve">К=6,88</t>
    </r>
    <r>
      <rPr>
        <sz val="11"/>
        <color rgb="FF000000"/>
        <rFont val="Times New Roman"/>
        <family val="1"/>
        <charset val="1"/>
      </rPr>
      <t xml:space="preserve"> - прогнозный индекс изменения стоимости изыскательских работ на IV квартал 2025 г. (Письмо Минстроя России от 20.10.2025 № 62725-ИФ/09)</t>
    </r>
  </si>
  <si>
    <t xml:space="preserve">39*28*1,5*1,75*1,1*6,88</t>
  </si>
  <si>
    <t xml:space="preserve">Пояснительная записка</t>
  </si>
  <si>
    <t xml:space="preserve">Нормативные затраты на работы по подготовке проектной документации №847/пр от 28.11.2023 Табл.16</t>
  </si>
  <si>
    <t xml:space="preserve">Схема планировочной организации земельного участка</t>
  </si>
  <si>
    <t xml:space="preserve">Конструктивные и объемно-планировочные решения</t>
  </si>
  <si>
    <t xml:space="preserve">Проект организации строительства</t>
  </si>
  <si>
    <t xml:space="preserve">Перечень мероприятий по охране окружающей среды</t>
  </si>
  <si>
    <t xml:space="preserve">Перечень мероприятий по обеспечению пожарной безопасности</t>
  </si>
  <si>
    <t xml:space="preserve">Смета на строительство</t>
  </si>
  <si>
    <t xml:space="preserve">ВСЕГО без учета НДС, руб, в том числе:</t>
  </si>
  <si>
    <t xml:space="preserve">Примечание: Затраты, обусловленные районным регулированием оплаты труда, в т.ч. выплаты по районным коэффициентам и т.д., предусмотренные законодательством в районах Крайнего Севера и прирпавненных к ним местностях, определяются путем введения повышающих коэффициентов на основании обосновывающих расчетов (п.3.15 Методических указаний по применению СБЦ на проектные работы в строительстве).</t>
  </si>
  <si>
    <t xml:space="preserve">Инженерно-геодезические работы (площадные изыскания)</t>
  </si>
  <si>
    <t xml:space="preserve">Раздел 1. Полевые работы</t>
  </si>
  <si>
    <t xml:space="preserve">Создание инженерно-топографических планов: Масштаб 1:500, сечением 0,5м.</t>
  </si>
  <si>
    <t xml:space="preserve">СБЦ на инженерные изыскания для строительства 2004г. Табл 9 п4                                                                                                                 
К=1,2 прим 4 табл 9                                                                                    К=1,3 прим 5  табл 9                                                                                   к=1,25 о.у. 8 в</t>
  </si>
  <si>
    <t xml:space="preserve">3007*1,2*1,3*1,25*0,072</t>
  </si>
  <si>
    <t xml:space="preserve">Итого по разделу 1</t>
  </si>
  <si>
    <t xml:space="preserve">Раздел 2. Камеральные работы</t>
  </si>
  <si>
    <t xml:space="preserve">СБЦ на инженерные изыскания для строительства 2004г. Табл 9 п4                                                                                                                                    
К=1,1 о.у. 15 г                                                                                              К=1,75 о.у. 15 е                                                                                             К=1,15 о.у. 14                             </t>
  </si>
  <si>
    <t xml:space="preserve">1268*1,1*1,75*1,15*0,072</t>
  </si>
  <si>
    <t xml:space="preserve">Выдача координат пунктов геодезической сети, сети сгущения (съемочной сети)</t>
  </si>
  <si>
    <t xml:space="preserve">Глава 8 Таб 81 п2</t>
  </si>
  <si>
    <t xml:space="preserve">80*4</t>
  </si>
  <si>
    <t xml:space="preserve">Выдача высот пунктов (знаков)</t>
  </si>
  <si>
    <t xml:space="preserve">Глава 8 Таб 81 п3</t>
  </si>
  <si>
    <t xml:space="preserve">Итого по разделу 2</t>
  </si>
  <si>
    <t xml:space="preserve">Итого стоимость изыскательских работ</t>
  </si>
  <si>
    <t xml:space="preserve">Раздел 3. Прочие расходы</t>
  </si>
  <si>
    <t xml:space="preserve">Расходы по внутреннему транспорту при расстоянии от базы до участка изысканий</t>
  </si>
  <si>
    <t xml:space="preserve">о.у. п.9 Таб 4, п5                                                                             </t>
  </si>
  <si>
    <t xml:space="preserve">п.4*18,75%</t>
  </si>
  <si>
    <t xml:space="preserve">Расходы по организации и ликвидации работ</t>
  </si>
  <si>
    <t xml:space="preserve">о.у. 13                                                                                                                          К=2,5 прим 1 п13                                                        к=1,25 о.у. 8 в
 </t>
  </si>
  <si>
    <t xml:space="preserve">1264*1,25*2,5*6%</t>
  </si>
  <si>
    <t xml:space="preserve">Составление 1 технического отчета</t>
  </si>
  <si>
    <t xml:space="preserve">Глава 8 п 21 таб 79 п 1</t>
  </si>
  <si>
    <t xml:space="preserve">10%*1264</t>
  </si>
  <si>
    <t xml:space="preserve">Итого прочих работ</t>
  </si>
  <si>
    <t xml:space="preserve">Итого сметная стоимость</t>
  </si>
  <si>
    <t xml:space="preserve">8</t>
  </si>
  <si>
    <t xml:space="preserve">Районная и льготная надбавка</t>
  </si>
  <si>
    <t xml:space="preserve">о.у. п. 8 д, е Таб 3</t>
  </si>
  <si>
    <t xml:space="preserve">70%*1706</t>
  </si>
  <si>
    <t xml:space="preserve">9</t>
  </si>
  <si>
    <t xml:space="preserve">Стоимость работ в текущих ценах на 4 кв.2025г.</t>
  </si>
  <si>
    <t xml:space="preserve">6,87*2900</t>
  </si>
  <si>
    <t xml:space="preserve">Предварительная планово-высотная привязка при расстоянии до 50 м выработок</t>
  </si>
  <si>
    <t xml:space="preserve">сбц 1999г. Т93 п1 прим 1 к=0,5</t>
  </si>
  <si>
    <t xml:space="preserve">8*8,5*0,5</t>
  </si>
  <si>
    <t xml:space="preserve">Планово-высотная привязка при расстоянии до 50 м выработок</t>
  </si>
  <si>
    <t xml:space="preserve">т93 п1</t>
  </si>
  <si>
    <t xml:space="preserve">8*8,5</t>
  </si>
  <si>
    <t xml:space="preserve">Бурение скважин диаметром до 160 мм глубиной до 15 м в грунтах</t>
  </si>
  <si>
    <t xml:space="preserve">Т 17 п1, К=0,9 прим к т17</t>
  </si>
  <si>
    <t xml:space="preserve">8*38,4*0,9</t>
  </si>
  <si>
    <t xml:space="preserve">Внутренний транспорт</t>
  </si>
  <si>
    <t xml:space="preserve">т4 п5</t>
  </si>
  <si>
    <t xml:space="preserve">18,75%*378</t>
  </si>
  <si>
    <t xml:space="preserve">Организация и ликвидация работ</t>
  </si>
  <si>
    <t xml:space="preserve">о.у. п.13   к=1,5 прим 1 к п13</t>
  </si>
  <si>
    <t xml:space="preserve">378*1,5*6%</t>
  </si>
  <si>
    <t xml:space="preserve">Итого стоимость полевых работ</t>
  </si>
  <si>
    <t xml:space="preserve">Раздел 2. Лабораторные работы</t>
  </si>
  <si>
    <t xml:space="preserve">Полный комплекс определения физических свойств </t>
  </si>
  <si>
    <t xml:space="preserve">Т 65 п1</t>
  </si>
  <si>
    <t xml:space="preserve">8*45,5</t>
  </si>
  <si>
    <t xml:space="preserve">Плотность, суммарная влажность и консистенция грунтов</t>
  </si>
  <si>
    <t xml:space="preserve">т64 п2, п3</t>
  </si>
  <si>
    <t xml:space="preserve">8*(4,8+2,9)</t>
  </si>
  <si>
    <t xml:space="preserve">Полный комплекс определения физических свойств мерзлого грунта</t>
  </si>
  <si>
    <t xml:space="preserve">Т 65 п12</t>
  </si>
  <si>
    <t xml:space="preserve">10</t>
  </si>
  <si>
    <t xml:space="preserve">Стандартный (типовой) анализ воды</t>
  </si>
  <si>
    <t xml:space="preserve">Т 73 п2</t>
  </si>
  <si>
    <t xml:space="preserve">11</t>
  </si>
  <si>
    <t xml:space="preserve">Коррозионная активность грунтов по отношению к стали</t>
  </si>
  <si>
    <t xml:space="preserve">Т 75 п4</t>
  </si>
  <si>
    <t xml:space="preserve">8*18,2</t>
  </si>
  <si>
    <t xml:space="preserve">12</t>
  </si>
  <si>
    <t xml:space="preserve">Коррозионная активность грунтов по отношению к бетону</t>
  </si>
  <si>
    <t xml:space="preserve">т75 п5</t>
  </si>
  <si>
    <t xml:space="preserve">8*25,4</t>
  </si>
  <si>
    <t xml:space="preserve">Итого лабораторных работ</t>
  </si>
  <si>
    <t xml:space="preserve">Раздел 3. Камеральные работы</t>
  </si>
  <si>
    <t xml:space="preserve">13</t>
  </si>
  <si>
    <t xml:space="preserve">Составление программы</t>
  </si>
  <si>
    <t xml:space="preserve">т81 п3 К=1,25 прим к т81</t>
  </si>
  <si>
    <t xml:space="preserve">1*800*1,25</t>
  </si>
  <si>
    <t xml:space="preserve">14</t>
  </si>
  <si>
    <t xml:space="preserve">Камеральная обработка материалов полевых работ</t>
  </si>
  <si>
    <t xml:space="preserve">Т 82 п1</t>
  </si>
  <si>
    <t xml:space="preserve">8*8,2</t>
  </si>
  <si>
    <t xml:space="preserve">15</t>
  </si>
  <si>
    <t xml:space="preserve">Камеральная обработка инженерно-геологической рекогносцировки — 1км</t>
  </si>
  <si>
    <t xml:space="preserve">Т 9 п2</t>
  </si>
  <si>
    <t xml:space="preserve">8*4,5</t>
  </si>
  <si>
    <t xml:space="preserve">16</t>
  </si>
  <si>
    <t xml:space="preserve">Камеральная обработка данных лабораторных исследований грунтов</t>
  </si>
  <si>
    <t xml:space="preserve">Т 86 п2 К=1,5 прим к т86</t>
  </si>
  <si>
    <t xml:space="preserve">15%*(1080-146-203)*1,5</t>
  </si>
  <si>
    <t xml:space="preserve">17</t>
  </si>
  <si>
    <t xml:space="preserve">Камеральная обработка определения коррозионной активности грунтов и воды</t>
  </si>
  <si>
    <t xml:space="preserve">Т 86 п8</t>
  </si>
  <si>
    <t xml:space="preserve">15%*(146+203)</t>
  </si>
  <si>
    <t xml:space="preserve">18</t>
  </si>
  <si>
    <t xml:space="preserve">Составление отчета</t>
  </si>
  <si>
    <t xml:space="preserve">Т 87 п1 </t>
  </si>
  <si>
    <t xml:space="preserve">21%*318</t>
  </si>
  <si>
    <t xml:space="preserve">Итого камеральных работ</t>
  </si>
  <si>
    <t xml:space="preserve">Итого по разделам 1-3</t>
  </si>
  <si>
    <t xml:space="preserve">19</t>
  </si>
  <si>
    <t xml:space="preserve">1,7*2948</t>
  </si>
  <si>
    <t xml:space="preserve">Полная базисная стоимость в ценах на 01.01.2001г.</t>
  </si>
  <si>
    <t xml:space="preserve">6,87*5011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</si>
</sst>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%"/>
    <numFmt numFmtId="166" formatCode="_-* #,##0.00_-;\-* #,##0.00_-;_-* \-??_-;_-@_-"/>
    <numFmt numFmtId="167" formatCode="_-* #,##0.00\ _₽_-;\-* #,##0.00\ _₽_-;_-* \-??\ _₽_-;_-@_-"/>
    <numFmt numFmtId="168" formatCode="#,##0"/>
    <numFmt numFmtId="169" formatCode="0"/>
    <numFmt numFmtId="170" formatCode="0.0000"/>
    <numFmt numFmtId="171" formatCode="#,##0.00"/>
    <numFmt numFmtId="172" formatCode="0.000"/>
    <numFmt numFmtId="173" formatCode="@"/>
    <numFmt numFmtId="174" formatCode="0.00%"/>
    <numFmt numFmtId="175" formatCode="0.00"/>
  </numFmts>
  <fonts count="39">
    <font>
      <sz val="11"/>
      <name val="Arial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b val="true"/>
      <sz val="12"/>
      <color rgb="FF000000"/>
      <name val="Arial"/>
      <family val="0"/>
      <charset val="204"/>
    </font>
    <font>
      <b val="true"/>
      <sz val="11"/>
      <color rgb="FF000000"/>
      <name val="Arial"/>
      <family val="0"/>
      <charset val="204"/>
    </font>
    <font>
      <b val="true"/>
      <sz val="10"/>
      <color rgb="FF000000"/>
      <name val="Arial"/>
      <family val="0"/>
      <charset val="204"/>
    </font>
    <font>
      <sz val="9"/>
      <color rgb="FF2F5597"/>
      <name val="Arial"/>
      <family val="0"/>
      <charset val="204"/>
    </font>
    <font>
      <sz val="11"/>
      <color rgb="FF000000"/>
      <name val="Calibri"/>
      <family val="0"/>
      <charset val="204"/>
    </font>
    <font>
      <sz val="8"/>
      <color rgb="FF000000"/>
      <name val="Arial"/>
      <family val="0"/>
      <charset val="204"/>
    </font>
    <font>
      <sz val="11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9"/>
      <name val="Times New Roman"/>
      <family val="1"/>
      <charset val="204"/>
    </font>
    <font>
      <i val="true"/>
      <sz val="12"/>
      <name val="Times New Roman"/>
      <family val="1"/>
      <charset val="204"/>
    </font>
    <font>
      <sz val="10"/>
      <name val="Times New Roman"/>
      <family val="1"/>
      <charset val="1"/>
    </font>
    <font>
      <i val="true"/>
      <sz val="8"/>
      <name val="Times New Roman"/>
      <family val="1"/>
      <charset val="204"/>
    </font>
    <font>
      <i val="true"/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b val="true"/>
      <i val="true"/>
      <sz val="14"/>
      <color rgb="FF000000"/>
      <name val="Times New Roman"/>
      <family val="1"/>
      <charset val="204"/>
    </font>
    <font>
      <b val="true"/>
      <i val="true"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7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7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7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7" fillId="0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7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10" fillId="0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2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6" fillId="0" borderId="0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7" fillId="0" borderId="0" xfId="21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8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0" xfId="21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6" fillId="0" borderId="0" xfId="21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19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3" fontId="18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4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1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4" fillId="0" borderId="0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8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0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8" fillId="0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8" fillId="0" borderId="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8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8" fillId="2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8" fillId="2" borderId="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8" fillId="2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8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8" fillId="3" borderId="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18" fillId="3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8" fillId="2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5" fillId="2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5" fillId="2" borderId="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25" fillId="2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8" fillId="0" borderId="1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7" fillId="0" borderId="0" xfId="24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7" fillId="0" borderId="0" xfId="24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7" fillId="0" borderId="0" xfId="24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8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24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29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6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26" fillId="0" borderId="0" xfId="24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31" fillId="0" borderId="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0" xfId="24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4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4" fillId="0" borderId="8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8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4" fillId="0" borderId="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3" fontId="14" fillId="3" borderId="8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3" borderId="8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33" fillId="3" borderId="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4" fillId="0" borderId="7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8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4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0" borderId="8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8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8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0" borderId="8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8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9" fillId="0" borderId="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8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8" xfId="23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29" fillId="0" borderId="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9" fillId="0" borderId="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1" fillId="0" borderId="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4" fillId="0" borderId="0" xfId="24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24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24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1" fillId="0" borderId="0" xfId="24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0" xfId="22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22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4" fillId="0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4" fillId="0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4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4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33" fillId="3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3" borderId="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3" borderId="8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5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3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33" fillId="3" borderId="8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33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3" borderId="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33" fillId="0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35" fillId="0" borderId="8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35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35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8" xfId="22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5" fillId="0" borderId="8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36" fillId="0" borderId="8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36" fillId="0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6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6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" fillId="0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2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38" fillId="0" borderId="0" xfId="22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3" fontId="38" fillId="0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38" fillId="0" borderId="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38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35" fillId="0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35" fillId="0" borderId="8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0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  <cellStyle name="Обычный 2" xfId="21"/>
    <cellStyle name="Обычный 2 2" xfId="22"/>
    <cellStyle name="Обычный 3" xfId="23"/>
    <cellStyle name="Обычный 4" xfId="24"/>
    <cellStyle name="Обычный 5" xfId="25"/>
    <cellStyle name="Процентный 2" xfId="26"/>
    <cellStyle name="Процентный 3" xfId="27"/>
    <cellStyle name="Финансовый 2" xfId="28"/>
    <cellStyle name="Финансовый 3" xfId="29"/>
    <cellStyle name="Финансовый 5" xfId="30"/>
  </cellStyles>
  <dxfs count="3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4"/>
  <sheetViews>
    <sheetView showFormulas="false" showGridLines="true" showRowColHeaders="true" showZeros="true" rightToLeft="false" tabSelected="false" showOutlineSymbols="false" defaultGridColor="true" view="normal" topLeftCell="A1" colorId="64" zoomScale="60" zoomScaleNormal="60" zoomScalePageLayoutView="100" workbookViewId="0">
      <selection pane="topLeft" activeCell="G19" activeCellId="0" sqref="G19"/>
    </sheetView>
  </sheetViews>
  <sheetFormatPr defaultColWidth="8.3203125" defaultRowHeight="12.75" zeroHeight="false" outlineLevelRow="0" outlineLevelCol="0"/>
  <cols>
    <col collapsed="false" customWidth="true" hidden="false" outlineLevel="0" max="1" min="1" style="1" width="4.15"/>
    <col collapsed="false" customWidth="true" hidden="false" outlineLevel="0" max="2" min="2" style="1" width="53.17"/>
    <col collapsed="false" customWidth="true" hidden="false" outlineLevel="0" max="3" min="3" style="1" width="17.93"/>
    <col collapsed="false" customWidth="true" hidden="false" outlineLevel="0" max="4" min="4" style="1" width="12.87"/>
    <col collapsed="false" customWidth="true" hidden="false" outlineLevel="0" max="5" min="5" style="1" width="16.12"/>
    <col collapsed="false" customWidth="true" hidden="false" outlineLevel="0" max="6" min="6" style="1" width="12.87"/>
    <col collapsed="false" customWidth="true" hidden="false" outlineLevel="0" max="7" min="7" style="1" width="18.97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3" t="s">
        <v>0</v>
      </c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3" t="s">
        <v>1</v>
      </c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3"/>
    </row>
    <row r="4" customFormat="false" ht="30.75" hidden="false" customHeight="true" outlineLevel="0" collapsed="false">
      <c r="A4" s="2"/>
      <c r="B4" s="4" t="s">
        <v>2</v>
      </c>
      <c r="C4" s="4"/>
      <c r="D4" s="4"/>
      <c r="E4" s="4"/>
      <c r="F4" s="4"/>
      <c r="G4" s="4"/>
    </row>
    <row r="5" customFormat="false" ht="27" hidden="false" customHeight="true" outlineLevel="0" collapsed="false">
      <c r="A5" s="2"/>
      <c r="B5" s="5" t="s">
        <v>3</v>
      </c>
      <c r="C5" s="5"/>
      <c r="D5" s="5"/>
      <c r="E5" s="5"/>
      <c r="F5" s="5"/>
      <c r="G5" s="5"/>
    </row>
    <row r="6" customFormat="false" ht="27" hidden="false" customHeight="true" outlineLevel="0" collapsed="false">
      <c r="A6" s="2"/>
      <c r="B6" s="6"/>
      <c r="C6" s="6"/>
      <c r="D6" s="6"/>
      <c r="E6" s="6"/>
      <c r="F6" s="6"/>
      <c r="G6" s="6"/>
    </row>
    <row r="7" customFormat="false" ht="15" hidden="false" customHeight="true" outlineLevel="0" collapsed="false">
      <c r="A7" s="7" t="s">
        <v>4</v>
      </c>
      <c r="B7" s="8"/>
      <c r="C7" s="9"/>
      <c r="D7" s="9"/>
      <c r="E7" s="9"/>
      <c r="F7" s="9"/>
      <c r="G7" s="9"/>
    </row>
    <row r="8" customFormat="false" ht="15" hidden="false" customHeight="true" outlineLevel="0" collapsed="false">
      <c r="A8" s="10" t="s">
        <v>5</v>
      </c>
      <c r="B8" s="11" t="s">
        <v>6</v>
      </c>
      <c r="C8" s="11"/>
      <c r="D8" s="11"/>
      <c r="E8" s="11"/>
      <c r="F8" s="11"/>
      <c r="G8" s="11"/>
    </row>
    <row r="9" customFormat="false" ht="15" hidden="false" customHeight="true" outlineLevel="0" collapsed="false">
      <c r="A9" s="10" t="s">
        <v>7</v>
      </c>
      <c r="B9" s="11" t="s">
        <v>8</v>
      </c>
      <c r="C9" s="11"/>
      <c r="D9" s="11"/>
      <c r="E9" s="11"/>
      <c r="F9" s="11"/>
      <c r="G9" s="11"/>
    </row>
    <row r="10" customFormat="false" ht="15" hidden="false" customHeight="true" outlineLevel="0" collapsed="false">
      <c r="A10" s="10" t="s">
        <v>9</v>
      </c>
      <c r="B10" s="11" t="s">
        <v>10</v>
      </c>
      <c r="C10" s="11"/>
      <c r="D10" s="11"/>
      <c r="E10" s="11"/>
      <c r="F10" s="11"/>
      <c r="G10" s="11"/>
    </row>
    <row r="11" customFormat="false" ht="15" hidden="false" customHeight="true" outlineLevel="0" collapsed="false">
      <c r="A11" s="10" t="s">
        <v>11</v>
      </c>
      <c r="B11" s="11" t="s">
        <v>12</v>
      </c>
      <c r="C11" s="11"/>
      <c r="D11" s="11"/>
      <c r="E11" s="11"/>
      <c r="F11" s="11"/>
      <c r="G11" s="11"/>
    </row>
    <row r="12" customFormat="false" ht="15" hidden="false" customHeight="true" outlineLevel="0" collapsed="false">
      <c r="A12" s="10" t="s">
        <v>13</v>
      </c>
      <c r="B12" s="11" t="s">
        <v>14</v>
      </c>
      <c r="C12" s="11"/>
      <c r="D12" s="11"/>
      <c r="E12" s="11"/>
      <c r="F12" s="11"/>
      <c r="G12" s="11"/>
    </row>
    <row r="13" customFormat="false" ht="15" hidden="false" customHeight="true" outlineLevel="0" collapsed="false">
      <c r="A13" s="10" t="s">
        <v>15</v>
      </c>
      <c r="B13" s="11" t="s">
        <v>16</v>
      </c>
      <c r="C13" s="11"/>
      <c r="D13" s="11"/>
      <c r="E13" s="11"/>
      <c r="F13" s="11"/>
      <c r="G13" s="11"/>
    </row>
    <row r="14" customFormat="false" ht="15.75" hidden="false" customHeight="true" outlineLevel="0" collapsed="false">
      <c r="A14" s="2"/>
      <c r="B14" s="8"/>
      <c r="C14" s="8"/>
      <c r="D14" s="8"/>
      <c r="E14" s="8"/>
      <c r="F14" s="8"/>
      <c r="G14" s="8"/>
    </row>
    <row r="15" customFormat="false" ht="146.25" hidden="false" customHeight="true" outlineLevel="0" collapsed="false">
      <c r="A15" s="12" t="s">
        <v>17</v>
      </c>
      <c r="B15" s="12"/>
      <c r="C15" s="13" t="s">
        <v>18</v>
      </c>
      <c r="D15" s="13" t="s">
        <v>19</v>
      </c>
      <c r="E15" s="13" t="s">
        <v>20</v>
      </c>
      <c r="F15" s="13" t="s">
        <v>21</v>
      </c>
      <c r="G15" s="14" t="s">
        <v>22</v>
      </c>
    </row>
    <row r="16" customFormat="false" ht="15" hidden="false" customHeight="true" outlineLevel="0" collapsed="false">
      <c r="A16" s="15" t="n">
        <v>1</v>
      </c>
      <c r="B16" s="15"/>
      <c r="C16" s="16" t="n">
        <v>2</v>
      </c>
      <c r="D16" s="16" t="n">
        <v>3</v>
      </c>
      <c r="E16" s="16" t="n">
        <v>4</v>
      </c>
      <c r="F16" s="16" t="n">
        <v>5</v>
      </c>
      <c r="G16" s="17" t="n">
        <v>6</v>
      </c>
    </row>
    <row r="17" customFormat="false" ht="15" hidden="false" customHeight="true" outlineLevel="0" collapsed="false">
      <c r="A17" s="18" t="s">
        <v>23</v>
      </c>
      <c r="B17" s="18"/>
      <c r="C17" s="19" t="n">
        <v>54352</v>
      </c>
      <c r="D17" s="20" t="n">
        <v>1</v>
      </c>
      <c r="E17" s="19" t="n">
        <v>54352</v>
      </c>
      <c r="F17" s="21" t="n">
        <v>1.0399</v>
      </c>
      <c r="G17" s="22" t="n">
        <v>56521</v>
      </c>
    </row>
    <row r="18" customFormat="false" ht="15" hidden="false" customHeight="true" outlineLevel="0" collapsed="false">
      <c r="A18" s="18" t="s">
        <v>24</v>
      </c>
      <c r="B18" s="18"/>
      <c r="C18" s="19" t="n">
        <v>2761132</v>
      </c>
      <c r="D18" s="20" t="n">
        <v>1</v>
      </c>
      <c r="E18" s="19" t="n">
        <v>2761132</v>
      </c>
      <c r="F18" s="21" t="n">
        <v>1.0399</v>
      </c>
      <c r="G18" s="22" t="n">
        <v>2871301</v>
      </c>
    </row>
    <row r="19" customFormat="false" ht="15" hidden="false" customHeight="true" outlineLevel="0" collapsed="false">
      <c r="A19" s="18" t="s">
        <v>25</v>
      </c>
      <c r="B19" s="18"/>
      <c r="C19" s="19" t="n">
        <v>2815484</v>
      </c>
      <c r="D19" s="23"/>
      <c r="E19" s="19" t="n">
        <v>2815484</v>
      </c>
      <c r="F19" s="23"/>
      <c r="G19" s="22" t="n">
        <v>2927822</v>
      </c>
    </row>
    <row r="20" customFormat="false" ht="15" hidden="false" customHeight="true" outlineLevel="0" collapsed="false">
      <c r="A20" s="18" t="s">
        <v>26</v>
      </c>
      <c r="B20" s="18"/>
      <c r="C20" s="24" t="n">
        <f aca="false">C19*0.2</f>
        <v>563096.8</v>
      </c>
      <c r="D20" s="23"/>
      <c r="E20" s="24" t="n">
        <f aca="false">E19*0.2</f>
        <v>563096.8</v>
      </c>
      <c r="F20" s="23"/>
      <c r="G20" s="24" t="n">
        <f aca="false">G19*0.2</f>
        <v>585564.4</v>
      </c>
    </row>
    <row r="21" customFormat="false" ht="15" hidden="false" customHeight="true" outlineLevel="0" collapsed="false">
      <c r="A21" s="25" t="s">
        <v>27</v>
      </c>
      <c r="B21" s="25"/>
      <c r="C21" s="26" t="n">
        <f aca="false">SUM(C19+C20)</f>
        <v>3378580.8</v>
      </c>
      <c r="D21" s="27"/>
      <c r="E21" s="26" t="n">
        <f aca="false">SUM(E19+E20)</f>
        <v>3378580.8</v>
      </c>
      <c r="F21" s="27"/>
      <c r="G21" s="26" t="n">
        <f aca="false">SUM(G19+G20)</f>
        <v>3513386.4</v>
      </c>
    </row>
    <row r="22" customFormat="false" ht="15" hidden="false" customHeight="true" outlineLevel="0" collapsed="false">
      <c r="A22" s="28"/>
      <c r="B22" s="28"/>
      <c r="C22" s="29"/>
      <c r="D22" s="29"/>
      <c r="E22" s="29"/>
      <c r="F22" s="29"/>
      <c r="G22" s="29"/>
    </row>
    <row r="23" customFormat="false" ht="12.75" hidden="false" customHeight="true" outlineLevel="0" collapsed="false">
      <c r="A23" s="2"/>
      <c r="B23" s="10" t="s">
        <v>28</v>
      </c>
      <c r="C23" s="30" t="s">
        <v>29</v>
      </c>
      <c r="D23" s="30"/>
      <c r="E23" s="31"/>
      <c r="F23" s="32"/>
      <c r="G23" s="32"/>
    </row>
    <row r="24" customFormat="false" ht="12.75" hidden="false" customHeight="true" outlineLevel="0" collapsed="false">
      <c r="A24" s="2"/>
      <c r="B24" s="10" t="s">
        <v>30</v>
      </c>
      <c r="C24" s="30" t="s">
        <v>31</v>
      </c>
      <c r="D24" s="30"/>
      <c r="E24" s="30"/>
      <c r="F24" s="33"/>
      <c r="G24" s="33"/>
    </row>
    <row r="25" customFormat="false" ht="12.75" hidden="false" customHeight="true" outlineLevel="0" collapsed="false">
      <c r="A25" s="2"/>
      <c r="B25" s="10" t="s">
        <v>32</v>
      </c>
      <c r="C25" s="30" t="s">
        <v>33</v>
      </c>
      <c r="D25" s="30"/>
      <c r="E25" s="30"/>
      <c r="F25" s="33"/>
      <c r="G25" s="33"/>
    </row>
    <row r="26" customFormat="false" ht="12.75" hidden="false" customHeight="true" outlineLevel="0" collapsed="false">
      <c r="A26" s="2"/>
      <c r="B26" s="10" t="s">
        <v>34</v>
      </c>
      <c r="C26" s="30" t="s">
        <v>35</v>
      </c>
      <c r="D26" s="30"/>
      <c r="E26" s="30"/>
      <c r="F26" s="33"/>
      <c r="G26" s="33"/>
    </row>
    <row r="27" customFormat="false" ht="12.75" hidden="false" customHeight="true" outlineLevel="0" collapsed="false">
      <c r="A27" s="2"/>
      <c r="B27" s="10" t="s">
        <v>36</v>
      </c>
      <c r="C27" s="30" t="s">
        <v>37</v>
      </c>
      <c r="D27" s="30"/>
      <c r="E27" s="30"/>
      <c r="F27" s="33"/>
      <c r="G27" s="33"/>
    </row>
    <row r="28" customFormat="false" ht="15" hidden="false" customHeight="true" outlineLevel="0" collapsed="false">
      <c r="A28" s="2"/>
      <c r="B28" s="3"/>
      <c r="C28" s="33"/>
      <c r="D28" s="33"/>
      <c r="E28" s="33"/>
      <c r="F28" s="33"/>
      <c r="G28" s="3"/>
    </row>
    <row r="29" customFormat="false" ht="19.5" hidden="false" customHeight="true" outlineLevel="0" collapsed="false">
      <c r="A29" s="34" t="s">
        <v>38</v>
      </c>
      <c r="B29" s="34"/>
      <c r="C29" s="34"/>
      <c r="D29" s="34"/>
      <c r="E29" s="34"/>
      <c r="F29" s="34"/>
      <c r="G29" s="34"/>
    </row>
    <row r="30" customFormat="false" ht="25.5" hidden="false" customHeight="true" outlineLevel="0" collapsed="false">
      <c r="A30" s="2"/>
      <c r="B30" s="35" t="s">
        <v>39</v>
      </c>
      <c r="C30" s="35"/>
      <c r="D30" s="36" t="n">
        <v>1</v>
      </c>
      <c r="E30" s="37"/>
      <c r="F30" s="37"/>
      <c r="G30" s="37"/>
    </row>
    <row r="31" customFormat="false" ht="12.75" hidden="false" customHeight="false" outlineLevel="0" collapsed="false">
      <c r="A31" s="2"/>
      <c r="B31" s="35"/>
      <c r="C31" s="35"/>
      <c r="D31" s="37"/>
      <c r="E31" s="37"/>
      <c r="F31" s="37"/>
      <c r="G31" s="37"/>
    </row>
    <row r="32" customFormat="false" ht="21" hidden="false" customHeight="true" outlineLevel="0" collapsed="false">
      <c r="A32" s="38" t="s">
        <v>40</v>
      </c>
      <c r="B32" s="38"/>
      <c r="C32" s="38"/>
      <c r="D32" s="38"/>
      <c r="E32" s="38"/>
      <c r="F32" s="38"/>
      <c r="G32" s="38"/>
    </row>
    <row r="33" customFormat="false" ht="15" hidden="false" customHeight="true" outlineLevel="0" collapsed="false">
      <c r="A33" s="7"/>
      <c r="B33" s="39" t="s">
        <v>41</v>
      </c>
      <c r="C33" s="40"/>
      <c r="D33" s="41" t="n">
        <v>0</v>
      </c>
      <c r="E33" s="41"/>
      <c r="F33" s="42"/>
      <c r="G33" s="42"/>
    </row>
    <row r="34" customFormat="false" ht="15" hidden="false" customHeight="true" outlineLevel="0" collapsed="false">
      <c r="A34" s="7"/>
      <c r="B34" s="39" t="s">
        <v>42</v>
      </c>
      <c r="C34" s="40"/>
      <c r="D34" s="41" t="n">
        <v>1</v>
      </c>
      <c r="E34" s="41"/>
      <c r="F34" s="42"/>
      <c r="G34" s="42"/>
    </row>
    <row r="35" customFormat="false" ht="15" hidden="false" customHeight="true" outlineLevel="0" collapsed="false">
      <c r="A35" s="7"/>
      <c r="B35" s="43" t="s">
        <v>43</v>
      </c>
      <c r="C35" s="43"/>
      <c r="D35" s="42"/>
      <c r="E35" s="42"/>
      <c r="F35" s="42"/>
      <c r="G35" s="42"/>
    </row>
    <row r="36" customFormat="false" ht="15" hidden="false" customHeight="true" outlineLevel="0" collapsed="false">
      <c r="A36" s="7"/>
      <c r="B36" s="10" t="s">
        <v>44</v>
      </c>
      <c r="C36" s="10"/>
      <c r="D36" s="30"/>
      <c r="E36" s="30"/>
      <c r="F36" s="30" t="s">
        <v>45</v>
      </c>
      <c r="G36" s="42"/>
    </row>
    <row r="37" customFormat="false" ht="15" hidden="false" customHeight="true" outlineLevel="0" collapsed="false">
      <c r="A37" s="7"/>
      <c r="B37" s="10" t="s">
        <v>46</v>
      </c>
      <c r="C37" s="10"/>
      <c r="D37" s="30"/>
      <c r="E37" s="30"/>
      <c r="F37" s="30" t="s">
        <v>47</v>
      </c>
      <c r="G37" s="42"/>
    </row>
    <row r="38" customFormat="false" ht="15" hidden="false" customHeight="true" outlineLevel="0" collapsed="false">
      <c r="A38" s="7"/>
      <c r="B38" s="43" t="s">
        <v>48</v>
      </c>
      <c r="C38" s="43"/>
      <c r="D38" s="42"/>
      <c r="E38" s="42"/>
      <c r="F38" s="42"/>
      <c r="G38" s="42"/>
    </row>
    <row r="39" customFormat="false" ht="15" hidden="false" customHeight="true" outlineLevel="0" collapsed="false">
      <c r="A39" s="7"/>
      <c r="B39" s="10" t="s">
        <v>44</v>
      </c>
      <c r="C39" s="10"/>
      <c r="D39" s="30" t="s">
        <v>49</v>
      </c>
      <c r="E39" s="30"/>
      <c r="F39" s="44" t="n">
        <v>1.006</v>
      </c>
      <c r="G39" s="42"/>
    </row>
    <row r="40" customFormat="false" ht="15" hidden="false" customHeight="true" outlineLevel="0" collapsed="false">
      <c r="A40" s="7"/>
      <c r="B40" s="10" t="s">
        <v>46</v>
      </c>
      <c r="C40" s="10"/>
      <c r="D40" s="30" t="s">
        <v>50</v>
      </c>
      <c r="E40" s="30"/>
      <c r="F40" s="45" t="n">
        <v>1.0045</v>
      </c>
      <c r="G40" s="42"/>
    </row>
    <row r="41" customFormat="false" ht="15" hidden="false" customHeight="true" outlineLevel="0" collapsed="false">
      <c r="A41" s="7"/>
      <c r="B41" s="43" t="s">
        <v>51</v>
      </c>
      <c r="C41" s="43"/>
      <c r="D41" s="42"/>
      <c r="E41" s="42"/>
      <c r="F41" s="42"/>
      <c r="G41" s="42"/>
    </row>
    <row r="42" customFormat="false" ht="15" hidden="false" customHeight="true" outlineLevel="0" collapsed="false">
      <c r="A42" s="7"/>
      <c r="B42" s="10" t="s">
        <v>52</v>
      </c>
      <c r="C42" s="10"/>
      <c r="D42" s="30" t="s">
        <v>53</v>
      </c>
      <c r="E42" s="30"/>
      <c r="F42" s="44" t="n">
        <v>1.006</v>
      </c>
      <c r="G42" s="42"/>
    </row>
    <row r="43" customFormat="false" ht="15" hidden="false" customHeight="true" outlineLevel="0" collapsed="false">
      <c r="A43" s="7"/>
      <c r="B43" s="10" t="s">
        <v>54</v>
      </c>
      <c r="C43" s="10"/>
      <c r="D43" s="30" t="s">
        <v>55</v>
      </c>
      <c r="E43" s="30"/>
      <c r="F43" s="45" t="n">
        <v>1.0399</v>
      </c>
      <c r="G43" s="42"/>
    </row>
    <row r="44" customFormat="false" ht="25.5" hidden="false" customHeight="true" outlineLevel="0" collapsed="false">
      <c r="A44" s="7"/>
      <c r="B44" s="43" t="s">
        <v>56</v>
      </c>
      <c r="C44" s="43"/>
      <c r="D44" s="43"/>
      <c r="E44" s="43"/>
      <c r="F44" s="46"/>
      <c r="G44" s="42"/>
    </row>
    <row r="45" customFormat="false" ht="25.5" hidden="false" customHeight="true" outlineLevel="0" collapsed="false">
      <c r="A45" s="7"/>
      <c r="B45" s="43" t="s">
        <v>57</v>
      </c>
      <c r="C45" s="43"/>
      <c r="D45" s="43"/>
      <c r="E45" s="43"/>
      <c r="F45" s="47" t="n">
        <v>1.0399</v>
      </c>
      <c r="G45" s="42"/>
    </row>
    <row r="46" customFormat="false" ht="12.75" hidden="false" customHeight="false" outlineLevel="0" collapsed="false">
      <c r="A46" s="48"/>
      <c r="B46" s="49"/>
      <c r="C46" s="49"/>
      <c r="D46" s="49"/>
      <c r="E46" s="49"/>
      <c r="F46" s="49"/>
      <c r="G46" s="49"/>
    </row>
    <row r="47" customFormat="false" ht="12.75" hidden="false" customHeight="false" outlineLevel="0" collapsed="false">
      <c r="A47" s="48"/>
      <c r="B47" s="50" t="s">
        <v>58</v>
      </c>
      <c r="C47" s="51"/>
      <c r="D47" s="48"/>
      <c r="E47" s="48"/>
      <c r="F47" s="48"/>
      <c r="G47" s="48"/>
    </row>
    <row r="48" customFormat="false" ht="12.75" hidden="false" customHeight="false" outlineLevel="0" collapsed="false">
      <c r="A48" s="48"/>
      <c r="B48" s="50" t="s">
        <v>59</v>
      </c>
      <c r="C48" s="51"/>
      <c r="D48" s="48"/>
      <c r="E48" s="48"/>
      <c r="F48" s="48"/>
      <c r="G48" s="48"/>
    </row>
    <row r="49" customFormat="false" ht="12.75" hidden="false" customHeight="false" outlineLevel="0" collapsed="false">
      <c r="A49" s="48"/>
      <c r="B49" s="50" t="s">
        <v>60</v>
      </c>
      <c r="C49" s="51"/>
      <c r="D49" s="48"/>
      <c r="E49" s="48"/>
      <c r="F49" s="48"/>
      <c r="G49" s="48"/>
    </row>
    <row r="50" customFormat="false" ht="12.75" hidden="false" customHeight="false" outlineLevel="0" collapsed="false">
      <c r="A50" s="48"/>
      <c r="B50" s="50" t="s">
        <v>61</v>
      </c>
      <c r="C50" s="51"/>
      <c r="D50" s="48"/>
      <c r="E50" s="48"/>
      <c r="F50" s="48"/>
      <c r="G50" s="48"/>
    </row>
    <row r="51" customFormat="false" ht="12.75" hidden="false" customHeight="false" outlineLevel="0" collapsed="false">
      <c r="A51" s="48"/>
      <c r="B51" s="50" t="s">
        <v>62</v>
      </c>
      <c r="C51" s="51"/>
      <c r="D51" s="48"/>
      <c r="E51" s="48"/>
      <c r="F51" s="48"/>
      <c r="G51" s="48"/>
    </row>
    <row r="52" customFormat="false" ht="12.75" hidden="false" customHeight="false" outlineLevel="0" collapsed="false">
      <c r="A52" s="48"/>
      <c r="B52" s="50" t="s">
        <v>63</v>
      </c>
      <c r="C52" s="51"/>
      <c r="D52" s="48"/>
      <c r="E52" s="48"/>
      <c r="F52" s="48"/>
      <c r="G52" s="48"/>
    </row>
    <row r="53" customFormat="false" ht="12.75" hidden="false" customHeight="false" outlineLevel="0" collapsed="false">
      <c r="A53" s="48"/>
      <c r="B53" s="50" t="s">
        <v>64</v>
      </c>
      <c r="C53" s="51"/>
      <c r="D53" s="48"/>
      <c r="E53" s="48"/>
      <c r="F53" s="48"/>
      <c r="G53" s="48"/>
    </row>
    <row r="54" customFormat="false" ht="12.75" hidden="false" customHeight="false" outlineLevel="0" collapsed="false">
      <c r="A54" s="48"/>
      <c r="B54" s="2"/>
      <c r="C54" s="2"/>
      <c r="D54" s="48"/>
      <c r="E54" s="48"/>
      <c r="F54" s="48"/>
      <c r="G54" s="48"/>
    </row>
  </sheetData>
  <mergeCells count="39">
    <mergeCell ref="B4:G4"/>
    <mergeCell ref="B5:G5"/>
    <mergeCell ref="B6:G6"/>
    <mergeCell ref="B8:G8"/>
    <mergeCell ref="B9:G9"/>
    <mergeCell ref="B10:G10"/>
    <mergeCell ref="B11:G11"/>
    <mergeCell ref="B12:G12"/>
    <mergeCell ref="B13:G13"/>
    <mergeCell ref="A15:B15"/>
    <mergeCell ref="A16:B16"/>
    <mergeCell ref="A17:B17"/>
    <mergeCell ref="A18:B18"/>
    <mergeCell ref="A19:B19"/>
    <mergeCell ref="A20:B20"/>
    <mergeCell ref="A21:B21"/>
    <mergeCell ref="C23:D23"/>
    <mergeCell ref="C27:D27"/>
    <mergeCell ref="B30:C30"/>
    <mergeCell ref="A32:G32"/>
    <mergeCell ref="D33:E33"/>
    <mergeCell ref="D34:E34"/>
    <mergeCell ref="B35:C35"/>
    <mergeCell ref="B36:C36"/>
    <mergeCell ref="D36:E36"/>
    <mergeCell ref="B37:C37"/>
    <mergeCell ref="D37:E37"/>
    <mergeCell ref="B38:C38"/>
    <mergeCell ref="B39:C39"/>
    <mergeCell ref="D39:E39"/>
    <mergeCell ref="B40:C40"/>
    <mergeCell ref="D40:E40"/>
    <mergeCell ref="B41:C41"/>
    <mergeCell ref="B42:C42"/>
    <mergeCell ref="D42:E42"/>
    <mergeCell ref="B43:C43"/>
    <mergeCell ref="D43:E43"/>
    <mergeCell ref="B44:E44"/>
    <mergeCell ref="B45:E4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30"/>
  <sheetViews>
    <sheetView showFormulas="false" showGridLines="true" showRowColHeaders="true" showZeros="true" rightToLeft="false" tabSelected="true" showOutlineSymbols="false" defaultGridColor="true" view="normal" topLeftCell="A1" colorId="64" zoomScale="60" zoomScaleNormal="60" zoomScalePageLayoutView="100" workbookViewId="0">
      <selection pane="topLeft" activeCell="D29" activeCellId="0" sqref="D29"/>
    </sheetView>
  </sheetViews>
  <sheetFormatPr defaultColWidth="8.37890625" defaultRowHeight="15" zeroHeight="false" outlineLevelRow="0" outlineLevelCol="0"/>
  <cols>
    <col collapsed="false" customWidth="true" hidden="false" outlineLevel="0" max="1" min="1" style="52" width="10.5"/>
    <col collapsed="false" customWidth="true" hidden="false" outlineLevel="0" max="2" min="2" style="52" width="30"/>
    <col collapsed="false" customWidth="true" hidden="false" outlineLevel="0" max="3" min="3" style="52" width="18.12"/>
    <col collapsed="false" customWidth="true" hidden="false" outlineLevel="0" max="4" min="4" style="52" width="13.25"/>
    <col collapsed="false" customWidth="true" hidden="false" outlineLevel="0" max="5" min="5" style="52" width="14.25"/>
    <col collapsed="false" customWidth="true" hidden="false" outlineLevel="0" max="6" min="6" style="52" width="11.62"/>
    <col collapsed="false" customWidth="true" hidden="false" outlineLevel="0" max="7" min="7" style="52" width="17.12"/>
    <col collapsed="false" customWidth="true" hidden="false" outlineLevel="0" max="8" min="8" style="52" width="8.75"/>
    <col collapsed="false" customWidth="false" hidden="false" outlineLevel="0" max="12" min="9" style="52" width="8.38"/>
    <col collapsed="false" customWidth="true" hidden="false" outlineLevel="0" max="13" min="13" style="52" width="10.75"/>
    <col collapsed="false" customWidth="true" hidden="false" outlineLevel="0" max="14" min="14" style="52" width="32"/>
    <col collapsed="false" customWidth="false" hidden="false" outlineLevel="0" max="256" min="15" style="52" width="8.38"/>
  </cols>
  <sheetData>
    <row r="1" customFormat="false" ht="17.25" hidden="false" customHeight="true" outlineLevel="0" collapsed="false">
      <c r="A1" s="53"/>
      <c r="B1" s="53"/>
      <c r="C1" s="54"/>
      <c r="D1" s="54"/>
      <c r="E1" s="54"/>
      <c r="F1" s="54"/>
      <c r="G1" s="55"/>
      <c r="H1" s="56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  <c r="IR1" s="57"/>
      <c r="IS1" s="57"/>
      <c r="IT1" s="57"/>
      <c r="IU1" s="57"/>
      <c r="IV1" s="57"/>
    </row>
    <row r="2" customFormat="false" ht="17.25" hidden="false" customHeight="true" outlineLevel="0" collapsed="false">
      <c r="A2" s="58"/>
      <c r="B2" s="59"/>
      <c r="C2" s="60"/>
      <c r="D2" s="60"/>
      <c r="E2" s="60"/>
      <c r="F2" s="60"/>
      <c r="G2" s="55"/>
      <c r="H2" s="56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/>
      <c r="IU2" s="57"/>
      <c r="IV2" s="57"/>
    </row>
    <row r="3" customFormat="false" ht="15.75" hidden="false" customHeight="true" outlineLevel="0" collapsed="false">
      <c r="A3" s="61" t="s">
        <v>65</v>
      </c>
      <c r="B3" s="61"/>
      <c r="C3" s="61"/>
      <c r="D3" s="61"/>
      <c r="E3" s="61"/>
      <c r="F3" s="61"/>
      <c r="G3" s="62"/>
      <c r="H3" s="56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</row>
    <row r="4" customFormat="false" ht="14.25" hidden="false" customHeight="false" outlineLevel="0" collapsed="false">
      <c r="A4" s="63" t="s">
        <v>66</v>
      </c>
      <c r="B4" s="63"/>
      <c r="C4" s="63"/>
      <c r="D4" s="63"/>
      <c r="E4" s="63"/>
      <c r="F4" s="63"/>
      <c r="G4" s="64"/>
      <c r="H4" s="56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</row>
    <row r="5" customFormat="false" ht="15.75" hidden="false" customHeight="false" outlineLevel="0" collapsed="false">
      <c r="A5" s="56"/>
      <c r="B5" s="65"/>
      <c r="C5" s="56"/>
      <c r="D5" s="66"/>
      <c r="E5" s="56"/>
      <c r="F5" s="56"/>
      <c r="G5" s="56"/>
      <c r="H5" s="56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</row>
    <row r="6" customFormat="false" ht="24.85" hidden="false" customHeight="true" outlineLevel="0" collapsed="false">
      <c r="A6" s="67" t="s">
        <v>67</v>
      </c>
      <c r="B6" s="67"/>
      <c r="C6" s="67"/>
      <c r="D6" s="67"/>
      <c r="E6" s="67"/>
      <c r="F6" s="67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</row>
    <row r="7" customFormat="false" ht="14.25" hidden="false" customHeight="false" outlineLevel="0" collapsed="false">
      <c r="A7" s="68" t="s">
        <v>68</v>
      </c>
      <c r="B7" s="68"/>
      <c r="C7" s="68"/>
      <c r="D7" s="68"/>
      <c r="E7" s="68"/>
      <c r="F7" s="68"/>
      <c r="G7" s="56"/>
      <c r="H7" s="56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</row>
    <row r="8" customFormat="false" ht="15.75" hidden="false" customHeight="false" outlineLevel="0" collapsed="false">
      <c r="A8" s="56"/>
      <c r="B8" s="65"/>
      <c r="C8" s="56"/>
      <c r="D8" s="66"/>
      <c r="E8" s="56"/>
      <c r="F8" s="56"/>
      <c r="G8" s="56"/>
      <c r="H8" s="56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</row>
    <row r="9" customFormat="false" ht="12.75" hidden="false" customHeight="true" outlineLevel="0" collapsed="false">
      <c r="A9" s="69" t="s">
        <v>59</v>
      </c>
      <c r="B9" s="69"/>
      <c r="C9" s="70" t="s">
        <v>69</v>
      </c>
      <c r="D9" s="70"/>
      <c r="E9" s="70"/>
      <c r="F9" s="70"/>
      <c r="G9" s="69"/>
      <c r="H9" s="56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</row>
    <row r="10" customFormat="false" ht="14.25" hidden="false" customHeight="false" outlineLevel="0" collapsed="false">
      <c r="A10" s="64"/>
      <c r="B10" s="64"/>
      <c r="C10" s="68" t="s">
        <v>70</v>
      </c>
      <c r="D10" s="68"/>
      <c r="E10" s="68"/>
      <c r="F10" s="68"/>
      <c r="G10" s="71"/>
      <c r="H10" s="56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</row>
    <row r="11" customFormat="false" ht="15.75" hidden="false" customHeight="false" outlineLevel="0" collapsed="false">
      <c r="A11" s="56"/>
      <c r="B11" s="65"/>
      <c r="C11" s="56"/>
      <c r="D11" s="66"/>
      <c r="E11" s="56"/>
      <c r="F11" s="56"/>
      <c r="G11" s="56"/>
      <c r="H11" s="56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</row>
    <row r="12" customFormat="false" ht="14.25" hidden="false" customHeight="false" outlineLevel="0" collapsed="false">
      <c r="A12" s="72" t="s">
        <v>71</v>
      </c>
      <c r="B12" s="72"/>
      <c r="C12" s="73"/>
      <c r="D12" s="73"/>
      <c r="E12" s="73"/>
      <c r="F12" s="73"/>
      <c r="G12" s="74"/>
      <c r="H12" s="56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</row>
    <row r="13" customFormat="false" ht="14.25" hidden="false" customHeight="false" outlineLevel="0" collapsed="false">
      <c r="A13" s="64"/>
      <c r="B13" s="64"/>
      <c r="C13" s="68" t="s">
        <v>70</v>
      </c>
      <c r="D13" s="68"/>
      <c r="E13" s="68"/>
      <c r="F13" s="68"/>
      <c r="G13" s="64"/>
      <c r="H13" s="71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</row>
    <row r="14" customFormat="false" ht="15.75" hidden="false" customHeight="false" outlineLevel="0" collapsed="false">
      <c r="A14" s="56"/>
      <c r="B14" s="65"/>
      <c r="C14" s="56"/>
      <c r="D14" s="66"/>
      <c r="E14" s="56"/>
      <c r="F14" s="56"/>
      <c r="G14" s="56"/>
      <c r="H14" s="56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</row>
    <row r="15" customFormat="false" ht="14.25" hidden="false" customHeight="false" outlineLevel="0" collapsed="false">
      <c r="A15" s="72" t="s">
        <v>72</v>
      </c>
      <c r="B15" s="72"/>
      <c r="C15" s="73"/>
      <c r="D15" s="73"/>
      <c r="E15" s="73"/>
      <c r="F15" s="73"/>
      <c r="G15" s="74"/>
      <c r="H15" s="56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</row>
    <row r="16" customFormat="false" ht="14.25" hidden="false" customHeight="false" outlineLevel="0" collapsed="false">
      <c r="A16" s="56"/>
      <c r="B16" s="56"/>
      <c r="C16" s="68" t="s">
        <v>70</v>
      </c>
      <c r="D16" s="68"/>
      <c r="E16" s="68"/>
      <c r="F16" s="68"/>
      <c r="G16" s="64"/>
      <c r="H16" s="56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</row>
    <row r="17" customFormat="false" ht="14.25" hidden="false" customHeight="false" outlineLevel="0" collapsed="false">
      <c r="A17" s="56"/>
      <c r="B17" s="56"/>
      <c r="C17" s="56"/>
      <c r="D17" s="56"/>
      <c r="E17" s="56"/>
      <c r="F17" s="75"/>
      <c r="G17" s="56"/>
      <c r="H17" s="56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</row>
    <row r="18" customFormat="false" ht="12.75" hidden="false" customHeight="true" outlineLevel="0" collapsed="false">
      <c r="A18" s="76" t="s">
        <v>73</v>
      </c>
      <c r="B18" s="76"/>
      <c r="C18" s="76"/>
      <c r="D18" s="76"/>
      <c r="E18" s="76"/>
      <c r="F18" s="7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customFormat="false" ht="14.25" hidden="false" customHeight="false" outlineLevel="0" collapsed="false">
      <c r="A19" s="77"/>
      <c r="B19" s="77"/>
      <c r="C19" s="77"/>
      <c r="D19" s="77"/>
      <c r="E19" s="56"/>
      <c r="F19" s="78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customFormat="false" ht="12.75" hidden="false" customHeight="true" outlineLevel="0" collapsed="false">
      <c r="A20" s="79" t="s">
        <v>74</v>
      </c>
      <c r="B20" s="79" t="s">
        <v>75</v>
      </c>
      <c r="C20" s="79" t="s">
        <v>76</v>
      </c>
      <c r="D20" s="80" t="s">
        <v>77</v>
      </c>
      <c r="E20" s="80"/>
      <c r="F20" s="80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customFormat="false" ht="30" hidden="false" customHeight="true" outlineLevel="0" collapsed="false">
      <c r="A21" s="79"/>
      <c r="B21" s="79"/>
      <c r="C21" s="79"/>
      <c r="D21" s="80"/>
      <c r="E21" s="80"/>
      <c r="F21" s="80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customFormat="false" ht="14.25" hidden="false" customHeight="false" outlineLevel="0" collapsed="false">
      <c r="A22" s="79" t="n">
        <v>1</v>
      </c>
      <c r="B22" s="79" t="n">
        <v>2</v>
      </c>
      <c r="C22" s="81" t="n">
        <v>3</v>
      </c>
      <c r="D22" s="80" t="n">
        <v>4</v>
      </c>
      <c r="E22" s="80"/>
      <c r="F22" s="80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customFormat="false" ht="27" hidden="false" customHeight="true" outlineLevel="0" collapsed="false">
      <c r="A23" s="82" t="s">
        <v>78</v>
      </c>
      <c r="B23" s="83" t="s">
        <v>79</v>
      </c>
      <c r="C23" s="82" t="s">
        <v>80</v>
      </c>
      <c r="D23" s="84" t="n">
        <f aca="false">'Смета №1 ПИР'!E30</f>
        <v>2761132</v>
      </c>
      <c r="E23" s="84"/>
      <c r="F23" s="84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  <c r="IV23" s="85"/>
    </row>
    <row r="24" customFormat="false" ht="27" hidden="false" customHeight="true" outlineLevel="0" collapsed="false">
      <c r="A24" s="82" t="n">
        <f aca="false">A23+1</f>
        <v>2</v>
      </c>
      <c r="B24" s="83" t="s">
        <v>81</v>
      </c>
      <c r="C24" s="82" t="s">
        <v>82</v>
      </c>
      <c r="D24" s="84" t="n">
        <f aca="false">'Смета №2'!E24</f>
        <v>19924</v>
      </c>
      <c r="E24" s="84"/>
      <c r="F24" s="84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85"/>
    </row>
    <row r="25" customFormat="false" ht="27" hidden="false" customHeight="true" outlineLevel="0" collapsed="false">
      <c r="A25" s="82" t="n">
        <f aca="false">A24+1</f>
        <v>3</v>
      </c>
      <c r="B25" s="83" t="s">
        <v>83</v>
      </c>
      <c r="C25" s="82" t="s">
        <v>84</v>
      </c>
      <c r="D25" s="84" t="n">
        <f aca="false">'Смета №3'!E35</f>
        <v>34428</v>
      </c>
      <c r="E25" s="84"/>
      <c r="F25" s="84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  <c r="IU25" s="77"/>
      <c r="IV25" s="85"/>
    </row>
    <row r="26" customFormat="false" ht="14.25" hidden="false" customHeight="false" outlineLevel="0" collapsed="false">
      <c r="A26" s="86" t="s">
        <v>85</v>
      </c>
      <c r="B26" s="87" t="s">
        <v>86</v>
      </c>
      <c r="C26" s="87"/>
      <c r="D26" s="88" t="n">
        <f aca="false">SUM(D23:D25)</f>
        <v>2815484</v>
      </c>
      <c r="E26" s="88"/>
      <c r="F26" s="88"/>
      <c r="G26" s="89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  <c r="IU26" s="77"/>
      <c r="IV26" s="85"/>
    </row>
    <row r="27" customFormat="false" ht="12.9" hidden="false" customHeight="false" outlineLevel="0" collapsed="false">
      <c r="A27" s="86" t="s">
        <v>87</v>
      </c>
      <c r="B27" s="87" t="s">
        <v>88</v>
      </c>
      <c r="C27" s="87"/>
      <c r="D27" s="88" t="n">
        <v>2927822</v>
      </c>
      <c r="E27" s="88"/>
      <c r="F27" s="88"/>
      <c r="G27" s="89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  <c r="IU27" s="77"/>
      <c r="IV27" s="85"/>
    </row>
    <row r="28" customFormat="false" ht="12.8" hidden="false" customHeight="false" outlineLevel="0" collapsed="false">
      <c r="A28" s="82" t="s">
        <v>89</v>
      </c>
      <c r="B28" s="90" t="s">
        <v>90</v>
      </c>
      <c r="C28" s="91" t="s">
        <v>91</v>
      </c>
      <c r="D28" s="92" t="n">
        <f aca="false">D27*0.2</f>
        <v>585564.4</v>
      </c>
      <c r="E28" s="92"/>
      <c r="F28" s="92"/>
      <c r="G28" s="89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  <c r="IU28" s="77"/>
      <c r="IV28" s="85"/>
    </row>
    <row r="29" customFormat="false" ht="25.5" hidden="false" customHeight="true" outlineLevel="0" collapsed="false">
      <c r="A29" s="93" t="s">
        <v>92</v>
      </c>
      <c r="B29" s="94" t="s">
        <v>93</v>
      </c>
      <c r="C29" s="93" t="s">
        <v>94</v>
      </c>
      <c r="D29" s="95" t="n">
        <f aca="false">SUM(D27+D28)</f>
        <v>3513386.4</v>
      </c>
      <c r="E29" s="95"/>
      <c r="F29" s="95"/>
      <c r="G29" s="77"/>
      <c r="H29" s="89"/>
      <c r="I29" s="77"/>
      <c r="J29" s="89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  <c r="IV29" s="77"/>
    </row>
    <row r="30" customFormat="false" ht="14.25" hidden="false" customHeight="false" outlineLevel="0" collapsed="false">
      <c r="A30" s="66"/>
      <c r="B30" s="66"/>
      <c r="C30" s="96"/>
      <c r="D30" s="97"/>
      <c r="E30" s="97"/>
      <c r="F30" s="97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</sheetData>
  <mergeCells count="29">
    <mergeCell ref="A1:B1"/>
    <mergeCell ref="C1:F1"/>
    <mergeCell ref="A3:F3"/>
    <mergeCell ref="A4:F4"/>
    <mergeCell ref="A6:F6"/>
    <mergeCell ref="A7:F7"/>
    <mergeCell ref="A9:B9"/>
    <mergeCell ref="C9:F9"/>
    <mergeCell ref="C10:F10"/>
    <mergeCell ref="A12:B12"/>
    <mergeCell ref="C12:F12"/>
    <mergeCell ref="C13:F13"/>
    <mergeCell ref="A15:B15"/>
    <mergeCell ref="C15:F15"/>
    <mergeCell ref="C16:F16"/>
    <mergeCell ref="A18:F18"/>
    <mergeCell ref="A20:A21"/>
    <mergeCell ref="B20:B21"/>
    <mergeCell ref="C20:C21"/>
    <mergeCell ref="D20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false" defaultGridColor="true" view="normal" topLeftCell="A19" colorId="64" zoomScale="60" zoomScaleNormal="60" zoomScalePageLayoutView="100" workbookViewId="0">
      <selection pane="topLeft" activeCell="A1" activeCellId="0" sqref="A1"/>
    </sheetView>
  </sheetViews>
  <sheetFormatPr defaultColWidth="7.625" defaultRowHeight="15" zeroHeight="false" outlineLevelRow="0" outlineLevelCol="0"/>
  <cols>
    <col collapsed="false" customWidth="true" hidden="false" outlineLevel="0" max="1" min="1" style="98" width="5.38"/>
    <col collapsed="false" customWidth="true" hidden="false" outlineLevel="0" max="2" min="2" style="99" width="40.62"/>
    <col collapsed="false" customWidth="true" hidden="false" outlineLevel="0" max="3" min="3" style="99" width="59.5"/>
    <col collapsed="false" customWidth="true" hidden="false" outlineLevel="0" max="4" min="4" style="99" width="29.12"/>
    <col collapsed="false" customWidth="true" hidden="false" outlineLevel="0" max="5" min="5" style="99" width="35.62"/>
    <col collapsed="false" customWidth="false" hidden="false" outlineLevel="0" max="6" min="6" style="99" width="7.62"/>
    <col collapsed="false" customWidth="true" hidden="false" outlineLevel="0" max="7" min="7" style="99" width="14.25"/>
    <col collapsed="false" customWidth="true" hidden="false" outlineLevel="0" max="8" min="8" style="99" width="11.88"/>
    <col collapsed="false" customWidth="false" hidden="false" outlineLevel="0" max="12" min="9" style="99" width="7.62"/>
  </cols>
  <sheetData>
    <row r="1" customFormat="false" ht="15.75" hidden="false" customHeight="true" outlineLevel="0" collapsed="false">
      <c r="D1" s="100"/>
      <c r="E1" s="100"/>
    </row>
    <row r="2" customFormat="false" ht="19.5" hidden="true" customHeight="false" outlineLevel="0" collapsed="false">
      <c r="D2" s="101"/>
      <c r="E2" s="101"/>
    </row>
    <row r="3" customFormat="false" ht="19.5" hidden="true" customHeight="false" outlineLevel="0" collapsed="false">
      <c r="D3" s="102"/>
      <c r="E3" s="103"/>
    </row>
    <row r="4" customFormat="false" ht="19.5" hidden="true" customHeight="false" outlineLevel="0" collapsed="false">
      <c r="D4" s="101"/>
      <c r="E4" s="101"/>
    </row>
    <row r="5" customFormat="false" ht="19.5" hidden="true" customHeight="false" outlineLevel="0" collapsed="false">
      <c r="D5" s="101"/>
      <c r="E5" s="101"/>
    </row>
    <row r="6" customFormat="false" ht="19.5" hidden="true" customHeight="false" outlineLevel="0" collapsed="false">
      <c r="D6" s="101"/>
      <c r="E6" s="101"/>
    </row>
    <row r="7" customFormat="false" ht="15.75" hidden="false" customHeight="false" outlineLevel="0" collapsed="false">
      <c r="D7" s="104"/>
      <c r="E7" s="105"/>
      <c r="F7" s="106"/>
    </row>
    <row r="8" customFormat="false" ht="54.75" hidden="false" customHeight="true" outlineLevel="0" collapsed="false">
      <c r="A8" s="107"/>
      <c r="B8" s="107"/>
      <c r="C8" s="107"/>
      <c r="D8" s="107"/>
      <c r="E8" s="107"/>
      <c r="F8" s="106"/>
    </row>
    <row r="9" customFormat="false" ht="14.25" hidden="false" customHeight="true" outlineLevel="0" collapsed="false">
      <c r="D9" s="108"/>
      <c r="E9" s="109"/>
    </row>
    <row r="10" customFormat="false" ht="15.75" hidden="false" customHeight="true" outlineLevel="0" collapsed="false">
      <c r="A10" s="110" t="s">
        <v>95</v>
      </c>
      <c r="B10" s="110"/>
      <c r="C10" s="110"/>
      <c r="D10" s="110"/>
      <c r="E10" s="110"/>
    </row>
    <row r="11" customFormat="false" ht="15.75" hidden="false" customHeight="false" outlineLevel="0" collapsed="false">
      <c r="A11" s="111"/>
      <c r="B11" s="111"/>
      <c r="C11" s="111"/>
      <c r="D11" s="111"/>
      <c r="E11" s="111"/>
    </row>
    <row r="12" customFormat="false" ht="19.5" hidden="false" customHeight="true" outlineLevel="0" collapsed="false">
      <c r="A12" s="112" t="s">
        <v>96</v>
      </c>
      <c r="B12" s="112"/>
      <c r="C12" s="112"/>
      <c r="D12" s="112"/>
      <c r="E12" s="112"/>
    </row>
    <row r="13" customFormat="false" ht="15.75" hidden="false" customHeight="false" outlineLevel="0" collapsed="false">
      <c r="A13" s="113"/>
      <c r="B13" s="114"/>
      <c r="C13" s="114"/>
      <c r="D13" s="115"/>
      <c r="E13" s="115"/>
    </row>
    <row r="14" customFormat="false" ht="31.5" hidden="false" customHeight="false" outlineLevel="0" collapsed="false">
      <c r="A14" s="116" t="s">
        <v>97</v>
      </c>
      <c r="B14" s="117" t="s">
        <v>98</v>
      </c>
      <c r="C14" s="117" t="s">
        <v>99</v>
      </c>
      <c r="D14" s="117" t="s">
        <v>100</v>
      </c>
      <c r="E14" s="117" t="s">
        <v>101</v>
      </c>
    </row>
    <row r="15" customFormat="false" ht="15.75" hidden="false" customHeight="false" outlineLevel="0" collapsed="false">
      <c r="A15" s="118" t="n">
        <v>1</v>
      </c>
      <c r="B15" s="119" t="n">
        <v>2</v>
      </c>
      <c r="C15" s="119" t="n">
        <v>3</v>
      </c>
      <c r="D15" s="119" t="n">
        <v>4</v>
      </c>
      <c r="E15" s="119" t="n">
        <v>5</v>
      </c>
      <c r="F15" s="120" t="n">
        <v>6</v>
      </c>
    </row>
    <row r="16" customFormat="false" ht="75.75" hidden="false" customHeight="false" outlineLevel="0" collapsed="false">
      <c r="A16" s="121" t="s">
        <v>78</v>
      </c>
      <c r="B16" s="122" t="s">
        <v>102</v>
      </c>
      <c r="C16" s="123" t="s">
        <v>103</v>
      </c>
      <c r="D16" s="117" t="s">
        <v>104</v>
      </c>
      <c r="E16" s="124" t="n">
        <f aca="false">ROUND(107400*1.62,0)</f>
        <v>173988</v>
      </c>
    </row>
    <row r="17" customFormat="false" ht="135.45" hidden="false" customHeight="false" outlineLevel="0" collapsed="false">
      <c r="A17" s="125" t="s">
        <v>105</v>
      </c>
      <c r="B17" s="122" t="s">
        <v>106</v>
      </c>
      <c r="C17" s="126" t="s">
        <v>107</v>
      </c>
      <c r="D17" s="117" t="s">
        <v>108</v>
      </c>
      <c r="E17" s="124" t="n">
        <f aca="false">ROUND(H17*G17*6.88*1.15*1000000,0)</f>
        <v>2512962</v>
      </c>
      <c r="G17" s="127" t="n">
        <v>0.0325</v>
      </c>
      <c r="H17" s="99" t="n">
        <f aca="false">68.40916*2.39/16.73</f>
        <v>9.77273714285714</v>
      </c>
    </row>
    <row r="18" customFormat="false" ht="75.75" hidden="false" customHeight="false" outlineLevel="0" collapsed="false">
      <c r="A18" s="125" t="s">
        <v>109</v>
      </c>
      <c r="B18" s="128" t="s">
        <v>110</v>
      </c>
      <c r="C18" s="126" t="s">
        <v>111</v>
      </c>
      <c r="D18" s="119" t="s">
        <v>112</v>
      </c>
      <c r="E18" s="129" t="n">
        <f aca="false">ROUND(11.3*1*1.62*1000,0)</f>
        <v>18306</v>
      </c>
    </row>
    <row r="19" customFormat="false" ht="75.75" hidden="false" customHeight="false" outlineLevel="0" collapsed="false">
      <c r="A19" s="125" t="s">
        <v>85</v>
      </c>
      <c r="B19" s="128" t="s">
        <v>113</v>
      </c>
      <c r="C19" s="130" t="s">
        <v>114</v>
      </c>
      <c r="D19" s="119" t="s">
        <v>115</v>
      </c>
      <c r="E19" s="129" t="n">
        <f aca="false">ROUND(13.4*1*1.62*1000,0)</f>
        <v>21708</v>
      </c>
    </row>
    <row r="20" customFormat="false" ht="75.75" hidden="false" customHeight="false" outlineLevel="0" collapsed="false">
      <c r="A20" s="116" t="s">
        <v>87</v>
      </c>
      <c r="B20" s="131" t="s">
        <v>116</v>
      </c>
      <c r="C20" s="132" t="s">
        <v>117</v>
      </c>
      <c r="D20" s="119" t="s">
        <v>118</v>
      </c>
      <c r="E20" s="129" t="n">
        <f aca="false">ROUND(7.7*1*1.62*1000,0)</f>
        <v>12474</v>
      </c>
    </row>
    <row r="21" customFormat="false" ht="164.15" hidden="false" customHeight="false" outlineLevel="0" collapsed="false">
      <c r="A21" s="116" t="s">
        <v>89</v>
      </c>
      <c r="B21" s="130" t="s">
        <v>119</v>
      </c>
      <c r="C21" s="131" t="s">
        <v>120</v>
      </c>
      <c r="D21" s="133" t="s">
        <v>121</v>
      </c>
      <c r="E21" s="129" t="n">
        <f aca="false">ROUND(39*28*1.5*1.75*1.1*6.88,0)</f>
        <v>21694</v>
      </c>
    </row>
    <row r="22" customFormat="false" ht="34.5" hidden="false" customHeight="true" outlineLevel="0" collapsed="false">
      <c r="A22" s="134"/>
      <c r="B22" s="134"/>
      <c r="C22" s="134"/>
      <c r="D22" s="134"/>
      <c r="E22" s="135" t="n">
        <f aca="false">SUM(E16:E21)</f>
        <v>2761132</v>
      </c>
    </row>
    <row r="23" customFormat="false" ht="25.25" hidden="false" customHeight="false" outlineLevel="0" collapsed="false">
      <c r="A23" s="119" t="n">
        <v>7</v>
      </c>
      <c r="B23" s="136" t="s">
        <v>122</v>
      </c>
      <c r="C23" s="137" t="s">
        <v>123</v>
      </c>
      <c r="D23" s="138" t="n">
        <v>0.005</v>
      </c>
      <c r="E23" s="139" t="n">
        <f aca="false">ROUND(E22*0.5%,0)</f>
        <v>13806</v>
      </c>
    </row>
    <row r="24" customFormat="false" ht="25.25" hidden="false" customHeight="false" outlineLevel="0" collapsed="false">
      <c r="A24" s="119" t="n">
        <v>8</v>
      </c>
      <c r="B24" s="130" t="s">
        <v>124</v>
      </c>
      <c r="C24" s="137" t="s">
        <v>123</v>
      </c>
      <c r="D24" s="138" t="n">
        <v>0.017</v>
      </c>
      <c r="E24" s="139" t="n">
        <f aca="false">ROUND(E22*1.7%,0)</f>
        <v>46939</v>
      </c>
    </row>
    <row r="25" customFormat="false" ht="25.25" hidden="false" customHeight="false" outlineLevel="0" collapsed="false">
      <c r="A25" s="119" t="n">
        <v>9</v>
      </c>
      <c r="B25" s="130" t="s">
        <v>125</v>
      </c>
      <c r="C25" s="137" t="s">
        <v>123</v>
      </c>
      <c r="D25" s="138" t="n">
        <v>0.842</v>
      </c>
      <c r="E25" s="139" t="n">
        <f aca="false">ROUND(E22*84.2%,0)</f>
        <v>2324873</v>
      </c>
    </row>
    <row r="26" customFormat="false" ht="25.25" hidden="false" customHeight="false" outlineLevel="0" collapsed="false">
      <c r="A26" s="119" t="n">
        <v>10</v>
      </c>
      <c r="B26" s="130" t="s">
        <v>126</v>
      </c>
      <c r="C26" s="137" t="s">
        <v>123</v>
      </c>
      <c r="D26" s="138" t="n">
        <v>0.054</v>
      </c>
      <c r="E26" s="139" t="n">
        <f aca="false">ROUND(E22*D26,0)</f>
        <v>149101</v>
      </c>
    </row>
    <row r="27" customFormat="false" ht="25.25" hidden="false" customHeight="false" outlineLevel="0" collapsed="false">
      <c r="A27" s="119" t="n">
        <v>11</v>
      </c>
      <c r="B27" s="130" t="s">
        <v>127</v>
      </c>
      <c r="C27" s="137" t="s">
        <v>123</v>
      </c>
      <c r="D27" s="138" t="n">
        <v>0.024</v>
      </c>
      <c r="E27" s="139" t="n">
        <f aca="false">ROUND(E22*D27,0)</f>
        <v>66267</v>
      </c>
    </row>
    <row r="28" customFormat="false" ht="25.25" hidden="false" customHeight="false" outlineLevel="0" collapsed="false">
      <c r="A28" s="119" t="n">
        <v>12</v>
      </c>
      <c r="B28" s="130" t="s">
        <v>128</v>
      </c>
      <c r="C28" s="137" t="s">
        <v>123</v>
      </c>
      <c r="D28" s="138" t="n">
        <v>0.008</v>
      </c>
      <c r="E28" s="139" t="n">
        <f aca="false">ROUND(E22*D28,0)</f>
        <v>22089</v>
      </c>
    </row>
    <row r="29" customFormat="false" ht="25.25" hidden="false" customHeight="false" outlineLevel="0" collapsed="false">
      <c r="A29" s="119" t="n">
        <v>13</v>
      </c>
      <c r="B29" s="130" t="s">
        <v>129</v>
      </c>
      <c r="C29" s="137" t="s">
        <v>123</v>
      </c>
      <c r="D29" s="138" t="n">
        <v>0.05</v>
      </c>
      <c r="E29" s="139" t="n">
        <f aca="false">ROUND(E22*5%,0)</f>
        <v>138057</v>
      </c>
    </row>
    <row r="30" customFormat="false" ht="34.5" hidden="false" customHeight="true" outlineLevel="0" collapsed="false">
      <c r="A30" s="134" t="s">
        <v>130</v>
      </c>
      <c r="B30" s="134"/>
      <c r="C30" s="134"/>
      <c r="D30" s="134"/>
      <c r="E30" s="140" t="n">
        <f aca="false">E22*100%</f>
        <v>2761132</v>
      </c>
    </row>
    <row r="31" customFormat="false" ht="15" hidden="false" customHeight="false" outlineLevel="0" collapsed="false">
      <c r="A31" s="141"/>
      <c r="B31" s="142"/>
    </row>
    <row r="32" customFormat="false" ht="32.25" hidden="false" customHeight="true" outlineLevel="0" collapsed="false">
      <c r="A32" s="141"/>
      <c r="B32" s="143" t="s">
        <v>131</v>
      </c>
      <c r="C32" s="143"/>
      <c r="D32" s="143"/>
      <c r="E32" s="143"/>
    </row>
    <row r="33" customFormat="false" ht="15" hidden="false" customHeight="false" outlineLevel="0" collapsed="false">
      <c r="A33" s="141"/>
      <c r="B33" s="142"/>
    </row>
    <row r="34" customFormat="false" ht="34.5" hidden="false" customHeight="true" outlineLevel="0" collapsed="false">
      <c r="A34" s="141"/>
      <c r="B34" s="144"/>
      <c r="C34" s="144"/>
      <c r="D34" s="144"/>
      <c r="E34" s="144"/>
    </row>
  </sheetData>
  <autoFilter ref="A15:F30"/>
  <mergeCells count="12">
    <mergeCell ref="D1:E1"/>
    <mergeCell ref="D2:E2"/>
    <mergeCell ref="D4:E4"/>
    <mergeCell ref="D5:E5"/>
    <mergeCell ref="D6:E6"/>
    <mergeCell ref="A8:E8"/>
    <mergeCell ref="A10:E10"/>
    <mergeCell ref="A12:E12"/>
    <mergeCell ref="A22:D22"/>
    <mergeCell ref="A30:D30"/>
    <mergeCell ref="B32:E32"/>
    <mergeCell ref="B34:E3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false" showOutlineSymbols="false" defaultGridColor="true" view="normal" topLeftCell="A13" colorId="64" zoomScale="60" zoomScaleNormal="60" zoomScalePageLayoutView="100" workbookViewId="0">
      <selection pane="topLeft" activeCell="E24" activeCellId="0" sqref="E24"/>
    </sheetView>
  </sheetViews>
  <sheetFormatPr defaultColWidth="8.2578125" defaultRowHeight="15.75" zeroHeight="false" outlineLevelRow="0" outlineLevelCol="0"/>
  <cols>
    <col collapsed="false" customWidth="false" hidden="false" outlineLevel="0" max="1" min="1" style="145" width="8.25"/>
    <col collapsed="false" customWidth="true" hidden="false" outlineLevel="0" max="2" min="2" style="145" width="39.5"/>
    <col collapsed="false" customWidth="true" hidden="false" outlineLevel="0" max="3" min="3" style="145" width="26.13"/>
    <col collapsed="false" customWidth="true" hidden="false" outlineLevel="0" max="4" min="4" style="145" width="34.12"/>
    <col collapsed="false" customWidth="true" hidden="false" outlineLevel="0" max="5" min="5" style="145" width="21.38"/>
  </cols>
  <sheetData>
    <row r="1" customFormat="false" ht="15.75" hidden="false" customHeight="true" outlineLevel="0" collapsed="false">
      <c r="A1" s="146" t="s">
        <v>82</v>
      </c>
      <c r="B1" s="146"/>
      <c r="C1" s="146"/>
      <c r="D1" s="146"/>
      <c r="E1" s="146"/>
    </row>
    <row r="2" customFormat="false" ht="15.75" hidden="false" customHeight="false" outlineLevel="0" collapsed="false">
      <c r="A2" s="147"/>
      <c r="B2" s="147"/>
      <c r="C2" s="147"/>
      <c r="D2" s="148"/>
      <c r="E2" s="147"/>
    </row>
    <row r="3" customFormat="false" ht="19.5" hidden="false" customHeight="true" outlineLevel="0" collapsed="false">
      <c r="A3" s="149" t="s">
        <v>132</v>
      </c>
      <c r="B3" s="149"/>
      <c r="C3" s="149"/>
      <c r="D3" s="149"/>
      <c r="E3" s="149"/>
    </row>
    <row r="4" customFormat="false" ht="15.75" hidden="false" customHeight="false" outlineLevel="0" collapsed="false">
      <c r="A4" s="150"/>
      <c r="B4" s="151"/>
      <c r="C4" s="151"/>
      <c r="D4" s="152"/>
      <c r="E4" s="153"/>
    </row>
    <row r="5" customFormat="false" ht="111.75" hidden="false" customHeight="true" outlineLevel="0" collapsed="false">
      <c r="A5" s="154" t="s">
        <v>97</v>
      </c>
      <c r="B5" s="155" t="s">
        <v>98</v>
      </c>
      <c r="C5" s="155" t="s">
        <v>99</v>
      </c>
      <c r="D5" s="156" t="s">
        <v>100</v>
      </c>
      <c r="E5" s="155" t="s">
        <v>101</v>
      </c>
    </row>
    <row r="6" customFormat="false" ht="15.75" hidden="false" customHeight="false" outlineLevel="0" collapsed="false">
      <c r="A6" s="157" t="n">
        <v>1</v>
      </c>
      <c r="B6" s="158" t="n">
        <v>2</v>
      </c>
      <c r="C6" s="158" t="n">
        <v>3</v>
      </c>
      <c r="D6" s="159" t="n">
        <v>4</v>
      </c>
      <c r="E6" s="158" t="n">
        <v>5</v>
      </c>
    </row>
    <row r="7" customFormat="false" ht="15" hidden="false" customHeight="true" outlineLevel="0" collapsed="false">
      <c r="A7" s="160" t="s">
        <v>133</v>
      </c>
      <c r="B7" s="160"/>
      <c r="C7" s="160"/>
      <c r="D7" s="160"/>
      <c r="E7" s="160"/>
    </row>
    <row r="8" customFormat="false" ht="174.75" hidden="false" customHeight="true" outlineLevel="0" collapsed="false">
      <c r="A8" s="161" t="s">
        <v>78</v>
      </c>
      <c r="B8" s="162" t="s">
        <v>134</v>
      </c>
      <c r="C8" s="163" t="s">
        <v>135</v>
      </c>
      <c r="D8" s="164" t="s">
        <v>136</v>
      </c>
      <c r="E8" s="165" t="n">
        <f aca="false">ROUND(3007*1.2*1.3*1.25*0.072,0)</f>
        <v>422</v>
      </c>
    </row>
    <row r="9" customFormat="false" ht="15.75" hidden="false" customHeight="true" outlineLevel="0" collapsed="false">
      <c r="A9" s="166" t="s">
        <v>137</v>
      </c>
      <c r="B9" s="166"/>
      <c r="C9" s="166"/>
      <c r="D9" s="166"/>
      <c r="E9" s="165" t="n">
        <f aca="false">E8</f>
        <v>422</v>
      </c>
    </row>
    <row r="10" customFormat="false" ht="15.75" hidden="false" customHeight="true" outlineLevel="0" collapsed="false">
      <c r="A10" s="167" t="s">
        <v>138</v>
      </c>
      <c r="B10" s="167"/>
      <c r="C10" s="167"/>
      <c r="D10" s="167"/>
      <c r="E10" s="167"/>
    </row>
    <row r="11" customFormat="false" ht="129.75" hidden="false" customHeight="true" outlineLevel="0" collapsed="false">
      <c r="A11" s="167" t="s">
        <v>105</v>
      </c>
      <c r="B11" s="168" t="s">
        <v>134</v>
      </c>
      <c r="C11" s="169" t="s">
        <v>139</v>
      </c>
      <c r="D11" s="164" t="s">
        <v>140</v>
      </c>
      <c r="E11" s="165" t="n">
        <f aca="false">ROUND(1268*1.1*1.75*1.15*0.072,0)</f>
        <v>202</v>
      </c>
    </row>
    <row r="12" customFormat="false" ht="54.75" hidden="false" customHeight="true" outlineLevel="0" collapsed="false">
      <c r="A12" s="170" t="s">
        <v>109</v>
      </c>
      <c r="B12" s="168" t="s">
        <v>141</v>
      </c>
      <c r="C12" s="171" t="s">
        <v>142</v>
      </c>
      <c r="D12" s="164" t="s">
        <v>143</v>
      </c>
      <c r="E12" s="165" t="n">
        <f aca="false">80*4</f>
        <v>320</v>
      </c>
    </row>
    <row r="13" customFormat="false" ht="15.75" hidden="false" customHeight="false" outlineLevel="0" collapsed="false">
      <c r="A13" s="167" t="s">
        <v>85</v>
      </c>
      <c r="B13" s="168" t="s">
        <v>144</v>
      </c>
      <c r="C13" s="171" t="s">
        <v>145</v>
      </c>
      <c r="D13" s="164" t="s">
        <v>143</v>
      </c>
      <c r="E13" s="165" t="n">
        <f aca="false">80*4</f>
        <v>320</v>
      </c>
    </row>
    <row r="14" customFormat="false" ht="15.75" hidden="false" customHeight="false" outlineLevel="0" collapsed="false">
      <c r="A14" s="172" t="s">
        <v>146</v>
      </c>
      <c r="B14" s="172"/>
      <c r="C14" s="172"/>
      <c r="D14" s="172"/>
      <c r="E14" s="173" t="n">
        <f aca="false">E11+E12+E13</f>
        <v>842</v>
      </c>
    </row>
    <row r="15" customFormat="false" ht="15.75" hidden="false" customHeight="false" outlineLevel="0" collapsed="false">
      <c r="A15" s="172" t="s">
        <v>147</v>
      </c>
      <c r="B15" s="172"/>
      <c r="C15" s="172"/>
      <c r="D15" s="172"/>
      <c r="E15" s="173" t="n">
        <f aca="false">E9+E14</f>
        <v>1264</v>
      </c>
    </row>
    <row r="16" customFormat="false" ht="15.75" hidden="false" customHeight="false" outlineLevel="0" collapsed="false">
      <c r="A16" s="174" t="s">
        <v>148</v>
      </c>
      <c r="B16" s="174"/>
      <c r="C16" s="174"/>
      <c r="D16" s="174"/>
      <c r="E16" s="174"/>
    </row>
    <row r="17" customFormat="false" ht="52.5" hidden="false" customHeight="true" outlineLevel="0" collapsed="false">
      <c r="A17" s="174" t="s">
        <v>87</v>
      </c>
      <c r="B17" s="175" t="s">
        <v>149</v>
      </c>
      <c r="C17" s="168" t="s">
        <v>150</v>
      </c>
      <c r="D17" s="164" t="s">
        <v>151</v>
      </c>
      <c r="E17" s="173" t="n">
        <f aca="false">ROUND(E9*18.75%,0)</f>
        <v>79</v>
      </c>
    </row>
    <row r="18" customFormat="false" ht="109.5" hidden="false" customHeight="true" outlineLevel="0" collapsed="false">
      <c r="A18" s="174" t="s">
        <v>89</v>
      </c>
      <c r="B18" s="168" t="s">
        <v>152</v>
      </c>
      <c r="C18" s="169" t="s">
        <v>153</v>
      </c>
      <c r="D18" s="164" t="s">
        <v>154</v>
      </c>
      <c r="E18" s="173" t="n">
        <f aca="false">ROUND((E9+E14)*1.25*2.5*6%,0)</f>
        <v>237</v>
      </c>
    </row>
    <row r="19" customFormat="false" ht="30.75" hidden="false" customHeight="true" outlineLevel="0" collapsed="false">
      <c r="A19" s="174" t="s">
        <v>92</v>
      </c>
      <c r="B19" s="176" t="s">
        <v>155</v>
      </c>
      <c r="C19" s="176" t="s">
        <v>156</v>
      </c>
      <c r="D19" s="164" t="s">
        <v>157</v>
      </c>
      <c r="E19" s="173" t="n">
        <f aca="false">ROUND(E15*0.1,0)</f>
        <v>126</v>
      </c>
    </row>
    <row r="20" customFormat="false" ht="15.75" hidden="false" customHeight="false" outlineLevel="0" collapsed="false">
      <c r="A20" s="172" t="s">
        <v>158</v>
      </c>
      <c r="B20" s="172"/>
      <c r="C20" s="172"/>
      <c r="D20" s="172"/>
      <c r="E20" s="173" t="n">
        <f aca="false">E17+E18+E19</f>
        <v>442</v>
      </c>
    </row>
    <row r="21" customFormat="false" ht="15.75" hidden="false" customHeight="false" outlineLevel="0" collapsed="false">
      <c r="A21" s="172" t="s">
        <v>159</v>
      </c>
      <c r="B21" s="172"/>
      <c r="C21" s="172"/>
      <c r="D21" s="172"/>
      <c r="E21" s="173" t="n">
        <f aca="false">E15+E20</f>
        <v>1706</v>
      </c>
    </row>
    <row r="22" customFormat="false" ht="15.75" hidden="false" customHeight="false" outlineLevel="0" collapsed="false">
      <c r="A22" s="174" t="s">
        <v>160</v>
      </c>
      <c r="B22" s="176" t="s">
        <v>161</v>
      </c>
      <c r="C22" s="176" t="s">
        <v>162</v>
      </c>
      <c r="D22" s="164" t="s">
        <v>163</v>
      </c>
      <c r="E22" s="173" t="n">
        <f aca="false">70%*E21</f>
        <v>1194.2</v>
      </c>
    </row>
    <row r="23" customFormat="false" ht="15.75" hidden="false" customHeight="false" outlineLevel="0" collapsed="false">
      <c r="A23" s="172"/>
      <c r="B23" s="172"/>
      <c r="C23" s="172"/>
      <c r="D23" s="172"/>
      <c r="E23" s="173" t="n">
        <f aca="false">E21+E22</f>
        <v>2900.2</v>
      </c>
    </row>
    <row r="24" customFormat="false" ht="26.85" hidden="false" customHeight="false" outlineLevel="0" collapsed="false">
      <c r="A24" s="174" t="s">
        <v>164</v>
      </c>
      <c r="B24" s="177" t="s">
        <v>165</v>
      </c>
      <c r="C24" s="178" t="n">
        <v>6.87</v>
      </c>
      <c r="D24" s="179" t="s">
        <v>166</v>
      </c>
      <c r="E24" s="180" t="n">
        <f aca="false">ROUND(E23*6.87,0)</f>
        <v>19924</v>
      </c>
    </row>
    <row r="30" customFormat="false" ht="15.75" hidden="false" customHeight="false" outlineLevel="0" collapsed="false">
      <c r="D30" s="181"/>
    </row>
  </sheetData>
  <mergeCells count="11">
    <mergeCell ref="A1:E1"/>
    <mergeCell ref="A3:E3"/>
    <mergeCell ref="A7:E7"/>
    <mergeCell ref="A9:D9"/>
    <mergeCell ref="A10:E10"/>
    <mergeCell ref="A14:D14"/>
    <mergeCell ref="A15:D15"/>
    <mergeCell ref="A16:E16"/>
    <mergeCell ref="A20:D20"/>
    <mergeCell ref="A21:D21"/>
    <mergeCell ref="A23:D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5"/>
  <sheetViews>
    <sheetView showFormulas="false" showGridLines="true" showRowColHeaders="true" showZeros="true" rightToLeft="false" tabSelected="false" showOutlineSymbols="false" defaultGridColor="true" view="normal" topLeftCell="A25" colorId="64" zoomScale="60" zoomScaleNormal="60" zoomScalePageLayoutView="100" workbookViewId="0">
      <selection pane="topLeft" activeCell="B35" activeCellId="0" sqref="B35"/>
    </sheetView>
  </sheetViews>
  <sheetFormatPr defaultColWidth="8.2578125" defaultRowHeight="15.75" zeroHeight="false" outlineLevelRow="0" outlineLevelCol="0"/>
  <cols>
    <col collapsed="false" customWidth="true" hidden="false" outlineLevel="0" max="1" min="1" style="145" width="5.5"/>
    <col collapsed="false" customWidth="true" hidden="false" outlineLevel="0" max="2" min="2" style="145" width="26.88"/>
    <col collapsed="false" customWidth="true" hidden="false" outlineLevel="0" max="3" min="3" style="145" width="24.5"/>
    <col collapsed="false" customWidth="true" hidden="false" outlineLevel="0" max="4" min="4" style="145" width="32.76"/>
    <col collapsed="false" customWidth="true" hidden="false" outlineLevel="0" max="5" min="5" style="145" width="11.88"/>
  </cols>
  <sheetData>
    <row r="1" customFormat="false" ht="15.75" hidden="false" customHeight="true" outlineLevel="0" collapsed="false">
      <c r="A1" s="182" t="s">
        <v>84</v>
      </c>
      <c r="B1" s="182"/>
      <c r="C1" s="182"/>
      <c r="D1" s="182"/>
      <c r="E1" s="182"/>
    </row>
    <row r="2" customFormat="false" ht="15.75" hidden="false" customHeight="false" outlineLevel="0" collapsed="false">
      <c r="A2" s="183"/>
      <c r="B2" s="183"/>
      <c r="C2" s="183"/>
      <c r="D2" s="183"/>
      <c r="E2" s="183"/>
    </row>
    <row r="3" customFormat="false" ht="19.5" hidden="false" customHeight="true" outlineLevel="0" collapsed="false">
      <c r="A3" s="184" t="s">
        <v>81</v>
      </c>
      <c r="B3" s="184"/>
      <c r="C3" s="184"/>
      <c r="D3" s="184"/>
      <c r="E3" s="184"/>
    </row>
    <row r="4" customFormat="false" ht="15.75" hidden="false" customHeight="false" outlineLevel="0" collapsed="false">
      <c r="A4" s="185"/>
      <c r="D4" s="152"/>
      <c r="E4" s="152"/>
    </row>
    <row r="5" customFormat="false" ht="113.25" hidden="false" customHeight="true" outlineLevel="0" collapsed="false">
      <c r="A5" s="186" t="s">
        <v>97</v>
      </c>
      <c r="B5" s="156" t="s">
        <v>98</v>
      </c>
      <c r="C5" s="156" t="s">
        <v>99</v>
      </c>
      <c r="D5" s="156" t="s">
        <v>100</v>
      </c>
      <c r="E5" s="156" t="s">
        <v>101</v>
      </c>
    </row>
    <row r="6" customFormat="false" ht="15.75" hidden="false" customHeight="false" outlineLevel="0" collapsed="false">
      <c r="A6" s="187" t="n">
        <v>1</v>
      </c>
      <c r="B6" s="159" t="n">
        <v>2</v>
      </c>
      <c r="C6" s="159" t="n">
        <v>3</v>
      </c>
      <c r="D6" s="159" t="n">
        <v>4</v>
      </c>
      <c r="E6" s="159" t="n">
        <v>5</v>
      </c>
    </row>
    <row r="7" customFormat="false" ht="15" hidden="false" customHeight="true" outlineLevel="0" collapsed="false">
      <c r="A7" s="188" t="s">
        <v>133</v>
      </c>
      <c r="B7" s="188"/>
      <c r="C7" s="188"/>
      <c r="D7" s="188"/>
      <c r="E7" s="188"/>
    </row>
    <row r="8" customFormat="false" ht="72.75" hidden="false" customHeight="true" outlineLevel="0" collapsed="false">
      <c r="A8" s="189" t="s">
        <v>78</v>
      </c>
      <c r="B8" s="168" t="s">
        <v>167</v>
      </c>
      <c r="C8" s="168" t="s">
        <v>168</v>
      </c>
      <c r="D8" s="164" t="s">
        <v>169</v>
      </c>
      <c r="E8" s="173" t="n">
        <f aca="false">ROUND(8*8.5*0.5,0)</f>
        <v>34</v>
      </c>
    </row>
    <row r="9" customFormat="false" ht="60.75" hidden="false" customHeight="true" outlineLevel="0" collapsed="false">
      <c r="A9" s="189" t="s">
        <v>105</v>
      </c>
      <c r="B9" s="168" t="s">
        <v>170</v>
      </c>
      <c r="C9" s="168" t="s">
        <v>171</v>
      </c>
      <c r="D9" s="164" t="s">
        <v>172</v>
      </c>
      <c r="E9" s="173" t="n">
        <f aca="false">ROUND(8*8.5,0)</f>
        <v>68</v>
      </c>
    </row>
    <row r="10" customFormat="false" ht="59.25" hidden="false" customHeight="true" outlineLevel="0" collapsed="false">
      <c r="A10" s="189" t="s">
        <v>109</v>
      </c>
      <c r="B10" s="168" t="s">
        <v>173</v>
      </c>
      <c r="C10" s="168" t="s">
        <v>174</v>
      </c>
      <c r="D10" s="164" t="s">
        <v>175</v>
      </c>
      <c r="E10" s="173" t="n">
        <f aca="false">ROUND(8*38.4*0.9,0)</f>
        <v>276</v>
      </c>
      <c r="K10" s="190"/>
    </row>
    <row r="11" customFormat="false" ht="15.75" hidden="false" customHeight="true" outlineLevel="0" collapsed="false">
      <c r="A11" s="191" t="s">
        <v>137</v>
      </c>
      <c r="B11" s="191"/>
      <c r="C11" s="191"/>
      <c r="D11" s="191"/>
      <c r="E11" s="173" t="n">
        <f aca="false">SUM(E8:E10)</f>
        <v>378</v>
      </c>
    </row>
    <row r="12" customFormat="false" ht="15.75" hidden="false" customHeight="false" outlineLevel="0" collapsed="false">
      <c r="A12" s="189" t="s">
        <v>85</v>
      </c>
      <c r="B12" s="168" t="s">
        <v>176</v>
      </c>
      <c r="C12" s="168" t="s">
        <v>177</v>
      </c>
      <c r="D12" s="164" t="s">
        <v>178</v>
      </c>
      <c r="E12" s="173" t="n">
        <f aca="false">ROUND(18.75%*E11,0)</f>
        <v>71</v>
      </c>
    </row>
    <row r="13" customFormat="false" ht="25.25" hidden="false" customHeight="false" outlineLevel="0" collapsed="false">
      <c r="A13" s="189" t="s">
        <v>87</v>
      </c>
      <c r="B13" s="168" t="s">
        <v>179</v>
      </c>
      <c r="C13" s="168" t="s">
        <v>180</v>
      </c>
      <c r="D13" s="164" t="s">
        <v>181</v>
      </c>
      <c r="E13" s="173" t="n">
        <f aca="false">ROUND((E11)*1.5*6%,0)</f>
        <v>34</v>
      </c>
    </row>
    <row r="14" customFormat="false" ht="15.75" hidden="false" customHeight="false" outlineLevel="0" collapsed="false">
      <c r="A14" s="172" t="s">
        <v>182</v>
      </c>
      <c r="B14" s="172"/>
      <c r="C14" s="172"/>
      <c r="D14" s="172"/>
      <c r="E14" s="173" t="n">
        <f aca="false">E11+E12+E13</f>
        <v>483</v>
      </c>
    </row>
    <row r="15" customFormat="false" ht="15.75" hidden="false" customHeight="false" outlineLevel="0" collapsed="false">
      <c r="A15" s="174" t="s">
        <v>183</v>
      </c>
      <c r="B15" s="174"/>
      <c r="C15" s="174"/>
      <c r="D15" s="174"/>
      <c r="E15" s="174"/>
    </row>
    <row r="16" customFormat="false" ht="57.75" hidden="false" customHeight="true" outlineLevel="0" collapsed="false">
      <c r="A16" s="174" t="s">
        <v>92</v>
      </c>
      <c r="B16" s="168" t="s">
        <v>184</v>
      </c>
      <c r="C16" s="176" t="s">
        <v>185</v>
      </c>
      <c r="D16" s="164" t="s">
        <v>186</v>
      </c>
      <c r="E16" s="173" t="n">
        <f aca="false">ROUND(8*45.5,0)</f>
        <v>364</v>
      </c>
    </row>
    <row r="17" customFormat="false" ht="54.75" hidden="false" customHeight="true" outlineLevel="0" collapsed="false">
      <c r="A17" s="174" t="s">
        <v>160</v>
      </c>
      <c r="B17" s="168" t="s">
        <v>187</v>
      </c>
      <c r="C17" s="168" t="s">
        <v>188</v>
      </c>
      <c r="D17" s="164" t="s">
        <v>189</v>
      </c>
      <c r="E17" s="173" t="n">
        <f aca="false">ROUND(8*(4.8+2.9),0)</f>
        <v>62</v>
      </c>
    </row>
    <row r="18" customFormat="false" ht="65.25" hidden="false" customHeight="true" outlineLevel="0" collapsed="false">
      <c r="A18" s="174" t="s">
        <v>164</v>
      </c>
      <c r="B18" s="192" t="s">
        <v>190</v>
      </c>
      <c r="C18" s="176" t="s">
        <v>191</v>
      </c>
      <c r="D18" s="164" t="n">
        <v>237.8</v>
      </c>
      <c r="E18" s="173" t="n">
        <f aca="false">D18</f>
        <v>237.8</v>
      </c>
    </row>
    <row r="19" customFormat="false" ht="42.75" hidden="false" customHeight="true" outlineLevel="0" collapsed="false">
      <c r="A19" s="174" t="s">
        <v>192</v>
      </c>
      <c r="B19" s="192" t="s">
        <v>193</v>
      </c>
      <c r="C19" s="176" t="s">
        <v>194</v>
      </c>
      <c r="D19" s="164" t="n">
        <v>67.3</v>
      </c>
      <c r="E19" s="173" t="n">
        <f aca="false">D19</f>
        <v>67.3</v>
      </c>
    </row>
    <row r="20" customFormat="false" ht="57" hidden="false" customHeight="true" outlineLevel="0" collapsed="false">
      <c r="A20" s="174" t="s">
        <v>195</v>
      </c>
      <c r="B20" s="192" t="s">
        <v>196</v>
      </c>
      <c r="C20" s="176" t="s">
        <v>197</v>
      </c>
      <c r="D20" s="164" t="s">
        <v>198</v>
      </c>
      <c r="E20" s="173" t="n">
        <f aca="false">ROUND(8*18.2,0)</f>
        <v>146</v>
      </c>
    </row>
    <row r="21" customFormat="false" ht="67.5" hidden="false" customHeight="true" outlineLevel="0" collapsed="false">
      <c r="A21" s="174" t="s">
        <v>199</v>
      </c>
      <c r="B21" s="192" t="s">
        <v>200</v>
      </c>
      <c r="C21" s="176" t="s">
        <v>201</v>
      </c>
      <c r="D21" s="164" t="s">
        <v>202</v>
      </c>
      <c r="E21" s="173" t="n">
        <f aca="false">ROUND(8*25.4,0)</f>
        <v>203</v>
      </c>
    </row>
    <row r="22" customFormat="false" ht="15.75" hidden="false" customHeight="false" outlineLevel="0" collapsed="false">
      <c r="A22" s="172" t="s">
        <v>203</v>
      </c>
      <c r="B22" s="172"/>
      <c r="C22" s="172"/>
      <c r="D22" s="172"/>
      <c r="E22" s="173" t="n">
        <f aca="false">E16+E17+E18+E19+E20+E21</f>
        <v>1080.1</v>
      </c>
    </row>
    <row r="23" customFormat="false" ht="15.75" hidden="false" customHeight="false" outlineLevel="0" collapsed="false">
      <c r="A23" s="174" t="s">
        <v>204</v>
      </c>
      <c r="B23" s="174"/>
      <c r="C23" s="174"/>
      <c r="D23" s="174"/>
      <c r="E23" s="174"/>
    </row>
    <row r="24" customFormat="false" ht="15.75" hidden="false" customHeight="false" outlineLevel="0" collapsed="false">
      <c r="A24" s="174" t="s">
        <v>205</v>
      </c>
      <c r="B24" s="176" t="s">
        <v>206</v>
      </c>
      <c r="C24" s="176" t="s">
        <v>207</v>
      </c>
      <c r="D24" s="164" t="s">
        <v>208</v>
      </c>
      <c r="E24" s="173" t="n">
        <f aca="false">ROUND(1*800*1.25,0)</f>
        <v>1000</v>
      </c>
    </row>
    <row r="25" customFormat="false" ht="60.75" hidden="false" customHeight="true" outlineLevel="0" collapsed="false">
      <c r="A25" s="174" t="s">
        <v>209</v>
      </c>
      <c r="B25" s="168" t="s">
        <v>210</v>
      </c>
      <c r="C25" s="176" t="s">
        <v>211</v>
      </c>
      <c r="D25" s="164" t="s">
        <v>212</v>
      </c>
      <c r="E25" s="173" t="n">
        <f aca="false">ROUND(8*8.2,0)</f>
        <v>66</v>
      </c>
    </row>
    <row r="26" customFormat="false" ht="78.75" hidden="false" customHeight="true" outlineLevel="0" collapsed="false">
      <c r="A26" s="174" t="s">
        <v>213</v>
      </c>
      <c r="B26" s="168" t="s">
        <v>214</v>
      </c>
      <c r="C26" s="176" t="s">
        <v>215</v>
      </c>
      <c r="D26" s="164" t="s">
        <v>216</v>
      </c>
      <c r="E26" s="173" t="n">
        <f aca="false">ROUND(8*4.5,0)</f>
        <v>36</v>
      </c>
    </row>
    <row r="27" customFormat="false" ht="91.5" hidden="false" customHeight="true" outlineLevel="0" collapsed="false">
      <c r="A27" s="174" t="s">
        <v>217</v>
      </c>
      <c r="B27" s="168" t="s">
        <v>218</v>
      </c>
      <c r="C27" s="176" t="s">
        <v>219</v>
      </c>
      <c r="D27" s="164" t="s">
        <v>220</v>
      </c>
      <c r="E27" s="173" t="n">
        <f aca="false">ROUND(15%*(E22-E20-E21)*1.5,0)</f>
        <v>164</v>
      </c>
    </row>
    <row r="28" customFormat="false" ht="94.5" hidden="false" customHeight="true" outlineLevel="0" collapsed="false">
      <c r="A28" s="174" t="s">
        <v>221</v>
      </c>
      <c r="B28" s="168" t="s">
        <v>222</v>
      </c>
      <c r="C28" s="176" t="s">
        <v>223</v>
      </c>
      <c r="D28" s="164" t="s">
        <v>224</v>
      </c>
      <c r="E28" s="173" t="n">
        <f aca="false">ROUND(15%*(E20+E21),0)</f>
        <v>52</v>
      </c>
    </row>
    <row r="29" customFormat="false" ht="20.25" hidden="false" customHeight="true" outlineLevel="0" collapsed="false">
      <c r="A29" s="174"/>
      <c r="B29" s="168"/>
      <c r="C29" s="176"/>
      <c r="D29" s="164"/>
      <c r="E29" s="173" t="n">
        <f aca="false">E25+E26+E27+E28</f>
        <v>318</v>
      </c>
    </row>
    <row r="30" customFormat="false" ht="15.75" hidden="false" customHeight="false" outlineLevel="0" collapsed="false">
      <c r="A30" s="174" t="s">
        <v>225</v>
      </c>
      <c r="B30" s="168" t="s">
        <v>226</v>
      </c>
      <c r="C30" s="176" t="s">
        <v>227</v>
      </c>
      <c r="D30" s="193" t="s">
        <v>228</v>
      </c>
      <c r="E30" s="173" t="n">
        <f aca="false">21%*E29</f>
        <v>66.78</v>
      </c>
    </row>
    <row r="31" customFormat="false" ht="15.75" hidden="false" customHeight="false" outlineLevel="0" collapsed="false">
      <c r="A31" s="172" t="s">
        <v>229</v>
      </c>
      <c r="B31" s="172"/>
      <c r="C31" s="172"/>
      <c r="D31" s="172"/>
      <c r="E31" s="173" t="n">
        <f aca="false">E24+E25+E26+E27+E28+E30</f>
        <v>1384.78</v>
      </c>
    </row>
    <row r="32" customFormat="false" ht="15.75" hidden="false" customHeight="false" outlineLevel="0" collapsed="false">
      <c r="A32" s="172"/>
      <c r="B32" s="172"/>
      <c r="C32" s="172"/>
      <c r="D32" s="172" t="s">
        <v>230</v>
      </c>
      <c r="E32" s="173" t="n">
        <f aca="false">E14+E22+E31</f>
        <v>2947.88</v>
      </c>
    </row>
    <row r="33" customFormat="false" ht="15.75" hidden="false" customHeight="false" outlineLevel="0" collapsed="false">
      <c r="A33" s="174" t="s">
        <v>231</v>
      </c>
      <c r="B33" s="176" t="s">
        <v>161</v>
      </c>
      <c r="C33" s="176" t="s">
        <v>162</v>
      </c>
      <c r="D33" s="164" t="s">
        <v>232</v>
      </c>
      <c r="E33" s="173" t="n">
        <f aca="false">1.7*E32</f>
        <v>5011.396</v>
      </c>
    </row>
    <row r="34" customFormat="false" ht="15.75" hidden="false" customHeight="false" outlineLevel="0" collapsed="false">
      <c r="A34" s="172" t="s">
        <v>233</v>
      </c>
      <c r="B34" s="172"/>
      <c r="C34" s="172"/>
      <c r="D34" s="172"/>
      <c r="E34" s="173" t="n">
        <f aca="false">E33</f>
        <v>5011.396</v>
      </c>
    </row>
    <row r="35" customFormat="false" ht="26.85" hidden="false" customHeight="false" outlineLevel="0" collapsed="false">
      <c r="A35" s="173" t="n">
        <v>20</v>
      </c>
      <c r="B35" s="178" t="s">
        <v>165</v>
      </c>
      <c r="C35" s="178" t="n">
        <v>6.87</v>
      </c>
      <c r="D35" s="179" t="s">
        <v>234</v>
      </c>
      <c r="E35" s="180" t="n">
        <f aca="false">ROUND(E34*6.87,0)</f>
        <v>34428</v>
      </c>
    </row>
  </sheetData>
  <mergeCells count="10">
    <mergeCell ref="A1:E1"/>
    <mergeCell ref="A3:E3"/>
    <mergeCell ref="A7:E7"/>
    <mergeCell ref="A11:D11"/>
    <mergeCell ref="A14:D14"/>
    <mergeCell ref="A15:E15"/>
    <mergeCell ref="A22:D22"/>
    <mergeCell ref="A23:E23"/>
    <mergeCell ref="A31:D31"/>
    <mergeCell ref="A34:D3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2022-02-03T13:30:49Z</dcterms:created>
  <dc:creator>axlsx</dc:creator>
  <dc:description/>
  <dc:language>ru-RU</dc:language>
  <cp:lastModifiedBy>evseevii</cp:lastModifiedBy>
  <cp:lastPrinted>2022-02-10T07:38:11Z</cp:lastPrinted>
  <dcterms:modified xsi:type="dcterms:W3CDTF">2025-10-29T13:24:39Z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